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3"/>
  <workbookPr codeName="ThisWorkbook" defaultThemeVersion="124226"/>
  <mc:AlternateContent xmlns:mc="http://schemas.openxmlformats.org/markup-compatibility/2006">
    <mc:Choice Requires="x15">
      <x15ac:absPath xmlns:x15ac="http://schemas.microsoft.com/office/spreadsheetml/2010/11/ac" url="/Users/saadkhalid/Desktop/Budget Forecast/IDEAS files/"/>
    </mc:Choice>
  </mc:AlternateContent>
  <xr:revisionPtr revIDLastSave="0" documentId="8_{D35DFFF2-D431-9646-9740-6E560D8CD7FA}" xr6:coauthVersionLast="33" xr6:coauthVersionMax="33" xr10:uidLastSave="{00000000-0000-0000-0000-000000000000}"/>
  <workbookProtection workbookPassword="C58F" lockStructure="1"/>
  <bookViews>
    <workbookView xWindow="0" yWindow="0" windowWidth="28800" windowHeight="18000" tabRatio="939" activeTab="9" xr2:uid="{00000000-000D-0000-FFFF-FFFF00000000}"/>
  </bookViews>
  <sheets>
    <sheet name="Introduction" sheetId="6" r:id="rId1"/>
    <sheet name="Methodology" sheetId="14" r:id="rId2"/>
    <sheet name="Assumptions - Defaults" sheetId="16" state="hidden" r:id="rId3"/>
    <sheet name="Revenues - Defaults" sheetId="17" state="hidden" r:id="rId4"/>
    <sheet name="Expenditures - Defaults" sheetId="18" state="hidden" r:id="rId5"/>
    <sheet name="Deficit - Defaults" sheetId="19" state="hidden" r:id="rId6"/>
    <sheet name="Assumptions" sheetId="8" r:id="rId7"/>
    <sheet name="Revenues" sheetId="2" r:id="rId8"/>
    <sheet name="Expenditures" sheetId="1" r:id="rId9"/>
    <sheet name="Deficit" sheetId="7" r:id="rId10"/>
  </sheets>
  <definedNames>
    <definedName name="_ftn1" localSheetId="7">Revenues!$A$41</definedName>
    <definedName name="_ftnref1" localSheetId="7">Revenues!#REF!</definedName>
  </definedNames>
  <calcPr calcId="171027"/>
</workbook>
</file>

<file path=xl/calcChain.xml><?xml version="1.0" encoding="utf-8"?>
<calcChain xmlns="http://schemas.openxmlformats.org/spreadsheetml/2006/main">
  <c r="C7" i="7" l="1"/>
  <c r="C8" i="7"/>
  <c r="C9" i="7"/>
  <c r="D9" i="7" s="1"/>
  <c r="C16" i="7"/>
  <c r="C21" i="7"/>
  <c r="B4" i="1"/>
  <c r="C4" i="1"/>
  <c r="C5" i="1" s="1"/>
  <c r="D4" i="1"/>
  <c r="E4" i="1"/>
  <c r="F4" i="1"/>
  <c r="G4" i="1"/>
  <c r="G5" i="1" s="1"/>
  <c r="H4" i="1"/>
  <c r="I4" i="1"/>
  <c r="F5" i="1"/>
  <c r="H5" i="1"/>
  <c r="B7" i="1"/>
  <c r="C6" i="7" s="1"/>
  <c r="B10" i="1"/>
  <c r="C10" i="1"/>
  <c r="D10" i="1"/>
  <c r="E10" i="1"/>
  <c r="F10" i="1"/>
  <c r="G10" i="1"/>
  <c r="H10" i="1"/>
  <c r="I10" i="1"/>
  <c r="B13" i="1"/>
  <c r="C15" i="1"/>
  <c r="C16" i="1" s="1"/>
  <c r="D15" i="1"/>
  <c r="E15" i="1"/>
  <c r="F15" i="1"/>
  <c r="G15" i="1"/>
  <c r="H15" i="1"/>
  <c r="I15" i="1"/>
  <c r="C18" i="1"/>
  <c r="D18" i="1"/>
  <c r="E18" i="1"/>
  <c r="F18" i="1"/>
  <c r="G18" i="1"/>
  <c r="H18" i="1"/>
  <c r="I18" i="1"/>
  <c r="B20" i="1"/>
  <c r="B21" i="1" s="1"/>
  <c r="B5" i="2"/>
  <c r="C5" i="2"/>
  <c r="D5" i="2"/>
  <c r="E5" i="2"/>
  <c r="F5" i="2"/>
  <c r="G5" i="2"/>
  <c r="H5" i="2"/>
  <c r="I5" i="2"/>
  <c r="B29" i="2"/>
  <c r="C29" i="2"/>
  <c r="D29" i="2"/>
  <c r="E29" i="2"/>
  <c r="F29" i="2"/>
  <c r="G29" i="2"/>
  <c r="H29" i="2"/>
  <c r="I29" i="2"/>
  <c r="C37" i="2"/>
  <c r="D37" i="2"/>
  <c r="E37" i="2"/>
  <c r="F37" i="2"/>
  <c r="G37" i="2"/>
  <c r="H37" i="2"/>
  <c r="I37" i="2"/>
  <c r="B38" i="2"/>
  <c r="C40" i="2"/>
  <c r="D40" i="2"/>
  <c r="E40" i="2"/>
  <c r="F40" i="2"/>
  <c r="G40" i="2"/>
  <c r="H40" i="2"/>
  <c r="I40" i="2"/>
  <c r="C41" i="2"/>
  <c r="C38" i="2" s="1"/>
  <c r="B44" i="2"/>
  <c r="C44" i="2"/>
  <c r="D44" i="2"/>
  <c r="E44" i="2"/>
  <c r="F44" i="2"/>
  <c r="G44" i="2"/>
  <c r="H44" i="2"/>
  <c r="I44" i="2"/>
  <c r="C45" i="2"/>
  <c r="D45" i="2"/>
  <c r="E45" i="2"/>
  <c r="F45" i="2"/>
  <c r="G45" i="2"/>
  <c r="H45" i="2"/>
  <c r="I45" i="2"/>
  <c r="C5" i="8"/>
  <c r="D5" i="8"/>
  <c r="D6" i="1" s="1"/>
  <c r="E5" i="8"/>
  <c r="E6" i="1" s="1"/>
  <c r="F5" i="8"/>
  <c r="F6" i="1" s="1"/>
  <c r="G5" i="8"/>
  <c r="G6" i="1" s="1"/>
  <c r="H5" i="8"/>
  <c r="H6" i="1" s="1"/>
  <c r="I5" i="8"/>
  <c r="I6" i="1" s="1"/>
  <c r="C10" i="8"/>
  <c r="D10" i="8"/>
  <c r="D11" i="8" s="1"/>
  <c r="E15" i="7" s="1"/>
  <c r="E10" i="8"/>
  <c r="E11" i="8" s="1"/>
  <c r="F15" i="7" s="1"/>
  <c r="F10" i="8"/>
  <c r="F11" i="8" s="1"/>
  <c r="G15" i="7" s="1"/>
  <c r="G10" i="8"/>
  <c r="H10" i="8"/>
  <c r="H11" i="8" s="1"/>
  <c r="I15" i="7" s="1"/>
  <c r="I10" i="8"/>
  <c r="I11" i="8" s="1"/>
  <c r="J15" i="7" s="1"/>
  <c r="C11" i="8"/>
  <c r="D15" i="7" s="1"/>
  <c r="G11" i="8"/>
  <c r="H15" i="7" s="1"/>
  <c r="B12" i="8"/>
  <c r="C12" i="8"/>
  <c r="D12" i="8"/>
  <c r="D12" i="1" s="1"/>
  <c r="E12" i="8"/>
  <c r="F12" i="8"/>
  <c r="F12" i="1" s="1"/>
  <c r="G12" i="8"/>
  <c r="G12" i="1" s="1"/>
  <c r="H12" i="8"/>
  <c r="H12" i="1" s="1"/>
  <c r="I12" i="8"/>
  <c r="I12" i="1" s="1"/>
  <c r="B15" i="8"/>
  <c r="C15" i="8"/>
  <c r="D15" i="8"/>
  <c r="E15" i="8"/>
  <c r="F15" i="8"/>
  <c r="G15" i="8"/>
  <c r="H15" i="8"/>
  <c r="I15" i="8"/>
  <c r="B16" i="8"/>
  <c r="B6" i="2" s="1"/>
  <c r="B7" i="2" s="1"/>
  <c r="B8" i="2" s="1"/>
  <c r="B9" i="2" s="1"/>
  <c r="B10" i="2" s="1"/>
  <c r="B11" i="2" s="1"/>
  <c r="B12" i="2" s="1"/>
  <c r="C16" i="8"/>
  <c r="C6" i="2" s="1"/>
  <c r="D16" i="8"/>
  <c r="D6" i="2" s="1"/>
  <c r="E16" i="8"/>
  <c r="E6" i="2" s="1"/>
  <c r="F16" i="8"/>
  <c r="F6" i="2" s="1"/>
  <c r="G16" i="8"/>
  <c r="G6" i="2" s="1"/>
  <c r="H16" i="8"/>
  <c r="H6" i="2" s="1"/>
  <c r="I16" i="8"/>
  <c r="I6" i="2" s="1"/>
  <c r="B23" i="8"/>
  <c r="C23" i="8"/>
  <c r="D23" i="8"/>
  <c r="E23" i="8"/>
  <c r="F23" i="8"/>
  <c r="G23" i="8"/>
  <c r="H23" i="8"/>
  <c r="I23" i="8"/>
  <c r="I24" i="8" s="1"/>
  <c r="I15" i="2" s="1"/>
  <c r="B24" i="8"/>
  <c r="B15" i="2" s="1"/>
  <c r="C24" i="8"/>
  <c r="C15" i="2" s="1"/>
  <c r="D24" i="8"/>
  <c r="D15" i="2" s="1"/>
  <c r="E24" i="8"/>
  <c r="E15" i="2" s="1"/>
  <c r="F24" i="8"/>
  <c r="F15" i="2" s="1"/>
  <c r="G24" i="8"/>
  <c r="G15" i="2" s="1"/>
  <c r="H24" i="8"/>
  <c r="H15" i="2" s="1"/>
  <c r="B25" i="8"/>
  <c r="B19" i="2" s="1"/>
  <c r="C25" i="8"/>
  <c r="C19" i="2" s="1"/>
  <c r="D25" i="8"/>
  <c r="D19" i="2" s="1"/>
  <c r="E25" i="8"/>
  <c r="E19" i="2" s="1"/>
  <c r="F25" i="8"/>
  <c r="F19" i="2" s="1"/>
  <c r="G25" i="8"/>
  <c r="G19" i="2" s="1"/>
  <c r="H25" i="8"/>
  <c r="H19" i="2" s="1"/>
  <c r="I25" i="8"/>
  <c r="I19" i="2" s="1"/>
  <c r="B27" i="8"/>
  <c r="B26" i="2" s="1"/>
  <c r="C27" i="8"/>
  <c r="C26" i="2" s="1"/>
  <c r="D27" i="8"/>
  <c r="D26" i="2" s="1"/>
  <c r="E27" i="8"/>
  <c r="E26" i="2" s="1"/>
  <c r="F27" i="8"/>
  <c r="F26" i="2" s="1"/>
  <c r="G27" i="8"/>
  <c r="G26" i="2" s="1"/>
  <c r="H27" i="8"/>
  <c r="H26" i="2" s="1"/>
  <c r="I27" i="8"/>
  <c r="I26" i="2" s="1"/>
  <c r="B28" i="8"/>
  <c r="B27" i="2" s="1"/>
  <c r="C28" i="8"/>
  <c r="C27" i="2" s="1"/>
  <c r="D28" i="8"/>
  <c r="D27" i="2" s="1"/>
  <c r="E28" i="8"/>
  <c r="E27" i="2" s="1"/>
  <c r="F28" i="8"/>
  <c r="F27" i="2" s="1"/>
  <c r="G28" i="8"/>
  <c r="G27" i="2" s="1"/>
  <c r="H28" i="8"/>
  <c r="H27" i="2" s="1"/>
  <c r="I28" i="8"/>
  <c r="I27" i="2" s="1"/>
  <c r="B29" i="8"/>
  <c r="B28" i="2" s="1"/>
  <c r="B33" i="8"/>
  <c r="B30" i="2" s="1"/>
  <c r="C33" i="8"/>
  <c r="C30" i="2" s="1"/>
  <c r="D33" i="8"/>
  <c r="D30" i="2" s="1"/>
  <c r="E33" i="8"/>
  <c r="E30" i="2" s="1"/>
  <c r="B34" i="8"/>
  <c r="B31" i="2" s="1"/>
  <c r="B32" i="2" s="1"/>
  <c r="B33" i="2" s="1"/>
  <c r="C34" i="8"/>
  <c r="C31" i="2" s="1"/>
  <c r="C32" i="2" s="1"/>
  <c r="D34" i="8"/>
  <c r="D31" i="2" s="1"/>
  <c r="D32" i="2" s="1"/>
  <c r="E34" i="8"/>
  <c r="E31" i="2" s="1"/>
  <c r="E32" i="2" s="1"/>
  <c r="F34" i="8"/>
  <c r="F31" i="2" s="1"/>
  <c r="F32" i="2" s="1"/>
  <c r="G34" i="8"/>
  <c r="G31" i="2" s="1"/>
  <c r="G32" i="2" s="1"/>
  <c r="H34" i="8"/>
  <c r="H31" i="2" s="1"/>
  <c r="H32" i="2" s="1"/>
  <c r="I34" i="8"/>
  <c r="I31" i="2" s="1"/>
  <c r="I32" i="2" s="1"/>
  <c r="B35" i="8"/>
  <c r="B36" i="8" s="1"/>
  <c r="C35" i="8"/>
  <c r="G35" i="8"/>
  <c r="B38" i="8"/>
  <c r="B37" i="2" s="1"/>
  <c r="B42" i="2" s="1"/>
  <c r="B39" i="8"/>
  <c r="B39" i="2" s="1"/>
  <c r="B42" i="8"/>
  <c r="B43" i="2" s="1"/>
  <c r="B44" i="8"/>
  <c r="B45" i="2" s="1"/>
  <c r="B46" i="8"/>
  <c r="B49" i="2" s="1"/>
  <c r="B50" i="2" s="1"/>
  <c r="C46" i="8"/>
  <c r="C49" i="2" s="1"/>
  <c r="D46" i="8"/>
  <c r="D49" i="2" s="1"/>
  <c r="E46" i="8"/>
  <c r="E49" i="2" s="1"/>
  <c r="F46" i="8"/>
  <c r="F49" i="2" s="1"/>
  <c r="G46" i="8"/>
  <c r="G49" i="2" s="1"/>
  <c r="H46" i="8"/>
  <c r="H49" i="2" s="1"/>
  <c r="I46" i="8"/>
  <c r="I49" i="2" s="1"/>
  <c r="B51" i="8"/>
  <c r="B11" i="1" s="1"/>
  <c r="C51" i="8"/>
  <c r="C11" i="1" s="1"/>
  <c r="D51" i="8"/>
  <c r="D11" i="1" s="1"/>
  <c r="E51" i="8"/>
  <c r="E11" i="1" s="1"/>
  <c r="F51" i="8"/>
  <c r="F11" i="1" s="1"/>
  <c r="G51" i="8"/>
  <c r="G11" i="1" s="1"/>
  <c r="H51" i="8"/>
  <c r="H11" i="1" s="1"/>
  <c r="I51" i="8"/>
  <c r="I11" i="1" s="1"/>
  <c r="B54" i="8"/>
  <c r="C14" i="7" s="1"/>
  <c r="C54" i="8"/>
  <c r="D14" i="7" s="1"/>
  <c r="B56" i="8"/>
  <c r="C22" i="7" s="1"/>
  <c r="E9" i="7" l="1"/>
  <c r="F9" i="7" s="1"/>
  <c r="G9" i="7" s="1"/>
  <c r="H9" i="7" s="1"/>
  <c r="I9" i="7" s="1"/>
  <c r="J9" i="7" s="1"/>
  <c r="C55" i="8"/>
  <c r="D16" i="7" s="1"/>
  <c r="C42" i="8"/>
  <c r="C43" i="2" s="1"/>
  <c r="F35" i="8"/>
  <c r="F32" i="8"/>
  <c r="I32" i="8"/>
  <c r="I33" i="8" s="1"/>
  <c r="I30" i="2" s="1"/>
  <c r="B46" i="2"/>
  <c r="I35" i="8"/>
  <c r="E35" i="8"/>
  <c r="F31" i="8"/>
  <c r="G31" i="8" s="1"/>
  <c r="H31" i="8" s="1"/>
  <c r="I31" i="8" s="1"/>
  <c r="D8" i="7"/>
  <c r="C42" i="2"/>
  <c r="D7" i="7"/>
  <c r="E7" i="7" s="1"/>
  <c r="C56" i="8"/>
  <c r="D17" i="7" s="1"/>
  <c r="H35" i="8"/>
  <c r="D5" i="1"/>
  <c r="B16" i="2"/>
  <c r="B22" i="2"/>
  <c r="B17" i="2"/>
  <c r="C4" i="7"/>
  <c r="B22" i="1"/>
  <c r="B34" i="2"/>
  <c r="D35" i="8"/>
  <c r="H26" i="7"/>
  <c r="D26" i="7"/>
  <c r="G32" i="8"/>
  <c r="G33" i="8" s="1"/>
  <c r="G30" i="2" s="1"/>
  <c r="C19" i="1"/>
  <c r="C20" i="1" s="1"/>
  <c r="C12" i="1"/>
  <c r="G26" i="7"/>
  <c r="C26" i="7"/>
  <c r="C18" i="7"/>
  <c r="C25" i="7" s="1"/>
  <c r="C17" i="7"/>
  <c r="C3" i="8"/>
  <c r="C50" i="2" s="1"/>
  <c r="C13" i="1"/>
  <c r="D13" i="1" s="1"/>
  <c r="E13" i="1" s="1"/>
  <c r="F13" i="1" s="1"/>
  <c r="G13" i="1" s="1"/>
  <c r="H13" i="1" s="1"/>
  <c r="I13" i="1" s="1"/>
  <c r="C6" i="1"/>
  <c r="I5" i="1"/>
  <c r="E5" i="1"/>
  <c r="J26" i="7"/>
  <c r="F26" i="7"/>
  <c r="C46" i="2"/>
  <c r="E12" i="1"/>
  <c r="I26" i="7"/>
  <c r="E26" i="7"/>
  <c r="C7" i="1"/>
  <c r="D7" i="1" s="1"/>
  <c r="D3" i="8"/>
  <c r="E3" i="8" s="1"/>
  <c r="C17" i="2"/>
  <c r="C22" i="2"/>
  <c r="C33" i="2"/>
  <c r="D6" i="7"/>
  <c r="F7" i="7"/>
  <c r="G7" i="7" s="1"/>
  <c r="H7" i="7" s="1"/>
  <c r="I7" i="7" s="1"/>
  <c r="J7" i="7" s="1"/>
  <c r="E8" i="7"/>
  <c r="F8" i="7" s="1"/>
  <c r="G8" i="7" s="1"/>
  <c r="H8" i="7" s="1"/>
  <c r="I8" i="7" s="1"/>
  <c r="J8" i="7" s="1"/>
  <c r="D42" i="8"/>
  <c r="D56" i="8"/>
  <c r="D29" i="8"/>
  <c r="D28" i="2" s="1"/>
  <c r="H32" i="8"/>
  <c r="H33" i="8" s="1"/>
  <c r="H30" i="2" s="1"/>
  <c r="C7" i="2" l="1"/>
  <c r="C8" i="2" s="1"/>
  <c r="C9" i="2" s="1"/>
  <c r="C10" i="2" s="1"/>
  <c r="C11" i="2" s="1"/>
  <c r="C12" i="2" s="1"/>
  <c r="C16" i="2"/>
  <c r="D55" i="8"/>
  <c r="F33" i="8"/>
  <c r="F30" i="2" s="1"/>
  <c r="C29" i="8"/>
  <c r="C28" i="2" s="1"/>
  <c r="C36" i="8"/>
  <c r="E55" i="8"/>
  <c r="E16" i="7"/>
  <c r="E42" i="8"/>
  <c r="D43" i="2"/>
  <c r="E56" i="8"/>
  <c r="E17" i="7"/>
  <c r="C21" i="1"/>
  <c r="B18" i="2"/>
  <c r="B20" i="2" s="1"/>
  <c r="B23" i="2" s="1"/>
  <c r="B51" i="2" s="1"/>
  <c r="C3" i="7" s="1"/>
  <c r="E6" i="7"/>
  <c r="E7" i="1"/>
  <c r="C34" i="2"/>
  <c r="E33" i="2"/>
  <c r="E7" i="2"/>
  <c r="E8" i="2" s="1"/>
  <c r="E9" i="2" s="1"/>
  <c r="E10" i="2" s="1"/>
  <c r="E11" i="2" s="1"/>
  <c r="E12" i="2" s="1"/>
  <c r="E17" i="2"/>
  <c r="E22" i="2"/>
  <c r="E50" i="2"/>
  <c r="E16" i="2"/>
  <c r="C18" i="2"/>
  <c r="C20" i="2" s="1"/>
  <c r="C23" i="2" s="1"/>
  <c r="D7" i="2"/>
  <c r="D8" i="2" s="1"/>
  <c r="D9" i="2" s="1"/>
  <c r="D10" i="2" s="1"/>
  <c r="D11" i="2" s="1"/>
  <c r="D12" i="2" s="1"/>
  <c r="D17" i="2"/>
  <c r="D50" i="2"/>
  <c r="D16" i="2"/>
  <c r="D22" i="2"/>
  <c r="D33" i="2"/>
  <c r="D34" i="2" s="1"/>
  <c r="D36" i="8"/>
  <c r="F7" i="1"/>
  <c r="F6" i="7"/>
  <c r="E29" i="8"/>
  <c r="E28" i="2" s="1"/>
  <c r="F3" i="8"/>
  <c r="E36" i="8"/>
  <c r="E18" i="2" l="1"/>
  <c r="E20" i="2" s="1"/>
  <c r="C5" i="7"/>
  <c r="C10" i="7"/>
  <c r="C13" i="7" s="1"/>
  <c r="F42" i="8"/>
  <c r="E43" i="2"/>
  <c r="F56" i="8"/>
  <c r="F17" i="7"/>
  <c r="F55" i="8"/>
  <c r="F16" i="7"/>
  <c r="D4" i="7"/>
  <c r="C22" i="1"/>
  <c r="D18" i="2"/>
  <c r="D20" i="2" s="1"/>
  <c r="D23" i="2" s="1"/>
  <c r="E23" i="2"/>
  <c r="C51" i="2"/>
  <c r="D3" i="7" s="1"/>
  <c r="D10" i="7" s="1"/>
  <c r="D13" i="7" s="1"/>
  <c r="E34" i="2"/>
  <c r="G7" i="1"/>
  <c r="G6" i="7"/>
  <c r="F16" i="2"/>
  <c r="F22" i="2"/>
  <c r="F33" i="2"/>
  <c r="F7" i="2"/>
  <c r="F8" i="2" s="1"/>
  <c r="F9" i="2" s="1"/>
  <c r="F10" i="2" s="1"/>
  <c r="F11" i="2" s="1"/>
  <c r="F12" i="2" s="1"/>
  <c r="F17" i="2"/>
  <c r="F50" i="2"/>
  <c r="G3" i="8"/>
  <c r="F29" i="8"/>
  <c r="F28" i="2" s="1"/>
  <c r="F34" i="2" s="1"/>
  <c r="F36" i="8"/>
  <c r="G55" i="8" l="1"/>
  <c r="G16" i="7"/>
  <c r="G42" i="8"/>
  <c r="F43" i="2"/>
  <c r="D5" i="7"/>
  <c r="G56" i="8"/>
  <c r="G17" i="7"/>
  <c r="F18" i="2"/>
  <c r="F20" i="2" s="1"/>
  <c r="F23" i="2" s="1"/>
  <c r="G17" i="2"/>
  <c r="G50" i="2"/>
  <c r="G16" i="2"/>
  <c r="G22" i="2"/>
  <c r="G33" i="2"/>
  <c r="G7" i="2"/>
  <c r="G8" i="2" s="1"/>
  <c r="G9" i="2" s="1"/>
  <c r="G10" i="2" s="1"/>
  <c r="G11" i="2" s="1"/>
  <c r="G12" i="2" s="1"/>
  <c r="D27" i="7"/>
  <c r="D25" i="7"/>
  <c r="H7" i="1"/>
  <c r="H6" i="7"/>
  <c r="H3" i="8"/>
  <c r="G29" i="8"/>
  <c r="G28" i="2" s="1"/>
  <c r="G34" i="2" s="1"/>
  <c r="G36" i="8"/>
  <c r="G18" i="2" l="1"/>
  <c r="G20" i="2" s="1"/>
  <c r="G23" i="2" s="1"/>
  <c r="H42" i="8"/>
  <c r="G43" i="2"/>
  <c r="H56" i="8"/>
  <c r="H17" i="7"/>
  <c r="H55" i="8"/>
  <c r="H16" i="7"/>
  <c r="H7" i="2"/>
  <c r="H8" i="2" s="1"/>
  <c r="H9" i="2" s="1"/>
  <c r="H10" i="2" s="1"/>
  <c r="H11" i="2" s="1"/>
  <c r="H12" i="2" s="1"/>
  <c r="H17" i="2"/>
  <c r="H50" i="2"/>
  <c r="H16" i="2"/>
  <c r="H22" i="2"/>
  <c r="H33" i="2"/>
  <c r="D22" i="7"/>
  <c r="D18" i="7"/>
  <c r="D21" i="7"/>
  <c r="I7" i="1"/>
  <c r="J6" i="7" s="1"/>
  <c r="I6" i="7"/>
  <c r="I3" i="8"/>
  <c r="H29" i="8"/>
  <c r="H28" i="2" s="1"/>
  <c r="H36" i="8"/>
  <c r="I56" i="8" l="1"/>
  <c r="J17" i="7" s="1"/>
  <c r="I17" i="7"/>
  <c r="I55" i="8"/>
  <c r="J16" i="7" s="1"/>
  <c r="I16" i="7"/>
  <c r="I42" i="8"/>
  <c r="I43" i="2" s="1"/>
  <c r="H43" i="2"/>
  <c r="H34" i="2"/>
  <c r="H18" i="2"/>
  <c r="H20" i="2" s="1"/>
  <c r="H23" i="2" s="1"/>
  <c r="I7" i="2"/>
  <c r="I8" i="2" s="1"/>
  <c r="I9" i="2" s="1"/>
  <c r="I10" i="2" s="1"/>
  <c r="I11" i="2" s="1"/>
  <c r="I12" i="2" s="1"/>
  <c r="I16" i="2"/>
  <c r="I33" i="2"/>
  <c r="I17" i="2"/>
  <c r="I22" i="2"/>
  <c r="I50" i="2"/>
  <c r="I36" i="8"/>
  <c r="I29" i="8"/>
  <c r="I28" i="2" s="1"/>
  <c r="C39" i="2"/>
  <c r="D41" i="2" s="1"/>
  <c r="D38" i="2" s="1"/>
  <c r="D42" i="2" s="1"/>
  <c r="D46" i="2" s="1"/>
  <c r="D51" i="2" s="1"/>
  <c r="E3" i="7" s="1"/>
  <c r="C14" i="1"/>
  <c r="C17" i="1"/>
  <c r="I18" i="2" l="1"/>
  <c r="I20" i="2" s="1"/>
  <c r="I23" i="2" s="1"/>
  <c r="I34" i="2"/>
  <c r="D16" i="1"/>
  <c r="D19" i="1"/>
  <c r="D20" i="1" s="1"/>
  <c r="D21" i="1" s="1"/>
  <c r="D54" i="8"/>
  <c r="E14" i="7" s="1"/>
  <c r="D22" i="1" l="1"/>
  <c r="E4" i="7"/>
  <c r="I5" i="16"/>
  <c r="H5" i="16"/>
  <c r="G5" i="16"/>
  <c r="F5" i="16"/>
  <c r="E5" i="16"/>
  <c r="D5" i="16"/>
  <c r="C5" i="16"/>
  <c r="E5" i="7" l="1"/>
  <c r="E10" i="7"/>
  <c r="E13" i="7" s="1"/>
  <c r="I12" i="16"/>
  <c r="H12" i="16"/>
  <c r="G12" i="16"/>
  <c r="F12" i="16"/>
  <c r="E12" i="16"/>
  <c r="D12" i="16"/>
  <c r="C12" i="16"/>
  <c r="B12" i="16"/>
  <c r="E25" i="7" l="1"/>
  <c r="E27" i="7"/>
  <c r="I32" i="16"/>
  <c r="F32" i="16"/>
  <c r="G32" i="16"/>
  <c r="H32" i="16"/>
  <c r="C9" i="19"/>
  <c r="C8" i="19"/>
  <c r="C7" i="19"/>
  <c r="E18" i="7" l="1"/>
  <c r="E21" i="7"/>
  <c r="D14" i="1" s="1"/>
  <c r="E22" i="7"/>
  <c r="D17" i="1" s="1"/>
  <c r="E19" i="1" s="1"/>
  <c r="B42" i="16"/>
  <c r="B43" i="17"/>
  <c r="E54" i="8" l="1"/>
  <c r="F14" i="7" s="1"/>
  <c r="E16" i="1"/>
  <c r="E20" i="1" s="1"/>
  <c r="E21" i="1" s="1"/>
  <c r="D39" i="2"/>
  <c r="E41" i="2" s="1"/>
  <c r="E38" i="2" s="1"/>
  <c r="E42" i="2" s="1"/>
  <c r="E46" i="2" s="1"/>
  <c r="E51" i="2" s="1"/>
  <c r="F3" i="7" s="1"/>
  <c r="C42" i="16"/>
  <c r="D42" i="16" s="1"/>
  <c r="E42" i="16" s="1"/>
  <c r="F42" i="16" s="1"/>
  <c r="G42" i="16" s="1"/>
  <c r="H42" i="16" s="1"/>
  <c r="I42" i="16" s="1"/>
  <c r="E22" i="1" l="1"/>
  <c r="F4" i="7"/>
  <c r="F10" i="7" s="1"/>
  <c r="F13" i="7" s="1"/>
  <c r="C43" i="17"/>
  <c r="C18" i="19"/>
  <c r="C21" i="19"/>
  <c r="C22" i="19"/>
  <c r="C26" i="19"/>
  <c r="F5" i="7" l="1"/>
  <c r="F25" i="7"/>
  <c r="F27" i="7"/>
  <c r="D43" i="17"/>
  <c r="E43" i="17"/>
  <c r="D26" i="19"/>
  <c r="F18" i="7" l="1"/>
  <c r="F21" i="7"/>
  <c r="E14" i="1" s="1"/>
  <c r="F22" i="7"/>
  <c r="E17" i="1" s="1"/>
  <c r="F19" i="1" s="1"/>
  <c r="F43" i="17"/>
  <c r="G43" i="17"/>
  <c r="E26" i="19"/>
  <c r="F16" i="1" l="1"/>
  <c r="F20" i="1" s="1"/>
  <c r="F21" i="1" s="1"/>
  <c r="F54" i="8"/>
  <c r="G14" i="7" s="1"/>
  <c r="E39" i="2"/>
  <c r="F41" i="2" s="1"/>
  <c r="F38" i="2" s="1"/>
  <c r="F42" i="2" s="1"/>
  <c r="F46" i="2" s="1"/>
  <c r="F51" i="2" s="1"/>
  <c r="G3" i="7" s="1"/>
  <c r="H43" i="17"/>
  <c r="F26" i="19"/>
  <c r="G26" i="19"/>
  <c r="F22" i="1" l="1"/>
  <c r="G4" i="7"/>
  <c r="G10" i="7" s="1"/>
  <c r="G13" i="7" s="1"/>
  <c r="I43" i="17"/>
  <c r="H26" i="19"/>
  <c r="G5" i="7" l="1"/>
  <c r="G25" i="7"/>
  <c r="G27" i="7"/>
  <c r="I26" i="19"/>
  <c r="G18" i="7" l="1"/>
  <c r="G21" i="7"/>
  <c r="F14" i="1" s="1"/>
  <c r="G22" i="7"/>
  <c r="F17" i="1" s="1"/>
  <c r="G19" i="1" s="1"/>
  <c r="J26" i="19"/>
  <c r="G16" i="1" l="1"/>
  <c r="G20" i="1" s="1"/>
  <c r="G21" i="1" s="1"/>
  <c r="G54" i="8"/>
  <c r="H14" i="7" s="1"/>
  <c r="F39" i="2"/>
  <c r="G41" i="2" s="1"/>
  <c r="G38" i="2" s="1"/>
  <c r="G42" i="2" s="1"/>
  <c r="G46" i="2" s="1"/>
  <c r="G51" i="2" s="1"/>
  <c r="H3" i="7" s="1"/>
  <c r="I6" i="17"/>
  <c r="C34" i="16"/>
  <c r="D34" i="16"/>
  <c r="E34" i="16"/>
  <c r="F34" i="16"/>
  <c r="G34" i="16"/>
  <c r="H34" i="16"/>
  <c r="I34" i="16"/>
  <c r="B34" i="16"/>
  <c r="C27" i="16"/>
  <c r="D27" i="16"/>
  <c r="E27" i="16"/>
  <c r="F27" i="16"/>
  <c r="G27" i="16"/>
  <c r="H27" i="16"/>
  <c r="I27" i="16"/>
  <c r="B27" i="16"/>
  <c r="H15" i="16"/>
  <c r="I15" i="16"/>
  <c r="C15" i="16"/>
  <c r="D15" i="16"/>
  <c r="E15" i="16"/>
  <c r="F15" i="16"/>
  <c r="G15" i="16"/>
  <c r="B15" i="16"/>
  <c r="D6" i="17"/>
  <c r="H6" i="17"/>
  <c r="F6" i="17"/>
  <c r="G22" i="1" l="1"/>
  <c r="H4" i="7"/>
  <c r="H10" i="7" s="1"/>
  <c r="H13" i="7" s="1"/>
  <c r="C6" i="17"/>
  <c r="E6" i="17"/>
  <c r="G6" i="17"/>
  <c r="B6" i="17"/>
  <c r="B7" i="17" s="1"/>
  <c r="C41" i="17"/>
  <c r="B39" i="16"/>
  <c r="H5" i="7" l="1"/>
  <c r="H25" i="7"/>
  <c r="H27" i="7"/>
  <c r="C7" i="17"/>
  <c r="B39" i="17"/>
  <c r="H18" i="7" l="1"/>
  <c r="G39" i="2" s="1"/>
  <c r="H41" i="2" s="1"/>
  <c r="H38" i="2" s="1"/>
  <c r="H42" i="2" s="1"/>
  <c r="H46" i="2" s="1"/>
  <c r="H51" i="2" s="1"/>
  <c r="I3" i="7" s="1"/>
  <c r="H21" i="7"/>
  <c r="G14" i="1" s="1"/>
  <c r="H22" i="7"/>
  <c r="G17" i="1" s="1"/>
  <c r="D7" i="17"/>
  <c r="B44" i="16"/>
  <c r="B38" i="16"/>
  <c r="B33" i="16"/>
  <c r="C33" i="16"/>
  <c r="D33" i="16"/>
  <c r="E33" i="16"/>
  <c r="H19" i="1" l="1"/>
  <c r="H16" i="1"/>
  <c r="E7" i="17"/>
  <c r="H20" i="1" l="1"/>
  <c r="H21" i="1" s="1"/>
  <c r="F7" i="17"/>
  <c r="H22" i="1" l="1"/>
  <c r="I4" i="7"/>
  <c r="H54" i="8"/>
  <c r="I14" i="7" s="1"/>
  <c r="G7" i="17"/>
  <c r="I5" i="7" l="1"/>
  <c r="I10" i="7"/>
  <c r="I13" i="7" s="1"/>
  <c r="I25" i="7" s="1"/>
  <c r="H7" i="17"/>
  <c r="I18" i="7" l="1"/>
  <c r="I21" i="7"/>
  <c r="I22" i="7"/>
  <c r="I27" i="7"/>
  <c r="I7" i="17"/>
  <c r="C37" i="17"/>
  <c r="D37" i="17"/>
  <c r="E37" i="17"/>
  <c r="F37" i="17"/>
  <c r="G37" i="17"/>
  <c r="H37" i="17"/>
  <c r="I37" i="17"/>
  <c r="H39" i="2" l="1"/>
  <c r="I41" i="2" s="1"/>
  <c r="I38" i="2" s="1"/>
  <c r="I42" i="2" s="1"/>
  <c r="I46" i="2" s="1"/>
  <c r="I51" i="2" s="1"/>
  <c r="J3" i="7" s="1"/>
  <c r="H14" i="1"/>
  <c r="H17" i="1"/>
  <c r="C17" i="19"/>
  <c r="C16" i="19"/>
  <c r="J15" i="19"/>
  <c r="I15" i="19"/>
  <c r="H15" i="19"/>
  <c r="G15" i="19"/>
  <c r="F15" i="19"/>
  <c r="E15" i="19"/>
  <c r="D15" i="19"/>
  <c r="C14" i="19"/>
  <c r="D9" i="19"/>
  <c r="E9" i="19" s="1"/>
  <c r="F9" i="19" s="1"/>
  <c r="G9" i="19" s="1"/>
  <c r="H9" i="19" s="1"/>
  <c r="I9" i="19" s="1"/>
  <c r="J9" i="19" s="1"/>
  <c r="D8" i="19"/>
  <c r="E8" i="19" s="1"/>
  <c r="F8" i="19" s="1"/>
  <c r="G8" i="19" s="1"/>
  <c r="H8" i="19" s="1"/>
  <c r="I8" i="19" s="1"/>
  <c r="J8" i="19" s="1"/>
  <c r="D7" i="19"/>
  <c r="E7" i="19" s="1"/>
  <c r="F7" i="19" s="1"/>
  <c r="G7" i="19" s="1"/>
  <c r="H7" i="19" s="1"/>
  <c r="I7" i="19" s="1"/>
  <c r="J7" i="19" s="1"/>
  <c r="C6" i="19"/>
  <c r="C4" i="19"/>
  <c r="B20" i="18"/>
  <c r="I18" i="18"/>
  <c r="H18" i="18"/>
  <c r="G18" i="18"/>
  <c r="F18" i="18"/>
  <c r="E18" i="18"/>
  <c r="D18" i="18"/>
  <c r="C18" i="18"/>
  <c r="C19" i="18" s="1"/>
  <c r="I15" i="18"/>
  <c r="H15" i="18"/>
  <c r="G15" i="18"/>
  <c r="F15" i="18"/>
  <c r="E15" i="18"/>
  <c r="D15" i="18"/>
  <c r="C15" i="18"/>
  <c r="C16" i="18" s="1"/>
  <c r="B13" i="18"/>
  <c r="I12" i="18"/>
  <c r="H12" i="18"/>
  <c r="G12" i="18"/>
  <c r="F12" i="18"/>
  <c r="E12" i="18"/>
  <c r="D12" i="18"/>
  <c r="C12" i="18"/>
  <c r="I11" i="18"/>
  <c r="H11" i="18"/>
  <c r="G11" i="18"/>
  <c r="F11" i="18"/>
  <c r="E11" i="18"/>
  <c r="D11" i="18"/>
  <c r="C11" i="18"/>
  <c r="B11" i="18"/>
  <c r="I10" i="18"/>
  <c r="H10" i="18"/>
  <c r="G10" i="18"/>
  <c r="F10" i="18"/>
  <c r="E10" i="18"/>
  <c r="D10" i="18"/>
  <c r="C10" i="18"/>
  <c r="B10" i="18"/>
  <c r="B7" i="18"/>
  <c r="I6" i="18"/>
  <c r="H6" i="18"/>
  <c r="G6" i="18"/>
  <c r="F6" i="18"/>
  <c r="E6" i="18"/>
  <c r="D6" i="18"/>
  <c r="C6" i="18"/>
  <c r="I4" i="18"/>
  <c r="H4" i="18"/>
  <c r="G4" i="18"/>
  <c r="F4" i="18"/>
  <c r="E4" i="18"/>
  <c r="D4" i="18"/>
  <c r="C4" i="18"/>
  <c r="B4" i="18"/>
  <c r="I49" i="17"/>
  <c r="H49" i="17"/>
  <c r="G49" i="17"/>
  <c r="F49" i="17"/>
  <c r="E49" i="17"/>
  <c r="D49" i="17"/>
  <c r="C49" i="17"/>
  <c r="B49" i="17"/>
  <c r="B50" i="17" s="1"/>
  <c r="I45" i="17"/>
  <c r="H45" i="17"/>
  <c r="G45" i="17"/>
  <c r="F45" i="17"/>
  <c r="E45" i="17"/>
  <c r="D45" i="17"/>
  <c r="C45" i="17"/>
  <c r="B45" i="17"/>
  <c r="I44" i="17"/>
  <c r="H44" i="17"/>
  <c r="G44" i="17"/>
  <c r="F44" i="17"/>
  <c r="E44" i="17"/>
  <c r="D44" i="17"/>
  <c r="C44" i="17"/>
  <c r="B44" i="17"/>
  <c r="H40" i="17"/>
  <c r="G40" i="17"/>
  <c r="F40" i="17"/>
  <c r="E40" i="17"/>
  <c r="D40" i="17"/>
  <c r="C40" i="17"/>
  <c r="B38" i="17"/>
  <c r="B37" i="17"/>
  <c r="I31" i="17"/>
  <c r="I32" i="17" s="1"/>
  <c r="H31" i="17"/>
  <c r="H32" i="17" s="1"/>
  <c r="G31" i="17"/>
  <c r="G32" i="17" s="1"/>
  <c r="F31" i="17"/>
  <c r="F32" i="17" s="1"/>
  <c r="E31" i="17"/>
  <c r="E32" i="17" s="1"/>
  <c r="D31" i="17"/>
  <c r="D32" i="17" s="1"/>
  <c r="C31" i="17"/>
  <c r="C32" i="17" s="1"/>
  <c r="B31" i="17"/>
  <c r="B32" i="17" s="1"/>
  <c r="B33" i="17" s="1"/>
  <c r="E30" i="17"/>
  <c r="D30" i="17"/>
  <c r="C30" i="17"/>
  <c r="B30" i="17"/>
  <c r="I29" i="17"/>
  <c r="H29" i="17"/>
  <c r="G29" i="17"/>
  <c r="F29" i="17"/>
  <c r="E29" i="17"/>
  <c r="D29" i="17"/>
  <c r="C29" i="17"/>
  <c r="B29" i="17"/>
  <c r="B28" i="17"/>
  <c r="I27" i="17"/>
  <c r="H27" i="17"/>
  <c r="G27" i="17"/>
  <c r="F27" i="17"/>
  <c r="E27" i="17"/>
  <c r="D27" i="17"/>
  <c r="C27" i="17"/>
  <c r="B27" i="17"/>
  <c r="I26" i="17"/>
  <c r="H26" i="17"/>
  <c r="G26" i="17"/>
  <c r="F26" i="17"/>
  <c r="E26" i="17"/>
  <c r="D26" i="17"/>
  <c r="C26" i="17"/>
  <c r="B26" i="17"/>
  <c r="I19" i="17"/>
  <c r="H19" i="17"/>
  <c r="G19" i="17"/>
  <c r="F19" i="17"/>
  <c r="E19" i="17"/>
  <c r="D19" i="17"/>
  <c r="C19" i="17"/>
  <c r="B19" i="17"/>
  <c r="I15" i="17"/>
  <c r="H15" i="17"/>
  <c r="G15" i="17"/>
  <c r="F15" i="17"/>
  <c r="E15" i="17"/>
  <c r="D15" i="17"/>
  <c r="C15" i="17"/>
  <c r="B15" i="17"/>
  <c r="B8" i="17"/>
  <c r="I5" i="17"/>
  <c r="H5" i="17"/>
  <c r="G5" i="17"/>
  <c r="F5" i="17"/>
  <c r="E5" i="17"/>
  <c r="D5" i="17"/>
  <c r="C5" i="17"/>
  <c r="B5" i="17"/>
  <c r="B56" i="16"/>
  <c r="B54" i="16"/>
  <c r="I51" i="16"/>
  <c r="H51" i="16"/>
  <c r="G51" i="16"/>
  <c r="F51" i="16"/>
  <c r="E51" i="16"/>
  <c r="D51" i="16"/>
  <c r="C51" i="16"/>
  <c r="B51" i="16"/>
  <c r="I46" i="16"/>
  <c r="H46" i="16"/>
  <c r="G46" i="16"/>
  <c r="F46" i="16"/>
  <c r="E46" i="16"/>
  <c r="D46" i="16"/>
  <c r="C46" i="16"/>
  <c r="B46" i="16"/>
  <c r="I35" i="16"/>
  <c r="H35" i="16"/>
  <c r="G35" i="16"/>
  <c r="F35" i="16"/>
  <c r="E35" i="16"/>
  <c r="D35" i="16"/>
  <c r="C35" i="16"/>
  <c r="B35" i="16"/>
  <c r="B36" i="16" s="1"/>
  <c r="I28" i="16"/>
  <c r="H28" i="16"/>
  <c r="G28" i="16"/>
  <c r="F28" i="16"/>
  <c r="E28" i="16"/>
  <c r="D28" i="16"/>
  <c r="C28" i="16"/>
  <c r="B28" i="16"/>
  <c r="B29" i="16" s="1"/>
  <c r="I25" i="16"/>
  <c r="H25" i="16"/>
  <c r="G25" i="16"/>
  <c r="F25" i="16"/>
  <c r="E25" i="16"/>
  <c r="D25" i="16"/>
  <c r="C25" i="16"/>
  <c r="B25" i="16"/>
  <c r="I23" i="16"/>
  <c r="I24" i="16" s="1"/>
  <c r="H23" i="16"/>
  <c r="H24" i="16" s="1"/>
  <c r="G23" i="16"/>
  <c r="G24" i="16" s="1"/>
  <c r="F23" i="16"/>
  <c r="F24" i="16" s="1"/>
  <c r="E23" i="16"/>
  <c r="E24" i="16" s="1"/>
  <c r="D23" i="16"/>
  <c r="D24" i="16" s="1"/>
  <c r="C23" i="16"/>
  <c r="C24" i="16" s="1"/>
  <c r="B23" i="16"/>
  <c r="B24" i="16" s="1"/>
  <c r="I16" i="16"/>
  <c r="H16" i="16"/>
  <c r="G16" i="16"/>
  <c r="F16" i="16"/>
  <c r="E16" i="16"/>
  <c r="D16" i="16"/>
  <c r="C16" i="16"/>
  <c r="B16" i="16"/>
  <c r="I10" i="16"/>
  <c r="I11" i="16" s="1"/>
  <c r="H10" i="16"/>
  <c r="H11" i="16" s="1"/>
  <c r="G10" i="16"/>
  <c r="G11" i="16" s="1"/>
  <c r="F10" i="16"/>
  <c r="F11" i="16" s="1"/>
  <c r="E10" i="16"/>
  <c r="E11" i="16" s="1"/>
  <c r="D10" i="16"/>
  <c r="D11" i="16" s="1"/>
  <c r="C10" i="16"/>
  <c r="C11" i="16" s="1"/>
  <c r="C3" i="16"/>
  <c r="I19" i="1" l="1"/>
  <c r="I16" i="1"/>
  <c r="I54" i="8"/>
  <c r="J14" i="7" s="1"/>
  <c r="D3" i="16"/>
  <c r="D36" i="16" s="1"/>
  <c r="F31" i="16"/>
  <c r="F33" i="16" s="1"/>
  <c r="C36" i="16"/>
  <c r="C29" i="16"/>
  <c r="C56" i="16"/>
  <c r="D56" i="16" s="1"/>
  <c r="E56" i="16" s="1"/>
  <c r="F56" i="16" s="1"/>
  <c r="G56" i="16" s="1"/>
  <c r="H56" i="16" s="1"/>
  <c r="I56" i="16" s="1"/>
  <c r="B21" i="18"/>
  <c r="B22" i="18" s="1"/>
  <c r="B42" i="17"/>
  <c r="B46" i="17" s="1"/>
  <c r="F5" i="18"/>
  <c r="C5" i="18"/>
  <c r="C7" i="18" s="1"/>
  <c r="E5" i="18"/>
  <c r="I5" i="18"/>
  <c r="G5" i="18"/>
  <c r="D5" i="18"/>
  <c r="H5" i="18"/>
  <c r="C13" i="18"/>
  <c r="D13" i="18" s="1"/>
  <c r="E13" i="18" s="1"/>
  <c r="F13" i="18" s="1"/>
  <c r="G13" i="18" s="1"/>
  <c r="H13" i="18" s="1"/>
  <c r="I13" i="18" s="1"/>
  <c r="I40" i="17"/>
  <c r="C16" i="17"/>
  <c r="C22" i="17"/>
  <c r="C20" i="18"/>
  <c r="C8" i="17"/>
  <c r="B34" i="17"/>
  <c r="C33" i="17"/>
  <c r="C50" i="17"/>
  <c r="D17" i="19"/>
  <c r="D14" i="19"/>
  <c r="C17" i="17"/>
  <c r="D16" i="19"/>
  <c r="B16" i="17"/>
  <c r="B17" i="17"/>
  <c r="B22" i="17"/>
  <c r="C55" i="16"/>
  <c r="D55" i="16" s="1"/>
  <c r="E55" i="16" s="1"/>
  <c r="F55" i="16" s="1"/>
  <c r="G55" i="16" s="1"/>
  <c r="H55" i="16" s="1"/>
  <c r="I55" i="16" s="1"/>
  <c r="C54" i="16"/>
  <c r="I20" i="1" l="1"/>
  <c r="I21" i="1" s="1"/>
  <c r="D29" i="16"/>
  <c r="E3" i="16"/>
  <c r="F3" i="16" s="1"/>
  <c r="G3" i="16" s="1"/>
  <c r="H3" i="16" s="1"/>
  <c r="I3" i="16" s="1"/>
  <c r="I29" i="16" s="1"/>
  <c r="G31" i="16"/>
  <c r="C25" i="19"/>
  <c r="C21" i="18"/>
  <c r="C22" i="18" s="1"/>
  <c r="D7" i="18"/>
  <c r="E7" i="18" s="1"/>
  <c r="F7" i="18" s="1"/>
  <c r="G7" i="18" s="1"/>
  <c r="H7" i="18" s="1"/>
  <c r="I7" i="18" s="1"/>
  <c r="C18" i="17"/>
  <c r="C20" i="17" s="1"/>
  <c r="C23" i="17" s="1"/>
  <c r="E16" i="19"/>
  <c r="D16" i="17"/>
  <c r="D8" i="17"/>
  <c r="D33" i="17"/>
  <c r="D22" i="17"/>
  <c r="E17" i="19"/>
  <c r="D50" i="17"/>
  <c r="C28" i="17"/>
  <c r="C34" i="17" s="1"/>
  <c r="F30" i="17"/>
  <c r="D17" i="17"/>
  <c r="E8" i="17"/>
  <c r="B18" i="17"/>
  <c r="B20" i="17" s="1"/>
  <c r="B23" i="17" s="1"/>
  <c r="H31" i="16"/>
  <c r="G33" i="16"/>
  <c r="I22" i="1" l="1"/>
  <c r="J4" i="7"/>
  <c r="F36" i="16"/>
  <c r="G36" i="16"/>
  <c r="H36" i="16"/>
  <c r="H29" i="16"/>
  <c r="I36" i="16"/>
  <c r="F29" i="16"/>
  <c r="G29" i="16"/>
  <c r="E36" i="16"/>
  <c r="E29" i="16"/>
  <c r="D18" i="17"/>
  <c r="D20" i="17" s="1"/>
  <c r="D23" i="17" s="1"/>
  <c r="E17" i="17"/>
  <c r="F16" i="19"/>
  <c r="E50" i="17"/>
  <c r="E16" i="17"/>
  <c r="E33" i="17"/>
  <c r="E22" i="17"/>
  <c r="D28" i="17"/>
  <c r="D34" i="17" s="1"/>
  <c r="F17" i="19"/>
  <c r="G30" i="17"/>
  <c r="I31" i="16"/>
  <c r="I33" i="16" s="1"/>
  <c r="H33" i="16"/>
  <c r="J5" i="7" l="1"/>
  <c r="J10" i="7"/>
  <c r="J13" i="7" s="1"/>
  <c r="E18" i="17"/>
  <c r="E20" i="17" s="1"/>
  <c r="E23" i="17" s="1"/>
  <c r="F33" i="17"/>
  <c r="G16" i="19"/>
  <c r="F16" i="17"/>
  <c r="H30" i="17"/>
  <c r="F50" i="17"/>
  <c r="G17" i="19"/>
  <c r="I30" i="17"/>
  <c r="F17" i="17"/>
  <c r="F8" i="17"/>
  <c r="F22" i="17"/>
  <c r="E28" i="17"/>
  <c r="E34" i="17" s="1"/>
  <c r="B9" i="17"/>
  <c r="G50" i="17"/>
  <c r="J25" i="7" l="1"/>
  <c r="J27" i="7"/>
  <c r="B10" i="17"/>
  <c r="B11" i="17" s="1"/>
  <c r="B12" i="17" s="1"/>
  <c r="B51" i="17" s="1"/>
  <c r="G22" i="17"/>
  <c r="G17" i="17"/>
  <c r="H33" i="17"/>
  <c r="G33" i="17"/>
  <c r="F18" i="17"/>
  <c r="F20" i="17" s="1"/>
  <c r="F23" i="17" s="1"/>
  <c r="G16" i="17"/>
  <c r="G8" i="17"/>
  <c r="H16" i="19"/>
  <c r="F28" i="17"/>
  <c r="F34" i="17" s="1"/>
  <c r="H17" i="19"/>
  <c r="D6" i="19"/>
  <c r="C9" i="17"/>
  <c r="H22" i="17"/>
  <c r="D4" i="19"/>
  <c r="J18" i="7" l="1"/>
  <c r="I39" i="2" s="1"/>
  <c r="J21" i="7"/>
  <c r="I14" i="1" s="1"/>
  <c r="J22" i="7"/>
  <c r="I17" i="1" s="1"/>
  <c r="C10" i="17"/>
  <c r="C11" i="17" s="1"/>
  <c r="C12" i="17" s="1"/>
  <c r="G18" i="17"/>
  <c r="G20" i="17" s="1"/>
  <c r="G23" i="17" s="1"/>
  <c r="H17" i="17"/>
  <c r="H16" i="17"/>
  <c r="I16" i="19"/>
  <c r="H50" i="17"/>
  <c r="H8" i="17"/>
  <c r="I17" i="19"/>
  <c r="G28" i="17"/>
  <c r="G34" i="17" s="1"/>
  <c r="D9" i="17"/>
  <c r="C3" i="19"/>
  <c r="I22" i="17"/>
  <c r="E6" i="19"/>
  <c r="D10" i="17" l="1"/>
  <c r="D11" i="17" s="1"/>
  <c r="D12" i="17" s="1"/>
  <c r="H18" i="17"/>
  <c r="H20" i="17" s="1"/>
  <c r="H23" i="17" s="1"/>
  <c r="I33" i="17"/>
  <c r="I17" i="17"/>
  <c r="I16" i="17"/>
  <c r="I8" i="17"/>
  <c r="I50" i="17"/>
  <c r="J16" i="19"/>
  <c r="H28" i="17"/>
  <c r="H34" i="17" s="1"/>
  <c r="J17" i="19"/>
  <c r="E9" i="17"/>
  <c r="F6" i="19"/>
  <c r="C10" i="19"/>
  <c r="C13" i="19" s="1"/>
  <c r="C5" i="19"/>
  <c r="E10" i="17" l="1"/>
  <c r="E11" i="17" s="1"/>
  <c r="E12" i="17" s="1"/>
  <c r="I18" i="17"/>
  <c r="I20" i="17" s="1"/>
  <c r="I23" i="17" s="1"/>
  <c r="I28" i="17"/>
  <c r="I34" i="17" s="1"/>
  <c r="F9" i="17"/>
  <c r="G6" i="19"/>
  <c r="C38" i="17"/>
  <c r="C42" i="17" s="1"/>
  <c r="C46" i="17" s="1"/>
  <c r="C51" i="17" s="1"/>
  <c r="F10" i="17" l="1"/>
  <c r="F11" i="17" s="1"/>
  <c r="F12" i="17" s="1"/>
  <c r="G9" i="17"/>
  <c r="H6" i="19"/>
  <c r="G10" i="17" l="1"/>
  <c r="G11" i="17" s="1"/>
  <c r="G12" i="17" s="1"/>
  <c r="D3" i="19"/>
  <c r="H9" i="17"/>
  <c r="I6" i="19"/>
  <c r="H10" i="17" l="1"/>
  <c r="H11" i="17" s="1"/>
  <c r="H12" i="17" s="1"/>
  <c r="D10" i="19"/>
  <c r="D13" i="19" s="1"/>
  <c r="D25" i="19" s="1"/>
  <c r="D18" i="19" s="1"/>
  <c r="D5" i="19"/>
  <c r="I9" i="17"/>
  <c r="J6" i="19"/>
  <c r="I10" i="17" l="1"/>
  <c r="I11" i="17" s="1"/>
  <c r="I12" i="17" s="1"/>
  <c r="D27" i="19"/>
  <c r="D21" i="19" s="1"/>
  <c r="D22" i="19" l="1"/>
  <c r="C39" i="17"/>
  <c r="D41" i="17" s="1"/>
  <c r="D38" i="17" s="1"/>
  <c r="D42" i="17" s="1"/>
  <c r="D46" i="17" s="1"/>
  <c r="D51" i="17" s="1"/>
  <c r="C14" i="18"/>
  <c r="C17" i="18"/>
  <c r="D16" i="18" l="1"/>
  <c r="E4" i="19"/>
  <c r="D54" i="16"/>
  <c r="D19" i="18"/>
  <c r="E3" i="19"/>
  <c r="D20" i="18" l="1"/>
  <c r="D21" i="18" s="1"/>
  <c r="D22" i="18" s="1"/>
  <c r="E14" i="19"/>
  <c r="E10" i="19"/>
  <c r="E13" i="19" s="1"/>
  <c r="E5" i="19"/>
  <c r="E25" i="19" l="1"/>
  <c r="E27" i="19"/>
  <c r="E21" i="19" l="1"/>
  <c r="E18" i="19"/>
  <c r="E22" i="19"/>
  <c r="D14" i="18"/>
  <c r="D17" i="18"/>
  <c r="D39" i="17" l="1"/>
  <c r="E41" i="17" s="1"/>
  <c r="E38" i="17" s="1"/>
  <c r="E42" i="17" s="1"/>
  <c r="E46" i="17" s="1"/>
  <c r="E51" i="17" s="1"/>
  <c r="E19" i="18"/>
  <c r="E16" i="18"/>
  <c r="E54" i="16" l="1"/>
  <c r="F3" i="19"/>
  <c r="E20" i="18"/>
  <c r="E21" i="18" s="1"/>
  <c r="E22" i="18" s="1"/>
  <c r="F14" i="19" l="1"/>
  <c r="F4" i="19"/>
  <c r="F5" i="19" s="1"/>
  <c r="F10" i="19" l="1"/>
  <c r="F13" i="19" s="1"/>
  <c r="F25" i="19" s="1"/>
  <c r="F18" i="19" s="1"/>
  <c r="F27" i="19" l="1"/>
  <c r="F22" i="19" s="1"/>
  <c r="E14" i="18"/>
  <c r="F16" i="18" s="1"/>
  <c r="E39" i="17"/>
  <c r="F41" i="17" s="1"/>
  <c r="F38" i="17" s="1"/>
  <c r="F42" i="17" s="1"/>
  <c r="F46" i="17" s="1"/>
  <c r="F51" i="17" s="1"/>
  <c r="E17" i="18"/>
  <c r="F19" i="18" s="1"/>
  <c r="F21" i="19" l="1"/>
  <c r="F20" i="18"/>
  <c r="F21" i="18" s="1"/>
  <c r="F22" i="18" s="1"/>
  <c r="G3" i="19"/>
  <c r="F54" i="16"/>
  <c r="G14" i="19" l="1"/>
  <c r="G4" i="19" l="1"/>
  <c r="G10" i="19" l="1"/>
  <c r="G13" i="19" s="1"/>
  <c r="G5" i="19"/>
  <c r="G25" i="19" l="1"/>
  <c r="G18" i="19" s="1"/>
  <c r="G27" i="19"/>
  <c r="G22" i="19" l="1"/>
  <c r="G21" i="19"/>
  <c r="F39" i="17"/>
  <c r="G41" i="17" s="1"/>
  <c r="G38" i="17" s="1"/>
  <c r="G42" i="17" s="1"/>
  <c r="G46" i="17" s="1"/>
  <c r="G51" i="17" s="1"/>
  <c r="F17" i="18"/>
  <c r="G19" i="18" s="1"/>
  <c r="F14" i="18"/>
  <c r="G16" i="18" s="1"/>
  <c r="G20" i="18" l="1"/>
  <c r="G21" i="18" s="1"/>
  <c r="G22" i="18" s="1"/>
  <c r="G54" i="16"/>
  <c r="H3" i="19"/>
  <c r="H4" i="19" l="1"/>
  <c r="H10" i="19" s="1"/>
  <c r="H13" i="19" s="1"/>
  <c r="H14" i="19"/>
  <c r="H5" i="19" l="1"/>
  <c r="H25" i="19"/>
  <c r="H18" i="19" s="1"/>
  <c r="H27" i="19"/>
  <c r="H22" i="19" l="1"/>
  <c r="H21" i="19"/>
  <c r="G14" i="18" l="1"/>
  <c r="H16" i="18" s="1"/>
  <c r="G39" i="17"/>
  <c r="H41" i="17" s="1"/>
  <c r="H38" i="17" s="1"/>
  <c r="H42" i="17" s="1"/>
  <c r="H46" i="17" s="1"/>
  <c r="H51" i="17" s="1"/>
  <c r="G17" i="18" l="1"/>
  <c r="H19" i="18" s="1"/>
  <c r="H20" i="18" s="1"/>
  <c r="H21" i="18" s="1"/>
  <c r="H22" i="18" s="1"/>
  <c r="H54" i="16" l="1"/>
  <c r="I3" i="19"/>
  <c r="I14" i="19" l="1"/>
  <c r="I4" i="19"/>
  <c r="I10" i="19" s="1"/>
  <c r="I13" i="19" s="1"/>
  <c r="I5" i="19" l="1"/>
  <c r="I25" i="19"/>
  <c r="I18" i="19" s="1"/>
  <c r="I27" i="19"/>
  <c r="I22" i="19" l="1"/>
  <c r="I21" i="19"/>
  <c r="H17" i="18" l="1"/>
  <c r="I19" i="18" s="1"/>
  <c r="H14" i="18"/>
  <c r="I16" i="18" s="1"/>
  <c r="H39" i="17"/>
  <c r="I41" i="17" s="1"/>
  <c r="I38" i="17" s="1"/>
  <c r="I42" i="17" s="1"/>
  <c r="I46" i="17" s="1"/>
  <c r="I51" i="17" s="1"/>
  <c r="I20" i="18" l="1"/>
  <c r="I21" i="18" s="1"/>
  <c r="I22" i="18" s="1"/>
  <c r="J3" i="19"/>
  <c r="I54" i="16"/>
  <c r="J4" i="19" l="1"/>
  <c r="J10" i="19" s="1"/>
  <c r="J13" i="19" s="1"/>
  <c r="J14" i="19"/>
  <c r="J5" i="19" l="1"/>
  <c r="J25" i="19"/>
  <c r="J18" i="19" s="1"/>
  <c r="J27" i="19"/>
  <c r="J22" i="19" l="1"/>
  <c r="J21" i="19"/>
  <c r="I39" i="17" l="1"/>
  <c r="I14" i="18"/>
  <c r="I17" i="18"/>
</calcChain>
</file>

<file path=xl/sharedStrings.xml><?xml version="1.0" encoding="utf-8"?>
<sst xmlns="http://schemas.openxmlformats.org/spreadsheetml/2006/main" count="442" uniqueCount="135">
  <si>
    <t>General Revenue Reciepts</t>
  </si>
  <si>
    <t>GDP growth rate real (%)</t>
  </si>
  <si>
    <t>GDP (mp) (Rs billion)</t>
  </si>
  <si>
    <t>Federal divisible tax pool (gross of collection charges and KP share on account of war on terror) (Rs billion)</t>
  </si>
  <si>
    <t>Federal divisible pool after subtracting 1% collection charges (Rs billion)</t>
  </si>
  <si>
    <t>Federal divisible pool after subtracting collection charges and 1% KP share on account of war on terror (Rs billion)</t>
  </si>
  <si>
    <t>Share of provinces in the divisible pool (Rs billion)</t>
  </si>
  <si>
    <t>Punjab's share in the divisible pool (Rs billion)</t>
  </si>
  <si>
    <t>Federal transfers</t>
  </si>
  <si>
    <t xml:space="preserve">Foreign and federal development grants </t>
  </si>
  <si>
    <t>Ratio of development expenditure in year t (as percentage of GDP) to development expenditure in year t-1(as percentage of GDP)</t>
  </si>
  <si>
    <t>GDP Growth factor = 1+ nominal GDP growth rate</t>
  </si>
  <si>
    <t xml:space="preserve">Development Expenditure (Rs billion) </t>
  </si>
  <si>
    <t>Inflation factor (CPI)</t>
  </si>
  <si>
    <t>Interest payments on domestic and foreign debt (Rs billion)</t>
  </si>
  <si>
    <t>Total current revenue expenditure (Rs billion)</t>
  </si>
  <si>
    <t>Overall fiscal balance</t>
  </si>
  <si>
    <t>Exchange rate depreciation factor</t>
  </si>
  <si>
    <t>Provincial share in the federal divisible pool of tax revenue (%)</t>
  </si>
  <si>
    <t xml:space="preserve">Development surcharges &amp; royalty as a ratio of GDP </t>
  </si>
  <si>
    <t xml:space="preserve">Ratio of provincial taxes to GDP </t>
  </si>
  <si>
    <t xml:space="preserve">Punjab’s own tax revenue (Rs billion) </t>
  </si>
  <si>
    <t>Tax-to-GDP ratio</t>
  </si>
  <si>
    <t>Collection charges (%)</t>
  </si>
  <si>
    <t>Foreign Inflation (%)</t>
  </si>
  <si>
    <t>Federal development grants (Rs billion)</t>
  </si>
  <si>
    <t>Other grants (Rs billion)</t>
  </si>
  <si>
    <t>Domestic debt repayment (Rs billion)</t>
  </si>
  <si>
    <t>Foreign debt repayment (Rs billion)</t>
  </si>
  <si>
    <t>Development surcharge and royalties (Rs billion)</t>
  </si>
  <si>
    <t xml:space="preserve">Cash reserves </t>
  </si>
  <si>
    <t>Ratio of divisible tax pool to GDP</t>
  </si>
  <si>
    <t>Excise duty in natural gas to GDP ratio</t>
  </si>
  <si>
    <t>CPI-Inflation rate (%)</t>
  </si>
  <si>
    <t>Provincial tax to total tax ratio assumed constant at FY2013 level</t>
  </si>
  <si>
    <t>Ratio of Excise duty to GDP</t>
  </si>
  <si>
    <t>Real CRE growth factor</t>
  </si>
  <si>
    <t>Punjab’s share of taxes in GDP in FY2013</t>
  </si>
  <si>
    <t xml:space="preserve">Punjab's share in the divisible pool after adjusting for arrears (Rs billion) </t>
  </si>
  <si>
    <t>CRE Real growth factor</t>
  </si>
  <si>
    <t>Loans</t>
  </si>
  <si>
    <t>Expenditures</t>
  </si>
  <si>
    <t>Excise duty on natural gas (Rs billion)</t>
  </si>
  <si>
    <t>Excise duty on oil (Rs billion)</t>
  </si>
  <si>
    <t>Exchange Rate Depreciation (%)</t>
  </si>
  <si>
    <t>Exchange Rate Depreciation factor</t>
  </si>
  <si>
    <t xml:space="preserve">CPI- Inflation factor </t>
  </si>
  <si>
    <t>Forecasts of Expenditures in Punjab (2014-2020)</t>
  </si>
  <si>
    <t>Forecasts of Revenues in Punjab (2014-2020)</t>
  </si>
  <si>
    <t>Forecasts of Deficits, Cash Reserves and Debts in Punjab (2014-2020)</t>
  </si>
  <si>
    <t>Assumptions (2013-2020)</t>
  </si>
  <si>
    <t>Punjabs share in the divisible pool  (%)</t>
  </si>
  <si>
    <t>Ratio of divisible pool to total taxes assumed constant at FY2013 level</t>
  </si>
  <si>
    <t>Excise duty to tax ratio assumed constant at FY2013 level</t>
  </si>
  <si>
    <t>Ratio of non-tax revenue to GDP assumed constant at  FY2013 level</t>
  </si>
  <si>
    <t>Development surcharges &amp;royalty as a ratio of taxes assumed constant at FY2013 level</t>
  </si>
  <si>
    <t>Arrears (Rs billion)</t>
  </si>
  <si>
    <t xml:space="preserve">Ratio of divisible pool to total taxes assumed constant at FY2013 level </t>
  </si>
  <si>
    <t>Total transfers under article 161 of the constitution and clause 5 &amp; 6 of the NFC award (Rs billion)</t>
  </si>
  <si>
    <t>Federal non-development grants (including arrears and excluding interest on cash reserves) (Rs billion)</t>
  </si>
  <si>
    <t>Interest income from cash reserves (Rs billion)</t>
  </si>
  <si>
    <t>Federal non-development grants including interest on cash reserves (Rs billion)</t>
  </si>
  <si>
    <t>Foreign grants (Rs billion)</t>
  </si>
  <si>
    <t>Provincial tax revenue if provincial tax-GDP is as in the preceding row (Rs billion)</t>
  </si>
  <si>
    <t>Punjab's share in additional provincial own-taxes based on the ratio in the preceding row (Rs billion)</t>
  </si>
  <si>
    <t>Punjab's tax revenue if provincial-tax-to-GDP remains unchanged at its 2012-13 level and Punjab's share in total provincial taxes is the same as in 2012-13 (Rs billion)</t>
  </si>
  <si>
    <t>Ratio of non-tax revenue to GDP assumed constant at FY2013 level</t>
  </si>
  <si>
    <t>Non-tax revenue raised by the provincial government (Rs billion)</t>
  </si>
  <si>
    <t>Domestic Debt Outstanding (Rs billion)</t>
  </si>
  <si>
    <t>Interest payment on domestic debt (Rs billion)</t>
  </si>
  <si>
    <t>Foreign debt outstanding(Rs billion)</t>
  </si>
  <si>
    <t>Interest payment on foreign debt (Rs billion)</t>
  </si>
  <si>
    <t>Total Expenditure (Rs billion)</t>
  </si>
  <si>
    <t>General Revenue Receipts  excluding proceeds from sale of non financial assets (Rs billion)</t>
  </si>
  <si>
    <t>General revenue receipts excluding proceeds from sale of nonfinancial assets (Rs billion)</t>
  </si>
  <si>
    <t>Gross operating surplus (receipts minus expenditure) (Rs billion)</t>
  </si>
  <si>
    <t>Loans and advances by provincial government (Rs billion)</t>
  </si>
  <si>
    <t>Proceeds from sale of nonfinancial assets (Rs billion)</t>
  </si>
  <si>
    <t>Overall fiscal balance (Rs billion)</t>
  </si>
  <si>
    <t>Repayment of policy loans (Rs billion)</t>
  </si>
  <si>
    <t>Cash reserves (Rs billion)</t>
  </si>
  <si>
    <t>New foreign loans (general case) (Rs billion)</t>
  </si>
  <si>
    <t>Development surcharges &amp; royalties as a ratio of taxes assumed constant at FY2013 level</t>
  </si>
  <si>
    <t>Interest rate on cash reserves (%) (See notes)</t>
  </si>
  <si>
    <t>Hydo-electric profit including arrears (Rs billion) (See Notes Below)</t>
  </si>
  <si>
    <t>Explanatory notes</t>
  </si>
  <si>
    <t>Total federal and foreign grants (Rs billion)</t>
  </si>
  <si>
    <t xml:space="preserve">Interest Rate on Cash Reserves: 
For FY2013/14, and FY2014/15, the interest rates were taken to be the weighted average rates of return on treasury bills when sold by the State Bank of Pakistan (SBP), which were respectively 8.57% and 7.83%. For the remaining years, we have taken the interest rate to be 6.48%, which was the weighted average rate of return on treasury bills in June 2015, the last month for which the weighted average rate of return figures are available from the annual report of SBP.
</t>
  </si>
  <si>
    <r>
      <rPr>
        <b/>
        <sz val="12"/>
        <color theme="1"/>
        <rFont val="Cambria"/>
        <family val="1"/>
        <scheme val="major"/>
      </rPr>
      <t xml:space="preserve">Interest Rate on Cash Reserves: </t>
    </r>
    <r>
      <rPr>
        <sz val="12"/>
        <color theme="1"/>
        <rFont val="Cambria"/>
        <family val="1"/>
        <scheme val="major"/>
      </rPr>
      <t xml:space="preserve">
For FY2013/14, and FY2014/15, the interest rates were taken to be the weighted average rates of return on treasury bills when sold by the State Bank of Pakistan (SBP), which were respectively 8.57% and 7.83%. For the remaining years, we have taken the interest rate to be 6.48%, which was the weighted average rate of return on treasury bills in June 2015, the last month for which the weighted average rate of return figures are available from the annual report of SBP.
</t>
    </r>
  </si>
  <si>
    <r>
      <t xml:space="preserve">Hydo-electric profit including arrears (Rs billion) </t>
    </r>
    <r>
      <rPr>
        <sz val="12"/>
        <color theme="4"/>
        <rFont val="Cambria"/>
        <family val="1"/>
        <scheme val="major"/>
      </rPr>
      <t>(See Notes Below)</t>
    </r>
  </si>
  <si>
    <t>KP share on account of war on terror (%)</t>
  </si>
  <si>
    <t>Public investment expenditure (% of GDP)</t>
  </si>
  <si>
    <t>Factor by which the base year level of new foreign loans (in rupees) is multiplied to obtain the upper bound on new foreign loans (in rupees).</t>
  </si>
  <si>
    <t>New domestic loans (general case) (Rs billion)</t>
  </si>
  <si>
    <t>METHODOLOGY</t>
  </si>
  <si>
    <t>Development surcharges and royalities as a ratio of GDP</t>
  </si>
  <si>
    <r>
      <rPr>
        <b/>
        <sz val="12"/>
        <color theme="1"/>
        <rFont val="Cambria"/>
        <family val="1"/>
        <scheme val="major"/>
      </rPr>
      <t xml:space="preserve"> Own Tax Revenues:  </t>
    </r>
    <r>
      <rPr>
        <sz val="12"/>
        <color theme="1"/>
        <rFont val="Cambria"/>
        <family val="1"/>
        <scheme val="major"/>
      </rPr>
      <t xml:space="preserve">                                                                The own-tax revenue is obtained under the assumption that own tax revenue of all four provinces taken together (provincial own-tax revenue) as a ratio of total tax revenue will remain constant at its FY2013 level. This implies an increase in provincial own-tax revenue as a ratio of GDP.  The own-tax revenue is compared with the alternative where the provincial own-tax to GDP is constant at the FY2013 level. The additional revenue because of the increase in own-tax to GDP (relative to the alternative of no change in this ratio) is attributed to greater revenue effort by Punjab and Sindh and allocated between Punjab and Sindh in the ratio of 0.53 : 0.47. Punjab’s share of 0.533 in the additional revenue is obtained by taking Punjab’s own-tax receipts in FY2013 as a ratio of Punjab and Sindh’s own-tax receipts in FY2013. This additional revenue is then added to Punjab’s revenue share under the status quo ie the alternative where the provincial own-tax to GDP is unchanged from FY2013 and Punjab’s share is unchanged from FY2013 at 52%.</t>
    </r>
  </si>
  <si>
    <t xml:space="preserve"> Own Tax Revenues:                                                                  The own-tax revenue is obtained under the assumption that own tax revenue of all four provinces taken together (provincial own-tax revenue) as a ratio of total tax revenue will remain constant at its FY2013 level. This implies an increase in provincial own-tax revenue as a ratio of GDP.  The own-tax revenue is compared with the alternative where the provincial own-tax to GDP is constant at the FY2013 level. The additional revenue because of the increase in own-tax to GDP (relative to the alternative of no change in this ratio) is attributed to greater revenue effort by Punjab and Sindh and allocated between Punjab and Sindh in the ratio of 0.53 : 0.47. Punjab’s share of 0.533 in the additional revenue is obtained by taking Punjab’s own-tax receipts in FY2013 as a ratio of Punjab and Sindh’s own-tax receipts in FY2013. This additional revenue is then added to Punjab’s revenue share under the status quo ie the alternative where the provincial own-tax to GDP is unchanged from FY2013 and Punjab’s share is unchanged from FY2013 at 52%.</t>
  </si>
  <si>
    <t xml:space="preserve">Explanatory Note: The cash reserve value for the base year FY2012/13 was obtained by taking into account the ‘incentive grant for maintaining provincial surpluses in terms of CCI decision for Punjab’ in FY2013/14, which was Rs0.556 billion (see Federal Budget Details of Demand for Grants and Appropriations 2014-15, Demand No.035). In our model, this payment was equivalent to the product of the interest rate (0.0857) and cash reserves at the end of FY2012/13. The implied cash reserve value is Rs6.485 billion in FY2012/13. </t>
  </si>
  <si>
    <t>Hydro-electric profit including arrears (Rs billion) (See notes)</t>
  </si>
  <si>
    <t>Default level of new foreign loans (applicable only if conditions given in Section 3 of methodology tab are met ie if Ω in row 25 of the deficit tab is non-negative) (Rs billion)</t>
  </si>
  <si>
    <t xml:space="preserve">The cash reserve value for the base year FY2012/13 was obtained by taking into account the ‘incentive grant for maintaining provincial surpluses in terms of CCI decision for Punjab’ in FY2013/14, which was Rs0.556 billion (see Federal Budget Details of Demand for Grants and Appropriations 2014-15, Demand No.035). In our model, this payment was equivalent to the product of the interest rate (0.0857) and cash reserves at theend of FY2012/13. The implied cash reserve value is Rs6.485 billion in FY2012/13. </t>
  </si>
  <si>
    <t>Cash reserves(Rs billion) (See notes)</t>
  </si>
  <si>
    <t>Ratio of divisible pool of tax revenue (gross) to GDP (mp) assumed constant at FY2013 level</t>
  </si>
  <si>
    <t>Interest income on cash reserves (Rs billion)</t>
  </si>
  <si>
    <t>Cash reserves in base year (Rs billion) (See notes)</t>
  </si>
  <si>
    <t>Hydo-electric profit  without arrears (Rs billion)</t>
  </si>
  <si>
    <t>Arrears on hydro-electric profits (Rs billion)(See notes )</t>
  </si>
  <si>
    <t>Punjab's own tax revenue as a ratio of sum of Punjab's own tax revenue and Sindh's own tax revenue assumed constant at FY2013 level</t>
  </si>
  <si>
    <t>The factor for any given year is obtained by multiplying the base year values of foreign loans (In rupees) by the accumulated exchange rate depreciation between the base year and the given year.</t>
  </si>
  <si>
    <t>Default level of new foreign loans (applicable only if conditions given in Section 3 of methodology tab are met ie if Ω in row 25 is non-negative)(Rs billion)</t>
  </si>
  <si>
    <t>Non-interest Current Revenue Expenditure (Rs billion)</t>
  </si>
  <si>
    <t>Total Current Revenue Expenditure (Rs billion)</t>
  </si>
  <si>
    <t>GDP deflator (%)</t>
  </si>
  <si>
    <t>Real growth of current expenditure (CRE) (%)</t>
  </si>
  <si>
    <t>Interest rate on domestic debt (%)</t>
  </si>
  <si>
    <t>Interest rate on foreign debt (%)</t>
  </si>
  <si>
    <t>CRE Real growth rate (%)</t>
  </si>
  <si>
    <t>Development expenditure (Rs billion)</t>
  </si>
  <si>
    <r>
      <t xml:space="preserve">Interest rate on cash reserves (%) </t>
    </r>
    <r>
      <rPr>
        <i/>
        <sz val="11"/>
        <color theme="4"/>
        <rFont val="Cambria"/>
        <family val="1"/>
        <scheme val="major"/>
      </rPr>
      <t>(See notes below)</t>
    </r>
  </si>
  <si>
    <t>Interest rate on cash reserves (%) (See notes below)</t>
  </si>
  <si>
    <t>Current Revenue Expenditure</t>
  </si>
  <si>
    <t>Development Expenditure</t>
  </si>
  <si>
    <t>Variables for determining Cash Reserves, New Domestic Loans and New Foreign Loans</t>
  </si>
  <si>
    <t>Ω (omega) (Rs billion)</t>
  </si>
  <si>
    <t>Γ (gamma) (Rs billion)</t>
  </si>
  <si>
    <t>Ψ (psi) (Rs billion)</t>
  </si>
  <si>
    <t>Punjab own tax revenue (see notes below)</t>
  </si>
  <si>
    <t>Transfers under article 161 of the constitution and clause 5 and 6 of the NFC award</t>
  </si>
  <si>
    <t>Non-tax revenues</t>
  </si>
  <si>
    <t>Investment expenditure (% of GDP)</t>
  </si>
  <si>
    <t xml:space="preserve">Hydro electric profit calculations:                                                                          In FY2012/13 Punjab received Rs 5.1 billion on account of profit from hydro-electricity generation. In order to have a claim on the federal government the Punjab government continues to budget for this even though it has not received any transfer under this head for the last two years. We have assumed that federal transfers on account of hydro-electricity generation will be zero from 2014 till 2016 but the next NFC award will allow Punjab to receive its claim adjusted for inflation and arrears. The arrears calculated for FY2013/14 till FY2015/16 are distributed evenly over the remaining over years of the forecast period. </t>
  </si>
  <si>
    <t>Provincial tax revenue if provincial-tax-to-GDP were constant at FY2013 level (Rs billion)</t>
  </si>
  <si>
    <t>Difference between (i) the forecast provincial revenue with increasing provincial-tax-to-GDP ratio, and (ii) provincial tax revenue if provincial tax-to-GDP ratio remained unchanged at FY2013 level (Rs billion)</t>
  </si>
  <si>
    <t>Ratio of Punjab's own-tax to the sum of own taxes of Punjab and Sindh in FY2013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</si>
</sst>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00"/>
    <numFmt numFmtId="168" formatCode="0.000000"/>
    <numFmt numFmtId="169" formatCode="0.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color rgb="FF3F3F76"/>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1"/>
      <color theme="1"/>
      <name val="Cambria"/>
      <family val="1"/>
      <scheme val="major"/>
    </font>
    <font>
      <sz val="11"/>
      <color rgb="FF000000"/>
      <name val="Cambria"/>
      <family val="1"/>
      <scheme val="major"/>
    </font>
    <font>
      <sz val="11"/>
      <color theme="1"/>
      <name val="Cambria"/>
      <family val="1"/>
      <scheme val="major"/>
    </font>
    <font>
      <sz val="11"/>
      <name val="Cambria"/>
      <family val="1"/>
      <scheme val="major"/>
    </font>
    <font>
      <b/>
      <sz val="15"/>
      <color theme="3"/>
      <name val="Calibri"/>
      <family val="2"/>
      <scheme val="minor"/>
    </font>
    <font>
      <b/>
      <sz val="13"/>
      <color theme="3"/>
      <name val="Calibri"/>
      <family val="2"/>
      <scheme val="minor"/>
    </font>
    <font>
      <i/>
      <sz val="12"/>
      <color theme="0" tint="-0.499984740745262"/>
      <name val="Cambria"/>
      <family val="1"/>
      <scheme val="major"/>
    </font>
    <font>
      <i/>
      <sz val="11"/>
      <color theme="0" tint="-0.499984740745262"/>
      <name val="Cambria"/>
      <family val="1"/>
      <scheme val="major"/>
    </font>
    <font>
      <b/>
      <sz val="12"/>
      <color rgb="FF000000"/>
      <name val="Cambria"/>
      <family val="1"/>
      <scheme val="major"/>
    </font>
    <font>
      <i/>
      <sz val="12"/>
      <color rgb="FF000000"/>
      <name val="Cambria"/>
      <family val="1"/>
      <scheme val="major"/>
    </font>
    <font>
      <b/>
      <sz val="12"/>
      <name val="Cambria"/>
      <family val="1"/>
      <scheme val="major"/>
    </font>
    <font>
      <sz val="11"/>
      <color rgb="FF000000"/>
      <name val="Calibri"/>
      <family val="2"/>
      <scheme val="minor"/>
    </font>
    <font>
      <b/>
      <sz val="12"/>
      <color theme="4"/>
      <name val="Cambria"/>
      <family val="1"/>
      <scheme val="major"/>
    </font>
    <font>
      <sz val="12"/>
      <color theme="4"/>
      <name val="Cambria"/>
      <family val="1"/>
      <scheme val="major"/>
    </font>
    <font>
      <i/>
      <sz val="11"/>
      <color theme="4"/>
      <name val="Cambria"/>
      <family val="1"/>
      <scheme val="major"/>
    </font>
    <font>
      <b/>
      <sz val="12"/>
      <color theme="3"/>
      <name val="Cambria"/>
      <family val="1"/>
      <scheme val="major"/>
    </font>
    <font>
      <sz val="11"/>
      <color theme="0"/>
      <name val="Calibri"/>
      <family val="2"/>
      <scheme val="minor"/>
    </font>
    <font>
      <i/>
      <sz val="11"/>
      <color theme="3" tint="0.39997558519241921"/>
      <name val="Cambria"/>
      <family val="1"/>
      <scheme val="major"/>
    </font>
    <font>
      <sz val="11"/>
      <color theme="3" tint="0.39997558519241921"/>
      <name val="Cambria"/>
      <family val="1"/>
      <scheme val="major"/>
    </font>
    <font>
      <sz val="11"/>
      <color theme="4"/>
      <name val="Cambria"/>
      <family val="1"/>
      <scheme val="major"/>
    </font>
    <font>
      <i/>
      <sz val="11"/>
      <color theme="1"/>
      <name val="Cambria"/>
      <family val="1"/>
      <scheme val="major"/>
    </font>
    <font>
      <b/>
      <sz val="20"/>
      <color theme="3"/>
      <name val="Calibri"/>
      <family val="2"/>
      <scheme val="minor"/>
    </font>
  </fonts>
  <fills count="8">
    <fill>
      <patternFill patternType="none"/>
    </fill>
    <fill>
      <patternFill patternType="gray125"/>
    </fill>
    <fill>
      <patternFill patternType="solid">
        <fgColor rgb="FFFFCC99"/>
      </patternFill>
    </fill>
    <fill>
      <patternFill patternType="solid">
        <fgColor theme="6" tint="0.79998168889431442"/>
        <bgColor indexed="65"/>
      </patternFill>
    </fill>
    <fill>
      <patternFill patternType="solid">
        <fgColor theme="6" tint="0.79998168889431442"/>
        <bgColor indexed="64"/>
      </patternFill>
    </fill>
    <fill>
      <patternFill patternType="solid">
        <fgColor theme="4"/>
      </patternFill>
    </fill>
    <fill>
      <patternFill patternType="solid">
        <fgColor theme="4" tint="0.79998168889431442"/>
        <bgColor indexed="65"/>
      </patternFill>
    </fill>
    <fill>
      <patternFill patternType="solid">
        <fgColor theme="4" tint="0.79998168889431442"/>
        <bgColor indexed="64"/>
      </patternFill>
    </fill>
  </fills>
  <borders count="28">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double">
        <color theme="4"/>
      </top>
      <bottom/>
      <diagonal/>
    </border>
    <border>
      <left style="thin">
        <color indexed="64"/>
      </left>
      <right style="thin">
        <color indexed="64"/>
      </right>
      <top style="double">
        <color theme="4"/>
      </top>
      <bottom/>
      <diagonal/>
    </border>
    <border>
      <left style="medium">
        <color indexed="64"/>
      </left>
      <right/>
      <top style="thin">
        <color indexed="64"/>
      </top>
      <bottom style="thin">
        <color indexed="64"/>
      </bottom>
      <diagonal/>
    </border>
    <border>
      <left/>
      <right/>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bottom>
      <diagonal/>
    </border>
    <border>
      <left/>
      <right style="thin">
        <color indexed="64"/>
      </right>
      <top style="thin">
        <color indexed="64"/>
      </top>
      <bottom style="thin">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3" fillId="2" borderId="5" applyNumberFormat="0" applyAlignment="0" applyProtection="0"/>
    <xf numFmtId="0" fontId="2" fillId="0" borderId="6" applyNumberFormat="0" applyFill="0" applyAlignment="0" applyProtection="0"/>
    <xf numFmtId="0" fontId="11" fillId="0" borderId="9" applyNumberFormat="0" applyFill="0" applyAlignment="0" applyProtection="0"/>
    <xf numFmtId="0" fontId="12" fillId="0" borderId="10" applyNumberFormat="0" applyFill="0" applyAlignment="0" applyProtection="0"/>
    <xf numFmtId="0" fontId="1" fillId="3" borderId="0" applyNumberFormat="0" applyBorder="0" applyAlignment="0" applyProtection="0"/>
    <xf numFmtId="9" fontId="1" fillId="0" borderId="0" applyFont="0" applyFill="0" applyBorder="0" applyAlignment="0" applyProtection="0"/>
    <xf numFmtId="0" fontId="23" fillId="5" borderId="0" applyNumberFormat="0" applyBorder="0" applyAlignment="0" applyProtection="0"/>
    <xf numFmtId="0" fontId="1" fillId="6" borderId="0" applyNumberFormat="0" applyBorder="0" applyAlignment="0" applyProtection="0"/>
  </cellStyleXfs>
  <cellXfs count="430">
    <xf numFmtId="0" fontId="0" fillId="0" borderId="0" xfId="0"/>
    <xf numFmtId="0" fontId="5" fillId="0" borderId="0" xfId="0" applyFont="1" applyFill="1" applyBorder="1" applyAlignment="1" applyProtection="1">
      <protection locked="0"/>
    </xf>
    <xf numFmtId="0" fontId="7" fillId="0" borderId="0" xfId="0" applyFont="1"/>
    <xf numFmtId="0" fontId="9" fillId="0" borderId="0" xfId="0" applyFont="1"/>
    <xf numFmtId="0" fontId="9" fillId="0" borderId="0" xfId="0" applyFont="1" applyAlignment="1">
      <alignment shrinkToFit="1"/>
    </xf>
    <xf numFmtId="0" fontId="9" fillId="0" borderId="0" xfId="0" applyFont="1" applyAlignment="1">
      <alignment vertical="top" wrapText="1" shrinkToFit="1"/>
    </xf>
    <xf numFmtId="166" fontId="5" fillId="0" borderId="0" xfId="0" applyNumberFormat="1" applyFont="1" applyFill="1" applyBorder="1" applyAlignment="1" applyProtection="1">
      <protection locked="0"/>
    </xf>
    <xf numFmtId="1" fontId="5" fillId="0" borderId="0" xfId="0" applyNumberFormat="1" applyFont="1" applyFill="1" applyBorder="1" applyAlignment="1" applyProtection="1">
      <protection locked="0"/>
    </xf>
    <xf numFmtId="165" fontId="5" fillId="0" borderId="0" xfId="0" applyNumberFormat="1" applyFont="1" applyFill="1" applyBorder="1" applyAlignment="1" applyProtection="1">
      <protection locked="0"/>
    </xf>
    <xf numFmtId="164" fontId="5" fillId="0" borderId="0" xfId="0" applyNumberFormat="1" applyFont="1" applyFill="1" applyBorder="1" applyAlignment="1" applyProtection="1">
      <protection locked="0"/>
    </xf>
    <xf numFmtId="1" fontId="6" fillId="0" borderId="0" xfId="0" applyNumberFormat="1" applyFont="1" applyFill="1" applyBorder="1" applyAlignment="1">
      <alignment horizontal="center" wrapText="1"/>
    </xf>
    <xf numFmtId="0" fontId="5" fillId="0" borderId="0" xfId="0" applyFont="1" applyFill="1" applyProtection="1">
      <protection locked="0"/>
    </xf>
    <xf numFmtId="0" fontId="5" fillId="0" borderId="0" xfId="0" applyFont="1" applyProtection="1">
      <protection locked="0"/>
    </xf>
    <xf numFmtId="0" fontId="6" fillId="0" borderId="0" xfId="0" applyFont="1" applyFill="1" applyBorder="1" applyAlignment="1">
      <alignment vertical="center"/>
    </xf>
    <xf numFmtId="1" fontId="6" fillId="0" borderId="0" xfId="0" applyNumberFormat="1" applyFont="1" applyFill="1" applyBorder="1" applyAlignment="1">
      <alignment horizontal="center" vertical="center"/>
    </xf>
    <xf numFmtId="0" fontId="4" fillId="0" borderId="0" xfId="0" applyFont="1" applyProtection="1">
      <protection locked="0"/>
    </xf>
    <xf numFmtId="166" fontId="6" fillId="0" borderId="2" xfId="0" applyNumberFormat="1" applyFont="1" applyFill="1" applyBorder="1" applyAlignment="1">
      <alignment horizontal="center" vertical="center"/>
    </xf>
    <xf numFmtId="0" fontId="6" fillId="0" borderId="2" xfId="0" applyFont="1" applyFill="1" applyBorder="1" applyAlignment="1">
      <alignment horizontal="center" vertical="center"/>
    </xf>
    <xf numFmtId="165" fontId="6" fillId="0" borderId="2" xfId="0" applyNumberFormat="1" applyFont="1" applyFill="1" applyBorder="1" applyAlignment="1">
      <alignment horizontal="center" vertical="center"/>
    </xf>
    <xf numFmtId="0" fontId="2" fillId="0" borderId="2" xfId="2" applyFill="1" applyBorder="1" applyAlignment="1" applyProtection="1">
      <protection locked="0"/>
    </xf>
    <xf numFmtId="0" fontId="8" fillId="0" borderId="11" xfId="0" applyFont="1" applyFill="1" applyBorder="1" applyAlignment="1">
      <alignment vertical="center" shrinkToFit="1"/>
    </xf>
    <xf numFmtId="0" fontId="8" fillId="0" borderId="11" xfId="0" applyFont="1" applyFill="1" applyBorder="1" applyAlignment="1">
      <alignment vertical="center" wrapText="1"/>
    </xf>
    <xf numFmtId="0" fontId="7" fillId="0" borderId="0" xfId="0" applyFont="1" applyBorder="1"/>
    <xf numFmtId="0" fontId="9" fillId="0" borderId="0" xfId="0" applyFont="1" applyBorder="1"/>
    <xf numFmtId="0" fontId="8" fillId="0" borderId="13" xfId="0" applyFont="1" applyFill="1" applyBorder="1" applyAlignment="1">
      <alignment vertical="center" wrapText="1"/>
    </xf>
    <xf numFmtId="0" fontId="5" fillId="0" borderId="0" xfId="0" applyFont="1" applyBorder="1" applyProtection="1">
      <protection locked="0"/>
    </xf>
    <xf numFmtId="0" fontId="6" fillId="0" borderId="11" xfId="0" applyFont="1" applyFill="1" applyBorder="1" applyAlignment="1">
      <alignment vertical="center"/>
    </xf>
    <xf numFmtId="0" fontId="6" fillId="0" borderId="11" xfId="0" applyFont="1" applyFill="1" applyBorder="1" applyAlignment="1">
      <alignment vertical="center" wrapText="1"/>
    </xf>
    <xf numFmtId="165" fontId="6" fillId="0" borderId="12" xfId="0" applyNumberFormat="1" applyFont="1" applyFill="1" applyBorder="1" applyAlignment="1">
      <alignment horizontal="center" vertical="center"/>
    </xf>
    <xf numFmtId="0" fontId="6" fillId="0" borderId="16" xfId="0" applyFont="1" applyFill="1" applyBorder="1" applyAlignment="1">
      <alignment vertical="center" wrapText="1"/>
    </xf>
    <xf numFmtId="0" fontId="6" fillId="0" borderId="16" xfId="0" applyFont="1" applyFill="1" applyBorder="1" applyAlignment="1">
      <alignment vertical="top" wrapText="1"/>
    </xf>
    <xf numFmtId="1" fontId="6" fillId="0" borderId="16" xfId="0" applyNumberFormat="1" applyFont="1" applyFill="1" applyBorder="1" applyAlignment="1">
      <alignment horizontal="center" wrapText="1"/>
    </xf>
    <xf numFmtId="166" fontId="6" fillId="0" borderId="11" xfId="0" applyNumberFormat="1" applyFont="1" applyFill="1" applyBorder="1" applyAlignment="1">
      <alignment vertical="center" wrapText="1"/>
    </xf>
    <xf numFmtId="0" fontId="6" fillId="0" borderId="13" xfId="0" applyFont="1" applyFill="1" applyBorder="1" applyAlignment="1">
      <alignment vertical="center" wrapText="1"/>
    </xf>
    <xf numFmtId="0" fontId="9" fillId="0" borderId="11" xfId="0" applyFont="1" applyFill="1" applyBorder="1" applyAlignment="1">
      <alignment wrapText="1"/>
    </xf>
    <xf numFmtId="0" fontId="12" fillId="0" borderId="10" xfId="4" applyFill="1" applyAlignment="1" applyProtection="1">
      <alignment vertical="top" wrapText="1"/>
      <protection locked="0"/>
    </xf>
    <xf numFmtId="0" fontId="12" fillId="0" borderId="10" xfId="4" applyFill="1" applyAlignment="1">
      <alignment vertical="center" wrapText="1"/>
    </xf>
    <xf numFmtId="0" fontId="12" fillId="0" borderId="10" xfId="4" applyFill="1" applyAlignment="1" applyProtection="1">
      <alignment horizontal="left" vertical="top" wrapText="1"/>
      <protection locked="0"/>
    </xf>
    <xf numFmtId="0" fontId="12" fillId="0" borderId="10" xfId="4" applyFill="1" applyProtection="1">
      <protection locked="0"/>
    </xf>
    <xf numFmtId="0" fontId="11" fillId="0" borderId="9" xfId="3" applyFill="1" applyAlignment="1" applyProtection="1">
      <protection locked="0"/>
    </xf>
    <xf numFmtId="0" fontId="12" fillId="0" borderId="10" xfId="4" applyProtection="1">
      <protection locked="0"/>
    </xf>
    <xf numFmtId="0" fontId="12" fillId="0" borderId="10" xfId="4" applyFill="1"/>
    <xf numFmtId="0" fontId="12" fillId="0" borderId="10" xfId="4"/>
    <xf numFmtId="1" fontId="6" fillId="0" borderId="18" xfId="0" applyNumberFormat="1" applyFont="1" applyFill="1" applyBorder="1" applyAlignment="1">
      <alignment horizontal="center" vertical="center"/>
    </xf>
    <xf numFmtId="1" fontId="5" fillId="0" borderId="3" xfId="0" applyNumberFormat="1" applyFont="1" applyFill="1" applyBorder="1" applyAlignment="1" applyProtection="1">
      <alignment horizontal="center" vertical="center"/>
    </xf>
    <xf numFmtId="1" fontId="6" fillId="0" borderId="19" xfId="0" applyNumberFormat="1" applyFont="1" applyFill="1" applyBorder="1" applyAlignment="1">
      <alignment horizontal="center" wrapText="1"/>
    </xf>
    <xf numFmtId="1" fontId="5" fillId="0" borderId="4" xfId="0" applyNumberFormat="1" applyFont="1" applyFill="1" applyBorder="1" applyAlignment="1" applyProtection="1">
      <alignment horizontal="center" vertical="center"/>
    </xf>
    <xf numFmtId="0" fontId="6" fillId="0" borderId="17" xfId="0" applyFont="1" applyFill="1" applyBorder="1" applyAlignment="1">
      <alignment vertical="center" wrapText="1"/>
    </xf>
    <xf numFmtId="1" fontId="9" fillId="0" borderId="0" xfId="0" applyNumberFormat="1" applyFont="1" applyBorder="1"/>
    <xf numFmtId="0" fontId="9" fillId="0" borderId="0" xfId="0" applyFont="1" applyBorder="1" applyAlignment="1">
      <alignment shrinkToFit="1"/>
    </xf>
    <xf numFmtId="2" fontId="8" fillId="0" borderId="0" xfId="0" applyNumberFormat="1" applyFont="1" applyFill="1" applyBorder="1" applyAlignment="1">
      <alignment horizontal="right" vertical="center" shrinkToFit="1"/>
    </xf>
    <xf numFmtId="0" fontId="5" fillId="0" borderId="0" xfId="0" applyFont="1" applyAlignment="1">
      <alignment horizontal="left" shrinkToFit="1"/>
    </xf>
    <xf numFmtId="0" fontId="5" fillId="0" borderId="0" xfId="0" applyFont="1" applyFill="1" applyAlignment="1" applyProtection="1">
      <alignment horizontal="left"/>
      <protection locked="0"/>
    </xf>
    <xf numFmtId="0" fontId="8" fillId="0" borderId="2" xfId="0" applyFont="1" applyFill="1" applyBorder="1" applyAlignment="1">
      <alignment horizontal="center" vertical="center" shrinkToFit="1"/>
    </xf>
    <xf numFmtId="0" fontId="5" fillId="0" borderId="7" xfId="0" applyFont="1" applyFill="1" applyBorder="1" applyAlignment="1" applyProtection="1">
      <alignment horizontal="center"/>
      <protection locked="0"/>
    </xf>
    <xf numFmtId="1" fontId="6" fillId="0" borderId="2"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wrapText="1"/>
    </xf>
    <xf numFmtId="1" fontId="6" fillId="0" borderId="2"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166" fontId="9" fillId="0" borderId="2" xfId="0" applyNumberFormat="1" applyFont="1" applyFill="1" applyBorder="1" applyAlignment="1">
      <alignment horizontal="center"/>
    </xf>
    <xf numFmtId="1" fontId="9" fillId="0" borderId="2" xfId="0" applyNumberFormat="1" applyFont="1" applyFill="1" applyBorder="1" applyAlignment="1">
      <alignment horizontal="center"/>
    </xf>
    <xf numFmtId="1" fontId="2" fillId="0" borderId="6" xfId="2" applyNumberFormat="1" applyFill="1" applyAlignment="1">
      <alignment horizontal="center"/>
    </xf>
    <xf numFmtId="0" fontId="9" fillId="0" borderId="19" xfId="0" applyFont="1" applyFill="1" applyBorder="1" applyAlignment="1">
      <alignment horizontal="center"/>
    </xf>
    <xf numFmtId="2" fontId="6" fillId="0" borderId="2"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6" fillId="0" borderId="19"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18" xfId="0" applyFont="1" applyFill="1" applyBorder="1" applyAlignment="1">
      <alignment horizontal="center" vertical="center"/>
    </xf>
    <xf numFmtId="0" fontId="5" fillId="0" borderId="8" xfId="0"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5" fillId="0" borderId="14" xfId="0" applyFont="1" applyBorder="1" applyAlignment="1" applyProtection="1">
      <alignment horizontal="center"/>
      <protection locked="0"/>
    </xf>
    <xf numFmtId="0" fontId="5" fillId="0" borderId="15" xfId="0" applyFont="1" applyBorder="1" applyAlignment="1" applyProtection="1">
      <alignment horizontal="center"/>
      <protection locked="0"/>
    </xf>
    <xf numFmtId="0" fontId="5" fillId="0" borderId="2" xfId="0" applyFont="1" applyFill="1" applyBorder="1" applyAlignment="1">
      <alignment horizontal="center" vertical="center"/>
    </xf>
    <xf numFmtId="0" fontId="5" fillId="0" borderId="0" xfId="0" applyFont="1" applyBorder="1" applyAlignment="1" applyProtection="1">
      <alignment horizontal="center"/>
      <protection locked="0"/>
    </xf>
    <xf numFmtId="0" fontId="12" fillId="0" borderId="10" xfId="4" applyFill="1" applyAlignment="1">
      <alignment horizontal="center"/>
    </xf>
    <xf numFmtId="0" fontId="8" fillId="0" borderId="14" xfId="0" applyFont="1" applyFill="1" applyBorder="1" applyAlignment="1">
      <alignment horizontal="center" vertical="center" wrapText="1"/>
    </xf>
    <xf numFmtId="1" fontId="10" fillId="0" borderId="14" xfId="1"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1" fontId="10" fillId="0" borderId="2" xfId="1"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164" fontId="10" fillId="0" borderId="2" xfId="0" applyNumberFormat="1" applyFont="1" applyFill="1" applyBorder="1" applyAlignment="1">
      <alignment horizontal="center" vertical="center" wrapText="1"/>
    </xf>
    <xf numFmtId="2" fontId="10" fillId="0" borderId="2" xfId="1" applyNumberFormat="1" applyFont="1" applyFill="1" applyBorder="1" applyAlignment="1">
      <alignment horizontal="center" vertical="center" wrapText="1"/>
    </xf>
    <xf numFmtId="2" fontId="10" fillId="0" borderId="2" xfId="0" applyNumberFormat="1" applyFont="1" applyFill="1" applyBorder="1" applyAlignment="1">
      <alignment horizontal="center" vertical="center" wrapText="1"/>
    </xf>
    <xf numFmtId="0" fontId="7" fillId="0" borderId="0" xfId="0" applyFont="1" applyBorder="1" applyAlignment="1">
      <alignment horizontal="center"/>
    </xf>
    <xf numFmtId="0" fontId="9" fillId="0" borderId="0" xfId="0" applyFont="1" applyBorder="1" applyAlignment="1">
      <alignment horizontal="center"/>
    </xf>
    <xf numFmtId="0" fontId="9" fillId="0" borderId="8" xfId="0" applyFont="1" applyBorder="1" applyAlignment="1">
      <alignment horizontal="center"/>
    </xf>
    <xf numFmtId="2" fontId="8" fillId="0" borderId="2" xfId="0" applyNumberFormat="1" applyFont="1" applyFill="1" applyBorder="1" applyAlignment="1">
      <alignment horizontal="center" vertical="center" shrinkToFit="1"/>
    </xf>
    <xf numFmtId="164" fontId="8" fillId="0" borderId="2" xfId="0" applyNumberFormat="1" applyFont="1" applyFill="1" applyBorder="1" applyAlignment="1">
      <alignment horizontal="center" vertical="center" shrinkToFit="1"/>
    </xf>
    <xf numFmtId="165" fontId="8" fillId="0" borderId="2" xfId="0" applyNumberFormat="1" applyFont="1" applyFill="1" applyBorder="1" applyAlignment="1">
      <alignment horizontal="center" vertical="center" shrinkToFit="1"/>
    </xf>
    <xf numFmtId="0" fontId="9" fillId="0" borderId="0" xfId="0" applyFont="1" applyAlignment="1">
      <alignment horizontal="center"/>
    </xf>
    <xf numFmtId="165" fontId="9" fillId="0" borderId="2" xfId="0" applyNumberFormat="1" applyFont="1" applyBorder="1" applyAlignment="1">
      <alignment horizontal="center"/>
    </xf>
    <xf numFmtId="0" fontId="13" fillId="0" borderId="11" xfId="0" applyFont="1" applyFill="1" applyBorder="1" applyAlignment="1">
      <alignment horizontal="right" vertical="center" wrapText="1"/>
    </xf>
    <xf numFmtId="1" fontId="13" fillId="0" borderId="2" xfId="0" applyNumberFormat="1" applyFont="1" applyFill="1" applyBorder="1" applyAlignment="1">
      <alignment horizontal="right" vertical="center"/>
    </xf>
    <xf numFmtId="0" fontId="6" fillId="0" borderId="2" xfId="0" applyFont="1" applyFill="1" applyBorder="1" applyAlignment="1">
      <alignment vertical="center" wrapText="1"/>
    </xf>
    <xf numFmtId="0" fontId="14" fillId="0" borderId="2" xfId="0" applyFont="1" applyBorder="1" applyAlignment="1">
      <alignment horizontal="right"/>
    </xf>
    <xf numFmtId="2" fontId="14" fillId="0" borderId="2" xfId="0" applyNumberFormat="1" applyFont="1" applyBorder="1" applyAlignment="1">
      <alignment horizontal="right"/>
    </xf>
    <xf numFmtId="0" fontId="5" fillId="0" borderId="0" xfId="0" applyFont="1"/>
    <xf numFmtId="0" fontId="5" fillId="0" borderId="2" xfId="0" applyFont="1" applyBorder="1"/>
    <xf numFmtId="0" fontId="12" fillId="0" borderId="10" xfId="4" applyAlignment="1">
      <alignment wrapText="1"/>
    </xf>
    <xf numFmtId="0" fontId="11" fillId="0" borderId="9" xfId="3" applyFill="1" applyAlignment="1" applyProtection="1">
      <alignment horizontal="left"/>
      <protection locked="0"/>
    </xf>
    <xf numFmtId="0" fontId="12" fillId="0" borderId="10" xfId="4" applyFill="1" applyAlignment="1" applyProtection="1">
      <alignment horizontal="center"/>
      <protection locked="0"/>
    </xf>
    <xf numFmtId="1" fontId="12" fillId="0" borderId="10" xfId="4" applyNumberFormat="1" applyFill="1" applyAlignment="1" applyProtection="1">
      <alignment horizontal="center" vertical="center"/>
    </xf>
    <xf numFmtId="0" fontId="2" fillId="0" borderId="6" xfId="2" applyFill="1" applyAlignment="1">
      <alignment wrapText="1"/>
    </xf>
    <xf numFmtId="167" fontId="6" fillId="0" borderId="2" xfId="0" applyNumberFormat="1" applyFont="1" applyFill="1" applyBorder="1" applyAlignment="1">
      <alignment horizontal="center" vertical="center" wrapText="1"/>
    </xf>
    <xf numFmtId="0" fontId="4" fillId="0" borderId="6" xfId="2" applyFont="1" applyFill="1" applyAlignment="1">
      <alignment vertical="center" wrapText="1"/>
    </xf>
    <xf numFmtId="1" fontId="4" fillId="0" borderId="6" xfId="2" applyNumberFormat="1" applyFont="1" applyFill="1" applyAlignment="1">
      <alignment horizontal="center" vertical="center"/>
    </xf>
    <xf numFmtId="1" fontId="4" fillId="0" borderId="6" xfId="2" applyNumberFormat="1" applyFont="1" applyFill="1" applyAlignment="1">
      <alignment horizontal="center" vertical="center" wrapText="1"/>
    </xf>
    <xf numFmtId="164" fontId="4" fillId="0" borderId="6" xfId="2" applyNumberFormat="1" applyFont="1" applyFill="1" applyAlignment="1">
      <alignment horizontal="center" vertical="center"/>
    </xf>
    <xf numFmtId="0" fontId="4" fillId="0" borderId="6" xfId="2" applyFont="1" applyFill="1" applyAlignment="1">
      <alignment vertical="center"/>
    </xf>
    <xf numFmtId="0" fontId="4" fillId="0" borderId="6" xfId="2" applyFont="1" applyFill="1" applyProtection="1">
      <protection locked="0"/>
    </xf>
    <xf numFmtId="0" fontId="4" fillId="0" borderId="6" xfId="2" applyFont="1" applyFill="1" applyAlignment="1">
      <alignment horizontal="center" vertical="center" wrapText="1"/>
    </xf>
    <xf numFmtId="0" fontId="4" fillId="0" borderId="6" xfId="2" applyFont="1" applyAlignment="1">
      <alignment vertical="center" shrinkToFit="1"/>
    </xf>
    <xf numFmtId="0" fontId="6" fillId="0" borderId="20" xfId="0" applyFont="1" applyFill="1" applyBorder="1" applyAlignment="1">
      <alignment vertical="center" wrapText="1"/>
    </xf>
    <xf numFmtId="1" fontId="4" fillId="0" borderId="21" xfId="2" applyNumberFormat="1" applyFont="1" applyFill="1" applyBorder="1" applyAlignment="1" applyProtection="1">
      <alignment horizontal="center"/>
      <protection locked="0"/>
    </xf>
    <xf numFmtId="0" fontId="6" fillId="0" borderId="22" xfId="0" applyFont="1" applyFill="1" applyBorder="1" applyAlignment="1">
      <alignment vertical="center" wrapText="1"/>
    </xf>
    <xf numFmtId="166"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2" fontId="5" fillId="0" borderId="2" xfId="0" applyNumberFormat="1" applyFont="1" applyBorder="1"/>
    <xf numFmtId="0" fontId="7" fillId="0" borderId="11" xfId="0" applyFont="1" applyBorder="1"/>
    <xf numFmtId="0" fontId="7" fillId="0" borderId="2" xfId="0" applyFont="1" applyBorder="1" applyAlignment="1">
      <alignment horizontal="center"/>
    </xf>
    <xf numFmtId="0" fontId="7" fillId="0" borderId="2" xfId="0" applyFont="1" applyBorder="1"/>
    <xf numFmtId="164" fontId="7" fillId="0" borderId="2" xfId="0" applyNumberFormat="1" applyFont="1" applyBorder="1" applyAlignment="1">
      <alignment horizontal="center"/>
    </xf>
    <xf numFmtId="0" fontId="6" fillId="0" borderId="1" xfId="0" applyFont="1" applyFill="1" applyBorder="1" applyAlignment="1">
      <alignment vertical="top" wrapText="1"/>
    </xf>
    <xf numFmtId="165" fontId="6" fillId="0" borderId="23" xfId="0" applyNumberFormat="1" applyFont="1" applyFill="1" applyBorder="1" applyAlignment="1">
      <alignment horizontal="center" vertical="top" wrapText="1"/>
    </xf>
    <xf numFmtId="165" fontId="6" fillId="0" borderId="24" xfId="0" applyNumberFormat="1" applyFont="1" applyFill="1" applyBorder="1" applyAlignment="1">
      <alignment horizontal="center" vertical="top" wrapText="1"/>
    </xf>
    <xf numFmtId="1" fontId="4" fillId="0" borderId="2" xfId="2" applyNumberFormat="1" applyFont="1" applyFill="1" applyBorder="1" applyAlignment="1">
      <alignment horizontal="center" vertical="center" wrapText="1"/>
    </xf>
    <xf numFmtId="0" fontId="5" fillId="0" borderId="0" xfId="0" applyFont="1" applyFill="1" applyBorder="1" applyAlignment="1" applyProtection="1">
      <alignment horizontal="left" vertical="center" wrapText="1" shrinkToFit="1"/>
      <protection locked="0"/>
    </xf>
    <xf numFmtId="0" fontId="4" fillId="0" borderId="8" xfId="0" applyFont="1" applyFill="1" applyBorder="1" applyAlignment="1" applyProtection="1">
      <alignment horizontal="left" wrapText="1" shrinkToFit="1"/>
      <protection locked="0"/>
    </xf>
    <xf numFmtId="0" fontId="5" fillId="0" borderId="0" xfId="0" applyFont="1" applyAlignment="1">
      <alignment horizontal="left" vertical="center" wrapText="1" shrinkToFit="1"/>
    </xf>
    <xf numFmtId="0" fontId="5" fillId="0" borderId="0" xfId="0" applyFont="1" applyAlignment="1">
      <alignment horizontal="center" vertical="center" shrinkToFit="1"/>
    </xf>
    <xf numFmtId="0" fontId="5" fillId="0" borderId="0" xfId="0" applyFont="1" applyFill="1" applyBorder="1" applyAlignment="1" applyProtection="1">
      <alignment horizontal="center" vertical="center" shrinkToFit="1"/>
      <protection locked="0"/>
    </xf>
    <xf numFmtId="0" fontId="15" fillId="0" borderId="2" xfId="0" applyFont="1" applyFill="1" applyBorder="1" applyAlignment="1">
      <alignment horizontal="left" vertical="center" wrapText="1" shrinkToFit="1"/>
    </xf>
    <xf numFmtId="0" fontId="6" fillId="0" borderId="2" xfId="0" applyFont="1" applyFill="1" applyBorder="1" applyAlignment="1">
      <alignment horizontal="center" vertical="center" shrinkToFit="1"/>
    </xf>
    <xf numFmtId="0" fontId="4" fillId="0" borderId="7" xfId="0" applyFont="1" applyFill="1" applyBorder="1" applyAlignment="1" applyProtection="1">
      <alignment horizontal="left" vertical="center" wrapText="1"/>
      <protection locked="0"/>
    </xf>
    <xf numFmtId="0" fontId="4" fillId="0" borderId="7" xfId="0" applyFont="1" applyFill="1" applyBorder="1" applyAlignment="1" applyProtection="1">
      <alignment horizontal="center" vertical="center"/>
      <protection locked="0"/>
    </xf>
    <xf numFmtId="0" fontId="5" fillId="0" borderId="0" xfId="0" applyFont="1" applyAlignment="1">
      <alignment horizontal="left" wrapText="1" shrinkToFit="1"/>
    </xf>
    <xf numFmtId="0" fontId="5" fillId="0" borderId="0" xfId="0" applyFont="1" applyAlignment="1">
      <alignment horizontal="center" shrinkToFit="1"/>
    </xf>
    <xf numFmtId="2" fontId="9" fillId="0" borderId="0" xfId="0" applyNumberFormat="1" applyFont="1" applyAlignment="1">
      <alignment horizontal="center"/>
    </xf>
    <xf numFmtId="0" fontId="16" fillId="0" borderId="22" xfId="0" applyFont="1" applyFill="1" applyBorder="1" applyAlignment="1">
      <alignment horizontal="right" vertical="center" wrapText="1"/>
    </xf>
    <xf numFmtId="1" fontId="16" fillId="0" borderId="2" xfId="0" applyNumberFormat="1" applyFont="1" applyFill="1" applyBorder="1" applyAlignment="1">
      <alignment horizontal="right" vertical="center"/>
    </xf>
    <xf numFmtId="0" fontId="16" fillId="0" borderId="22" xfId="0" applyFont="1" applyFill="1" applyBorder="1" applyAlignment="1">
      <alignment horizontal="right" vertical="top" wrapText="1"/>
    </xf>
    <xf numFmtId="0" fontId="16" fillId="0" borderId="2" xfId="0" applyFont="1" applyFill="1" applyBorder="1" applyAlignment="1">
      <alignment horizontal="right" vertical="center"/>
    </xf>
    <xf numFmtId="0" fontId="2" fillId="0" borderId="6" xfId="2" applyFill="1" applyAlignment="1">
      <alignment vertical="center" wrapText="1"/>
    </xf>
    <xf numFmtId="1" fontId="2" fillId="0" borderId="6" xfId="2" applyNumberFormat="1" applyFill="1" applyAlignment="1">
      <alignment horizontal="center" vertical="center"/>
    </xf>
    <xf numFmtId="0" fontId="1" fillId="3" borderId="2" xfId="5" applyBorder="1" applyAlignment="1">
      <alignment horizontal="left" vertical="center" wrapText="1" shrinkToFit="1"/>
    </xf>
    <xf numFmtId="0" fontId="1" fillId="3" borderId="2" xfId="5" applyBorder="1" applyAlignment="1">
      <alignment horizontal="left" vertical="center" wrapText="1"/>
    </xf>
    <xf numFmtId="0" fontId="1" fillId="3" borderId="2" xfId="5" applyBorder="1" applyAlignment="1">
      <alignment horizontal="center" vertical="center" wrapText="1"/>
    </xf>
    <xf numFmtId="0" fontId="1" fillId="3" borderId="2" xfId="5" applyBorder="1" applyAlignment="1">
      <alignment vertical="top" wrapText="1"/>
    </xf>
    <xf numFmtId="166" fontId="1" fillId="3" borderId="2" xfId="5" applyNumberFormat="1" applyBorder="1" applyAlignment="1">
      <alignment horizontal="center" vertical="center" wrapText="1"/>
    </xf>
    <xf numFmtId="0" fontId="0" fillId="3" borderId="2" xfId="5" applyFont="1" applyBorder="1" applyAlignment="1">
      <alignment horizontal="left" vertical="center" wrapText="1"/>
    </xf>
    <xf numFmtId="0" fontId="0" fillId="3" borderId="2" xfId="5" applyFont="1" applyBorder="1" applyAlignment="1" applyProtection="1">
      <alignment horizontal="left" vertical="center" wrapText="1" shrinkToFit="1"/>
      <protection locked="0"/>
    </xf>
    <xf numFmtId="0" fontId="0" fillId="3" borderId="2" xfId="5" applyFont="1" applyBorder="1" applyAlignment="1">
      <alignment vertical="top" wrapText="1"/>
    </xf>
    <xf numFmtId="0" fontId="0" fillId="3" borderId="2" xfId="5" applyFont="1" applyBorder="1" applyAlignment="1">
      <alignment horizontal="left" vertical="center" wrapText="1" shrinkToFit="1"/>
    </xf>
    <xf numFmtId="0" fontId="4" fillId="0" borderId="6" xfId="2" applyFont="1" applyFill="1" applyAlignment="1" applyProtection="1">
      <alignment wrapText="1"/>
      <protection locked="0"/>
    </xf>
    <xf numFmtId="164" fontId="4" fillId="0" borderId="6" xfId="2" applyNumberFormat="1" applyFont="1" applyFill="1" applyAlignment="1">
      <alignment horizontal="center" vertical="center" shrinkToFit="1"/>
    </xf>
    <xf numFmtId="1" fontId="5" fillId="0" borderId="2" xfId="0" applyNumberFormat="1" applyFont="1" applyBorder="1"/>
    <xf numFmtId="2" fontId="4" fillId="0" borderId="6" xfId="2" applyNumberFormat="1" applyFont="1" applyFill="1" applyAlignment="1">
      <alignment horizontal="center" vertical="center" wrapText="1"/>
    </xf>
    <xf numFmtId="164" fontId="4" fillId="0" borderId="6" xfId="2" applyNumberFormat="1" applyFont="1" applyAlignment="1">
      <alignment horizontal="center" vertical="center" shrinkToFit="1"/>
    </xf>
    <xf numFmtId="1" fontId="17" fillId="0" borderId="21" xfId="2" applyNumberFormat="1" applyFont="1" applyFill="1" applyBorder="1" applyAlignment="1" applyProtection="1">
      <alignment horizontal="center"/>
      <protection locked="0"/>
    </xf>
    <xf numFmtId="0" fontId="0" fillId="0" borderId="0" xfId="0" applyAlignment="1">
      <alignment wrapText="1"/>
    </xf>
    <xf numFmtId="0" fontId="12" fillId="0" borderId="10" xfId="4" applyFill="1" applyAlignment="1" applyProtection="1">
      <alignment horizontal="center" wrapText="1" shrinkToFit="1"/>
      <protection locked="0"/>
    </xf>
    <xf numFmtId="1" fontId="1" fillId="3" borderId="2" xfId="5" applyNumberFormat="1" applyBorder="1" applyAlignment="1">
      <alignment horizontal="center" vertical="center" wrapText="1" shrinkToFit="1"/>
    </xf>
    <xf numFmtId="165" fontId="1" fillId="3" borderId="2" xfId="5" applyNumberFormat="1" applyBorder="1" applyAlignment="1">
      <alignment horizontal="center" vertical="center" wrapText="1"/>
    </xf>
    <xf numFmtId="165" fontId="1" fillId="3" borderId="2" xfId="5" applyNumberFormat="1" applyBorder="1" applyAlignment="1">
      <alignment horizontal="center" vertical="center" wrapText="1" shrinkToFit="1"/>
    </xf>
    <xf numFmtId="0" fontId="1" fillId="3" borderId="2" xfId="5" applyBorder="1" applyAlignment="1">
      <alignment horizontal="center" vertical="center" wrapText="1" shrinkToFit="1"/>
    </xf>
    <xf numFmtId="0" fontId="5" fillId="0" borderId="0" xfId="0" applyFont="1" applyAlignment="1">
      <alignment horizontal="center" vertical="center" wrapText="1" shrinkToFit="1"/>
    </xf>
    <xf numFmtId="9" fontId="1" fillId="3" borderId="2" xfId="5" applyNumberFormat="1" applyBorder="1" applyAlignment="1">
      <alignment horizontal="center" vertical="center" wrapText="1" shrinkToFit="1"/>
    </xf>
    <xf numFmtId="9" fontId="1" fillId="3" borderId="2" xfId="5" applyNumberFormat="1" applyBorder="1" applyAlignment="1">
      <alignment horizontal="center" wrapText="1" shrinkToFit="1"/>
    </xf>
    <xf numFmtId="0" fontId="1" fillId="3" borderId="2" xfId="5" applyBorder="1" applyAlignment="1" applyProtection="1">
      <alignment horizontal="center" vertical="center" wrapText="1" shrinkToFit="1"/>
      <protection locked="0"/>
    </xf>
    <xf numFmtId="0" fontId="5" fillId="0" borderId="0" xfId="0" applyFont="1" applyFill="1" applyBorder="1" applyAlignment="1" applyProtection="1">
      <alignment horizontal="center" vertical="center" wrapText="1" shrinkToFit="1"/>
      <protection locked="0"/>
    </xf>
    <xf numFmtId="166" fontId="1" fillId="3" borderId="2" xfId="5" applyNumberFormat="1" applyBorder="1" applyAlignment="1">
      <alignment horizontal="center" vertical="center" wrapText="1" shrinkToFit="1"/>
    </xf>
    <xf numFmtId="167" fontId="1" fillId="3" borderId="2" xfId="5" applyNumberFormat="1" applyBorder="1" applyAlignment="1">
      <alignment horizontal="center" vertical="center" wrapText="1" shrinkToFit="1"/>
    </xf>
    <xf numFmtId="164" fontId="1" fillId="3" borderId="2" xfId="5" applyNumberFormat="1" applyBorder="1" applyAlignment="1">
      <alignment horizontal="center" vertical="center" wrapText="1" shrinkToFit="1"/>
    </xf>
    <xf numFmtId="0" fontId="6" fillId="0" borderId="2" xfId="0" applyFont="1" applyFill="1" applyBorder="1" applyAlignment="1">
      <alignment horizontal="center" vertical="center" wrapText="1" shrinkToFit="1"/>
    </xf>
    <xf numFmtId="165" fontId="1" fillId="3" borderId="2" xfId="5" applyNumberFormat="1" applyBorder="1" applyAlignment="1">
      <alignment horizontal="center" wrapText="1"/>
    </xf>
    <xf numFmtId="0" fontId="4" fillId="0" borderId="7" xfId="0" applyFont="1" applyFill="1" applyBorder="1" applyAlignment="1" applyProtection="1">
      <alignment horizontal="center" vertical="center" wrapText="1"/>
      <protection locked="0"/>
    </xf>
    <xf numFmtId="1" fontId="1" fillId="3" borderId="2" xfId="5" applyNumberFormat="1" applyBorder="1" applyAlignment="1" applyProtection="1">
      <alignment horizontal="center" vertical="center" wrapText="1"/>
      <protection locked="0"/>
    </xf>
    <xf numFmtId="2" fontId="1" fillId="3" borderId="2" xfId="5" applyNumberFormat="1" applyBorder="1" applyAlignment="1" applyProtection="1">
      <alignment horizontal="center" vertical="center" wrapText="1"/>
      <protection locked="0"/>
    </xf>
    <xf numFmtId="2" fontId="1" fillId="3" borderId="2" xfId="5" applyNumberFormat="1" applyBorder="1" applyAlignment="1">
      <alignment horizontal="center" vertical="center" wrapText="1" shrinkToFit="1"/>
    </xf>
    <xf numFmtId="0" fontId="5" fillId="0" borderId="0" xfId="0" applyFont="1" applyAlignment="1" applyProtection="1">
      <alignment horizontal="left" wrapText="1" shrinkToFit="1"/>
    </xf>
    <xf numFmtId="0" fontId="5" fillId="0" borderId="0" xfId="0" applyFont="1" applyAlignment="1" applyProtection="1">
      <alignment horizontal="left" shrinkToFit="1"/>
    </xf>
    <xf numFmtId="0" fontId="4" fillId="0" borderId="8" xfId="0" applyFont="1" applyFill="1" applyBorder="1" applyAlignment="1" applyProtection="1">
      <alignment horizontal="left" wrapText="1" shrinkToFit="1"/>
    </xf>
    <xf numFmtId="0" fontId="5" fillId="0" borderId="0" xfId="0" applyFont="1" applyFill="1" applyAlignment="1" applyProtection="1">
      <alignment horizontal="left"/>
    </xf>
    <xf numFmtId="0" fontId="5" fillId="0" borderId="0" xfId="0" applyFont="1" applyFill="1" applyAlignment="1" applyProtection="1">
      <alignment horizontal="left" shrinkToFit="1"/>
    </xf>
    <xf numFmtId="0" fontId="5" fillId="0" borderId="0" xfId="0" applyFont="1" applyAlignment="1" applyProtection="1">
      <alignment horizontal="left" vertical="center" wrapText="1" shrinkToFit="1"/>
    </xf>
    <xf numFmtId="0" fontId="5" fillId="0" borderId="0" xfId="0" applyFont="1" applyAlignment="1" applyProtection="1">
      <alignment horizontal="center" vertical="center" shrinkToFit="1"/>
    </xf>
    <xf numFmtId="164" fontId="7" fillId="0" borderId="0" xfId="0" applyNumberFormat="1" applyFont="1" applyBorder="1" applyAlignment="1">
      <alignment horizontal="center"/>
    </xf>
    <xf numFmtId="164" fontId="9" fillId="0" borderId="0" xfId="0" applyNumberFormat="1" applyFont="1" applyAlignment="1">
      <alignment horizontal="center"/>
    </xf>
    <xf numFmtId="1" fontId="5" fillId="0" borderId="0" xfId="0" applyNumberFormat="1" applyFont="1" applyFill="1" applyBorder="1" applyAlignment="1" applyProtection="1">
      <alignment horizontal="center"/>
      <protection locked="0"/>
    </xf>
    <xf numFmtId="165" fontId="14" fillId="0" borderId="2" xfId="0" applyNumberFormat="1" applyFont="1" applyBorder="1" applyAlignment="1">
      <alignment horizontal="right"/>
    </xf>
    <xf numFmtId="0" fontId="18" fillId="0" borderId="0" xfId="0" applyFont="1"/>
    <xf numFmtId="0" fontId="4" fillId="0" borderId="0" xfId="0" applyFont="1" applyFill="1" applyBorder="1" applyAlignment="1" applyProtection="1">
      <protection locked="0"/>
    </xf>
    <xf numFmtId="0" fontId="5" fillId="0" borderId="0" xfId="0" applyFont="1" applyFill="1" applyBorder="1" applyAlignment="1" applyProtection="1">
      <alignment wrapText="1"/>
      <protection locked="0"/>
    </xf>
    <xf numFmtId="0" fontId="5" fillId="0" borderId="0" xfId="0" applyFont="1" applyFill="1" applyBorder="1" applyAlignment="1" applyProtection="1">
      <alignment vertical="top" wrapText="1"/>
      <protection locked="0"/>
    </xf>
    <xf numFmtId="0" fontId="19" fillId="0" borderId="0" xfId="0" applyFont="1" applyFill="1" applyBorder="1" applyAlignment="1" applyProtection="1">
      <protection locked="0"/>
    </xf>
    <xf numFmtId="0" fontId="20" fillId="0" borderId="0" xfId="0" applyFont="1" applyFill="1" applyBorder="1" applyAlignment="1" applyProtection="1">
      <protection locked="0"/>
    </xf>
    <xf numFmtId="0" fontId="9" fillId="3" borderId="2" xfId="5" applyFont="1" applyBorder="1" applyAlignment="1">
      <alignment horizontal="left" vertical="center" wrapText="1" shrinkToFit="1"/>
    </xf>
    <xf numFmtId="0" fontId="5" fillId="0" borderId="2" xfId="0" applyFont="1" applyBorder="1" applyAlignment="1">
      <alignment horizontal="left" indent="1"/>
    </xf>
    <xf numFmtId="0" fontId="0" fillId="3" borderId="2" xfId="5" applyFont="1" applyBorder="1" applyAlignment="1">
      <alignment horizontal="left" wrapText="1" shrinkToFit="1"/>
    </xf>
    <xf numFmtId="0" fontId="0" fillId="0" borderId="0" xfId="0" applyFill="1" applyBorder="1" applyAlignment="1">
      <alignment wrapText="1"/>
    </xf>
    <xf numFmtId="0" fontId="0" fillId="0" borderId="0" xfId="5" applyFont="1" applyFill="1" applyBorder="1" applyAlignment="1">
      <alignment horizontal="left" vertical="center"/>
    </xf>
    <xf numFmtId="0" fontId="0" fillId="0" borderId="0" xfId="5" applyFont="1" applyFill="1" applyBorder="1" applyAlignment="1" applyProtection="1">
      <alignment vertical="top"/>
    </xf>
    <xf numFmtId="0" fontId="1" fillId="0" borderId="0" xfId="5" applyFill="1" applyBorder="1" applyAlignment="1" applyProtection="1">
      <alignment vertical="top"/>
    </xf>
    <xf numFmtId="0" fontId="1" fillId="0" borderId="0" xfId="5" applyFill="1" applyBorder="1" applyAlignment="1">
      <alignment horizontal="left" vertical="center" shrinkToFit="1"/>
    </xf>
    <xf numFmtId="0" fontId="0" fillId="0" borderId="0" xfId="5" applyFont="1" applyFill="1" applyBorder="1" applyAlignment="1">
      <alignment horizontal="left" vertical="center" shrinkToFit="1"/>
    </xf>
    <xf numFmtId="0" fontId="0" fillId="0" borderId="0" xfId="5" applyFont="1" applyFill="1" applyBorder="1" applyAlignment="1" applyProtection="1">
      <alignment horizontal="left" vertical="center" shrinkToFit="1"/>
      <protection locked="0"/>
    </xf>
    <xf numFmtId="0" fontId="1" fillId="0" borderId="0" xfId="5" applyFill="1" applyBorder="1" applyAlignment="1" applyProtection="1">
      <alignment horizontal="left" vertical="center" shrinkToFit="1"/>
    </xf>
    <xf numFmtId="0" fontId="0" fillId="0" borderId="0" xfId="5" applyFont="1" applyFill="1" applyBorder="1" applyAlignment="1" applyProtection="1">
      <alignment horizontal="left" vertical="center" shrinkToFit="1"/>
    </xf>
    <xf numFmtId="0" fontId="1" fillId="0" borderId="0" xfId="5" applyFill="1" applyBorder="1" applyAlignment="1">
      <alignment horizontal="left" vertical="center"/>
    </xf>
    <xf numFmtId="0" fontId="0" fillId="0" borderId="0" xfId="5" applyFont="1" applyFill="1" applyBorder="1" applyAlignment="1" applyProtection="1">
      <alignment horizontal="left" vertical="center"/>
    </xf>
    <xf numFmtId="168" fontId="1" fillId="3" borderId="2" xfId="5" applyNumberFormat="1" applyBorder="1" applyAlignment="1">
      <alignment horizontal="center" vertical="center" wrapText="1" shrinkToFit="1"/>
    </xf>
    <xf numFmtId="0" fontId="8" fillId="0" borderId="11" xfId="0" applyFont="1" applyFill="1" applyBorder="1" applyAlignment="1">
      <alignment vertical="center" wrapText="1" shrinkToFit="1"/>
    </xf>
    <xf numFmtId="0" fontId="22" fillId="0" borderId="10" xfId="4" applyFont="1" applyFill="1" applyAlignment="1" applyProtection="1">
      <alignment horizontal="center" shrinkToFit="1"/>
    </xf>
    <xf numFmtId="0" fontId="5" fillId="0" borderId="0" xfId="0" applyFont="1" applyAlignment="1" applyProtection="1">
      <alignment horizontal="left" shrinkToFit="1"/>
      <protection locked="0"/>
    </xf>
    <xf numFmtId="0" fontId="5" fillId="0" borderId="0" xfId="0" applyFont="1" applyFill="1" applyAlignment="1" applyProtection="1">
      <alignment horizontal="left" shrinkToFit="1"/>
      <protection locked="0"/>
    </xf>
    <xf numFmtId="165" fontId="5" fillId="0" borderId="0" xfId="0" applyNumberFormat="1" applyFont="1" applyAlignment="1" applyProtection="1">
      <alignment horizontal="left" shrinkToFit="1"/>
      <protection locked="0"/>
    </xf>
    <xf numFmtId="169" fontId="1" fillId="3" borderId="2" xfId="6" applyNumberFormat="1" applyFill="1" applyBorder="1" applyAlignment="1">
      <alignment horizontal="center" wrapText="1"/>
    </xf>
    <xf numFmtId="10" fontId="1" fillId="3" borderId="2" xfId="6" applyNumberFormat="1" applyFill="1" applyBorder="1" applyAlignment="1">
      <alignment horizontal="center" wrapText="1"/>
    </xf>
    <xf numFmtId="0" fontId="5" fillId="0" borderId="0" xfId="0" applyFont="1" applyFill="1" applyBorder="1" applyAlignment="1" applyProtection="1"/>
    <xf numFmtId="0" fontId="11" fillId="0" borderId="9" xfId="3" applyFill="1" applyAlignment="1" applyProtection="1"/>
    <xf numFmtId="1" fontId="5" fillId="0" borderId="0" xfId="0" applyNumberFormat="1" applyFont="1" applyFill="1" applyBorder="1" applyAlignment="1" applyProtection="1"/>
    <xf numFmtId="0" fontId="5" fillId="0" borderId="7" xfId="0" applyFont="1" applyFill="1" applyBorder="1" applyAlignment="1" applyProtection="1">
      <alignment horizontal="center"/>
    </xf>
    <xf numFmtId="0" fontId="12" fillId="0" borderId="10" xfId="4" applyFill="1" applyAlignment="1" applyProtection="1">
      <alignment vertical="center" wrapText="1"/>
    </xf>
    <xf numFmtId="0" fontId="6" fillId="0" borderId="3"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165" fontId="5" fillId="0" borderId="0" xfId="0" applyNumberFormat="1" applyFont="1" applyFill="1" applyBorder="1" applyAlignment="1" applyProtection="1"/>
    <xf numFmtId="1" fontId="6" fillId="0" borderId="0" xfId="0" applyNumberFormat="1" applyFont="1" applyFill="1" applyBorder="1" applyAlignment="1" applyProtection="1">
      <alignment horizontal="center" wrapText="1"/>
    </xf>
    <xf numFmtId="0" fontId="0" fillId="0" borderId="0" xfId="0" applyProtection="1"/>
    <xf numFmtId="0" fontId="12" fillId="0" borderId="10" xfId="4" applyFill="1" applyProtection="1"/>
    <xf numFmtId="166" fontId="5" fillId="0" borderId="0" xfId="0" applyNumberFormat="1" applyFont="1" applyFill="1" applyBorder="1" applyAlignment="1" applyProtection="1"/>
    <xf numFmtId="0" fontId="6" fillId="0" borderId="16" xfId="0" applyFont="1" applyFill="1" applyBorder="1" applyAlignment="1" applyProtection="1">
      <alignment vertical="top" wrapText="1"/>
    </xf>
    <xf numFmtId="0" fontId="9" fillId="0" borderId="19" xfId="0" applyFont="1" applyFill="1" applyBorder="1" applyAlignment="1" applyProtection="1">
      <alignment horizontal="center"/>
    </xf>
    <xf numFmtId="1" fontId="6" fillId="0" borderId="19" xfId="0" applyNumberFormat="1" applyFont="1" applyFill="1" applyBorder="1" applyAlignment="1" applyProtection="1">
      <alignment horizontal="center" wrapText="1"/>
    </xf>
    <xf numFmtId="1" fontId="6" fillId="0" borderId="16" xfId="0" applyNumberFormat="1" applyFont="1" applyFill="1" applyBorder="1" applyAlignment="1" applyProtection="1">
      <alignment horizontal="center" wrapText="1"/>
    </xf>
    <xf numFmtId="0" fontId="12" fillId="0" borderId="10" xfId="4" applyFill="1" applyAlignment="1" applyProtection="1">
      <alignment horizontal="left" vertical="top" wrapText="1"/>
    </xf>
    <xf numFmtId="164" fontId="5" fillId="0" borderId="0" xfId="0" applyNumberFormat="1" applyFont="1" applyFill="1" applyBorder="1" applyAlignment="1" applyProtection="1"/>
    <xf numFmtId="0" fontId="6" fillId="0" borderId="16" xfId="0" applyFont="1" applyFill="1" applyBorder="1" applyAlignment="1" applyProtection="1">
      <alignment vertical="center" wrapText="1"/>
    </xf>
    <xf numFmtId="0" fontId="6" fillId="0" borderId="19"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0" borderId="4" xfId="0" applyFont="1" applyFill="1" applyBorder="1" applyAlignment="1" applyProtection="1">
      <alignment horizontal="center" vertical="center"/>
    </xf>
    <xf numFmtId="0" fontId="6" fillId="0" borderId="17" xfId="0" applyFont="1" applyFill="1" applyBorder="1" applyAlignment="1" applyProtection="1">
      <alignment vertical="center" wrapText="1"/>
    </xf>
    <xf numFmtId="0" fontId="6" fillId="0" borderId="18" xfId="0" applyFont="1" applyFill="1" applyBorder="1" applyAlignment="1" applyProtection="1">
      <alignment horizontal="center" vertical="center"/>
    </xf>
    <xf numFmtId="0" fontId="12" fillId="0" borderId="10" xfId="4" applyFill="1" applyAlignment="1" applyProtection="1">
      <alignment vertical="top" wrapText="1"/>
    </xf>
    <xf numFmtId="0" fontId="5" fillId="0" borderId="8" xfId="0" applyFont="1" applyFill="1" applyBorder="1" applyAlignment="1" applyProtection="1">
      <alignment horizontal="center"/>
    </xf>
    <xf numFmtId="0" fontId="2" fillId="0" borderId="2" xfId="2" applyFill="1" applyBorder="1" applyAlignment="1" applyProtection="1"/>
    <xf numFmtId="0" fontId="5" fillId="0" borderId="0" xfId="0" applyFont="1" applyProtection="1"/>
    <xf numFmtId="0" fontId="11" fillId="0" borderId="9" xfId="3" applyFill="1" applyAlignment="1" applyProtection="1">
      <alignment horizontal="left"/>
    </xf>
    <xf numFmtId="0" fontId="12" fillId="0" borderId="10" xfId="4" applyFill="1" applyAlignment="1" applyProtection="1">
      <alignment horizontal="center"/>
    </xf>
    <xf numFmtId="0" fontId="5" fillId="0" borderId="0" xfId="0" applyFont="1" applyFill="1" applyProtection="1"/>
    <xf numFmtId="0" fontId="12" fillId="0" borderId="10" xfId="4" applyProtection="1"/>
    <xf numFmtId="0" fontId="5" fillId="0" borderId="14" xfId="0" applyFont="1" applyBorder="1" applyAlignment="1" applyProtection="1">
      <alignment horizontal="center"/>
    </xf>
    <xf numFmtId="0" fontId="5" fillId="0" borderId="15" xfId="0" applyFont="1" applyBorder="1" applyAlignment="1" applyProtection="1">
      <alignment horizontal="center"/>
    </xf>
    <xf numFmtId="0" fontId="6" fillId="0" borderId="0" xfId="0" applyFont="1" applyFill="1" applyBorder="1" applyAlignment="1" applyProtection="1">
      <alignment vertical="center"/>
    </xf>
    <xf numFmtId="1" fontId="6" fillId="0" borderId="0" xfId="0" applyNumberFormat="1" applyFont="1" applyFill="1" applyBorder="1" applyAlignment="1" applyProtection="1">
      <alignment horizontal="center" vertical="center"/>
    </xf>
    <xf numFmtId="1" fontId="6" fillId="0" borderId="18" xfId="0" applyNumberFormat="1" applyFont="1" applyFill="1" applyBorder="1" applyAlignment="1" applyProtection="1">
      <alignment horizontal="center" vertical="center"/>
    </xf>
    <xf numFmtId="0" fontId="5" fillId="0" borderId="0" xfId="0" applyFont="1" applyBorder="1" applyAlignment="1" applyProtection="1">
      <alignment horizontal="center"/>
    </xf>
    <xf numFmtId="0" fontId="5" fillId="0" borderId="0" xfId="0" applyFont="1" applyBorder="1" applyProtection="1"/>
    <xf numFmtId="0" fontId="4" fillId="0" borderId="0" xfId="0" applyFont="1" applyProtection="1"/>
    <xf numFmtId="0" fontId="9" fillId="0" borderId="0" xfId="0" applyFont="1" applyProtection="1"/>
    <xf numFmtId="0" fontId="9" fillId="0" borderId="0" xfId="0" applyFont="1" applyBorder="1" applyProtection="1"/>
    <xf numFmtId="0" fontId="7" fillId="0" borderId="0" xfId="0" applyFont="1" applyProtection="1"/>
    <xf numFmtId="0" fontId="7" fillId="0" borderId="0" xfId="0" applyFont="1" applyBorder="1" applyProtection="1"/>
    <xf numFmtId="1" fontId="9" fillId="0" borderId="0" xfId="0" applyNumberFormat="1" applyFont="1" applyBorder="1" applyProtection="1"/>
    <xf numFmtId="0" fontId="9" fillId="0" borderId="0" xfId="0" applyFont="1" applyAlignment="1" applyProtection="1">
      <alignment shrinkToFit="1"/>
    </xf>
    <xf numFmtId="0" fontId="9" fillId="0" borderId="0" xfId="0" applyFont="1" applyBorder="1" applyAlignment="1" applyProtection="1">
      <alignment shrinkToFit="1"/>
    </xf>
    <xf numFmtId="2" fontId="8" fillId="0" borderId="0" xfId="0" applyNumberFormat="1" applyFont="1" applyFill="1" applyBorder="1" applyAlignment="1" applyProtection="1">
      <alignment horizontal="right" vertical="center" shrinkToFit="1"/>
    </xf>
    <xf numFmtId="0" fontId="9" fillId="0" borderId="18" xfId="0" applyFont="1" applyBorder="1" applyAlignment="1" applyProtection="1">
      <alignment horizontal="center"/>
    </xf>
    <xf numFmtId="0" fontId="7" fillId="0" borderId="0" xfId="0" applyFont="1" applyBorder="1" applyAlignment="1" applyProtection="1">
      <alignment horizontal="center"/>
    </xf>
    <xf numFmtId="2" fontId="9" fillId="0" borderId="0" xfId="0" applyNumberFormat="1" applyFont="1" applyBorder="1" applyAlignment="1" applyProtection="1">
      <alignment horizontal="center"/>
    </xf>
    <xf numFmtId="2" fontId="9" fillId="0" borderId="8" xfId="0" applyNumberFormat="1" applyFont="1" applyBorder="1" applyAlignment="1" applyProtection="1">
      <alignment horizontal="center"/>
    </xf>
    <xf numFmtId="0" fontId="9" fillId="0" borderId="0" xfId="0" applyFont="1" applyAlignment="1" applyProtection="1">
      <alignment vertical="top" wrapText="1" shrinkToFit="1"/>
    </xf>
    <xf numFmtId="0" fontId="9" fillId="0" borderId="0" xfId="0" applyFont="1" applyAlignment="1" applyProtection="1">
      <alignment horizontal="center"/>
    </xf>
    <xf numFmtId="0" fontId="12" fillId="0" borderId="10" xfId="4" applyAlignment="1" applyProtection="1">
      <alignment wrapText="1"/>
    </xf>
    <xf numFmtId="2" fontId="0" fillId="0" borderId="0" xfId="0" applyNumberFormat="1" applyProtection="1"/>
    <xf numFmtId="2" fontId="1" fillId="4" borderId="2" xfId="5" applyNumberFormat="1" applyFont="1" applyFill="1" applyBorder="1" applyAlignment="1">
      <alignment horizontal="center" vertical="top" wrapText="1" shrinkToFit="1"/>
    </xf>
    <xf numFmtId="0" fontId="1" fillId="4" borderId="2" xfId="0" applyFont="1" applyFill="1" applyBorder="1" applyAlignment="1">
      <alignment horizontal="center" vertical="top" wrapText="1"/>
    </xf>
    <xf numFmtId="169" fontId="1" fillId="3" borderId="2" xfId="6" applyNumberFormat="1" applyFill="1" applyBorder="1" applyAlignment="1">
      <alignment horizontal="center" vertical="center" wrapText="1" shrinkToFit="1"/>
    </xf>
    <xf numFmtId="10" fontId="1" fillId="3" borderId="2" xfId="6" applyNumberFormat="1" applyFill="1" applyBorder="1" applyAlignment="1" applyProtection="1">
      <alignment horizontal="center" vertical="center" wrapText="1" shrinkToFit="1"/>
      <protection locked="0"/>
    </xf>
    <xf numFmtId="0" fontId="9" fillId="6" borderId="11" xfId="8" applyFont="1" applyBorder="1" applyAlignment="1" applyProtection="1">
      <alignment vertical="center" wrapText="1"/>
    </xf>
    <xf numFmtId="165" fontId="9" fillId="6" borderId="2" xfId="8" applyNumberFormat="1" applyFont="1" applyBorder="1" applyAlignment="1" applyProtection="1">
      <alignment horizontal="center" vertical="center" wrapText="1"/>
    </xf>
    <xf numFmtId="166" fontId="9" fillId="6" borderId="11" xfId="8" applyNumberFormat="1" applyFont="1" applyBorder="1" applyAlignment="1" applyProtection="1">
      <alignment vertical="center" wrapText="1"/>
    </xf>
    <xf numFmtId="166" fontId="9" fillId="6" borderId="2" xfId="8" applyNumberFormat="1" applyFont="1" applyBorder="1" applyAlignment="1" applyProtection="1">
      <alignment horizontal="center"/>
    </xf>
    <xf numFmtId="1" fontId="9" fillId="6" borderId="2" xfId="8" applyNumberFormat="1" applyFont="1" applyBorder="1" applyAlignment="1" applyProtection="1">
      <alignment horizontal="center"/>
    </xf>
    <xf numFmtId="0" fontId="7" fillId="6" borderId="6" xfId="2" applyFont="1" applyFill="1" applyAlignment="1" applyProtection="1">
      <alignment wrapText="1"/>
    </xf>
    <xf numFmtId="1" fontId="7" fillId="6" borderId="6" xfId="2" applyNumberFormat="1" applyFont="1" applyFill="1" applyAlignment="1" applyProtection="1">
      <alignment horizontal="center"/>
    </xf>
    <xf numFmtId="0" fontId="9" fillId="6" borderId="13" xfId="8" applyFont="1" applyBorder="1" applyAlignment="1" applyProtection="1">
      <alignment vertical="center" wrapText="1"/>
    </xf>
    <xf numFmtId="166" fontId="9" fillId="6" borderId="2" xfId="8" applyNumberFormat="1" applyFont="1" applyBorder="1" applyAlignment="1" applyProtection="1">
      <alignment horizontal="center" vertical="center"/>
    </xf>
    <xf numFmtId="1" fontId="9" fillId="6" borderId="2" xfId="8" applyNumberFormat="1" applyFont="1" applyBorder="1" applyAlignment="1" applyProtection="1">
      <alignment horizontal="center" vertical="center"/>
    </xf>
    <xf numFmtId="0" fontId="9" fillId="6" borderId="11" xfId="8" applyFont="1" applyBorder="1" applyAlignment="1" applyProtection="1">
      <alignment wrapText="1"/>
    </xf>
    <xf numFmtId="165" fontId="9" fillId="6" borderId="2" xfId="8" applyNumberFormat="1" applyFont="1" applyBorder="1" applyAlignment="1" applyProtection="1">
      <alignment horizontal="center" vertical="center"/>
    </xf>
    <xf numFmtId="1" fontId="9" fillId="6" borderId="2" xfId="8" applyNumberFormat="1" applyFont="1" applyBorder="1" applyAlignment="1" applyProtection="1">
      <alignment horizontal="center" vertical="center" wrapText="1"/>
    </xf>
    <xf numFmtId="0" fontId="7" fillId="6" borderId="6" xfId="2" applyFont="1" applyFill="1" applyAlignment="1" applyProtection="1">
      <alignment vertical="center" wrapText="1"/>
    </xf>
    <xf numFmtId="1" fontId="7" fillId="6" borderId="6" xfId="2" applyNumberFormat="1" applyFont="1" applyFill="1" applyAlignment="1" applyProtection="1">
      <alignment horizontal="center" vertical="center" wrapText="1"/>
    </xf>
    <xf numFmtId="2" fontId="9" fillId="6" borderId="2" xfId="8" applyNumberFormat="1" applyFont="1" applyBorder="1" applyAlignment="1" applyProtection="1">
      <alignment horizontal="center" vertical="center"/>
    </xf>
    <xf numFmtId="0" fontId="9" fillId="6" borderId="2" xfId="8" applyFont="1" applyBorder="1" applyAlignment="1" applyProtection="1">
      <alignment horizontal="center" vertical="center"/>
    </xf>
    <xf numFmtId="164" fontId="9" fillId="6" borderId="2" xfId="8" applyNumberFormat="1" applyFont="1" applyBorder="1" applyAlignment="1" applyProtection="1">
      <alignment horizontal="center" vertical="center"/>
    </xf>
    <xf numFmtId="1" fontId="7" fillId="6" borderId="6" xfId="2" applyNumberFormat="1" applyFont="1" applyFill="1" applyAlignment="1" applyProtection="1">
      <alignment horizontal="center" vertical="center"/>
    </xf>
    <xf numFmtId="0" fontId="9" fillId="6" borderId="11" xfId="8" applyFont="1" applyBorder="1" applyAlignment="1" applyProtection="1">
      <alignment vertical="center"/>
    </xf>
    <xf numFmtId="0" fontId="24" fillId="6" borderId="11" xfId="8" applyFont="1" applyBorder="1" applyAlignment="1" applyProtection="1">
      <alignment horizontal="right" vertical="center" wrapText="1"/>
    </xf>
    <xf numFmtId="164" fontId="24" fillId="6" borderId="0" xfId="8" applyNumberFormat="1" applyFont="1" applyProtection="1"/>
    <xf numFmtId="1" fontId="24" fillId="6" borderId="2" xfId="8" applyNumberFormat="1" applyFont="1" applyBorder="1" applyAlignment="1" applyProtection="1">
      <alignment horizontal="right" vertical="center"/>
    </xf>
    <xf numFmtId="0" fontId="24" fillId="6" borderId="2" xfId="8" applyFont="1" applyBorder="1" applyAlignment="1" applyProtection="1">
      <alignment horizontal="right"/>
    </xf>
    <xf numFmtId="10" fontId="24" fillId="6" borderId="2" xfId="8" applyNumberFormat="1" applyFont="1" applyBorder="1" applyAlignment="1" applyProtection="1">
      <alignment horizontal="right"/>
    </xf>
    <xf numFmtId="2" fontId="24" fillId="6" borderId="2" xfId="8" applyNumberFormat="1" applyFont="1" applyBorder="1" applyAlignment="1" applyProtection="1">
      <alignment horizontal="right"/>
    </xf>
    <xf numFmtId="0" fontId="9" fillId="6" borderId="2" xfId="8" applyFont="1" applyBorder="1" applyProtection="1"/>
    <xf numFmtId="165" fontId="9" fillId="6" borderId="2" xfId="8" applyNumberFormat="1" applyFont="1" applyBorder="1" applyAlignment="1" applyProtection="1">
      <alignment horizontal="center"/>
    </xf>
    <xf numFmtId="0" fontId="9" fillId="6" borderId="2" xfId="8" applyFont="1" applyBorder="1" applyAlignment="1" applyProtection="1">
      <alignment vertical="center" wrapText="1"/>
    </xf>
    <xf numFmtId="164" fontId="7" fillId="6" borderId="6" xfId="2" applyNumberFormat="1" applyFont="1" applyFill="1" applyAlignment="1" applyProtection="1">
      <alignment horizontal="center" vertical="center"/>
    </xf>
    <xf numFmtId="0" fontId="9" fillId="6" borderId="20" xfId="8" applyFont="1" applyBorder="1" applyAlignment="1" applyProtection="1">
      <alignment vertical="center" wrapText="1"/>
    </xf>
    <xf numFmtId="167" fontId="9" fillId="6" borderId="2" xfId="8" applyNumberFormat="1" applyFont="1" applyBorder="1" applyAlignment="1" applyProtection="1">
      <alignment horizontal="center" vertical="center" wrapText="1"/>
    </xf>
    <xf numFmtId="166" fontId="9" fillId="6" borderId="12" xfId="8" applyNumberFormat="1" applyFont="1" applyBorder="1" applyAlignment="1" applyProtection="1">
      <alignment horizontal="center" vertical="center"/>
    </xf>
    <xf numFmtId="165" fontId="9" fillId="6" borderId="12" xfId="8" applyNumberFormat="1" applyFont="1" applyBorder="1" applyAlignment="1" applyProtection="1">
      <alignment horizontal="center" vertical="center"/>
    </xf>
    <xf numFmtId="0" fontId="7" fillId="6" borderId="6" xfId="2" applyFont="1" applyFill="1" applyAlignment="1" applyProtection="1">
      <alignment vertical="center"/>
    </xf>
    <xf numFmtId="0" fontId="9" fillId="6" borderId="0" xfId="8" applyFont="1" applyProtection="1"/>
    <xf numFmtId="0" fontId="9" fillId="6" borderId="22" xfId="8" applyFont="1" applyBorder="1" applyAlignment="1" applyProtection="1">
      <alignment vertical="center" wrapText="1"/>
    </xf>
    <xf numFmtId="166" fontId="9" fillId="6" borderId="2" xfId="8" applyNumberFormat="1" applyFont="1" applyBorder="1" applyAlignment="1" applyProtection="1">
      <alignment horizontal="center" vertical="center" wrapText="1"/>
    </xf>
    <xf numFmtId="0" fontId="9" fillId="6" borderId="2" xfId="8" applyFont="1" applyBorder="1" applyAlignment="1" applyProtection="1">
      <alignment horizontal="center" vertical="center" wrapText="1"/>
    </xf>
    <xf numFmtId="0" fontId="9" fillId="6" borderId="1" xfId="8" applyFont="1" applyBorder="1" applyAlignment="1" applyProtection="1">
      <alignment vertical="top" wrapText="1"/>
    </xf>
    <xf numFmtId="165" fontId="9" fillId="6" borderId="23" xfId="8" applyNumberFormat="1" applyFont="1" applyBorder="1" applyAlignment="1" applyProtection="1">
      <alignment horizontal="center" vertical="top" wrapText="1"/>
    </xf>
    <xf numFmtId="165" fontId="9" fillId="6" borderId="24" xfId="8" applyNumberFormat="1" applyFont="1" applyBorder="1" applyAlignment="1" applyProtection="1">
      <alignment horizontal="center" vertical="top" wrapText="1"/>
    </xf>
    <xf numFmtId="0" fontId="7" fillId="6" borderId="6" xfId="2" applyFont="1" applyFill="1" applyProtection="1"/>
    <xf numFmtId="0" fontId="9" fillId="6" borderId="2" xfId="8" applyFont="1" applyBorder="1" applyAlignment="1" applyProtection="1">
      <alignment horizontal="left" indent="1"/>
    </xf>
    <xf numFmtId="2" fontId="9" fillId="6" borderId="2" xfId="8" applyNumberFormat="1" applyFont="1" applyBorder="1" applyProtection="1"/>
    <xf numFmtId="0" fontId="7" fillId="6" borderId="11" xfId="8" applyFont="1" applyBorder="1" applyProtection="1"/>
    <xf numFmtId="0" fontId="7" fillId="6" borderId="2" xfId="8" applyFont="1" applyBorder="1" applyAlignment="1" applyProtection="1">
      <alignment horizontal="center"/>
    </xf>
    <xf numFmtId="0" fontId="7" fillId="6" borderId="2" xfId="8" applyFont="1" applyBorder="1" applyProtection="1"/>
    <xf numFmtId="164" fontId="7" fillId="6" borderId="2" xfId="8" applyNumberFormat="1" applyFont="1" applyBorder="1" applyAlignment="1" applyProtection="1">
      <alignment horizontal="center"/>
    </xf>
    <xf numFmtId="0" fontId="9" fillId="6" borderId="11" xfId="8" applyFont="1" applyBorder="1" applyAlignment="1" applyProtection="1">
      <alignment vertical="center" shrinkToFit="1"/>
    </xf>
    <xf numFmtId="0" fontId="9" fillId="6" borderId="2" xfId="8" applyFont="1" applyBorder="1" applyAlignment="1" applyProtection="1">
      <alignment horizontal="center" vertical="center" shrinkToFit="1"/>
    </xf>
    <xf numFmtId="2" fontId="9" fillId="6" borderId="2" xfId="8" applyNumberFormat="1" applyFont="1" applyBorder="1" applyAlignment="1" applyProtection="1">
      <alignment horizontal="center" vertical="center" shrinkToFit="1"/>
    </xf>
    <xf numFmtId="164" fontId="9" fillId="6" borderId="2" xfId="8" applyNumberFormat="1" applyFont="1" applyBorder="1" applyAlignment="1" applyProtection="1">
      <alignment horizontal="center" vertical="center" shrinkToFit="1"/>
    </xf>
    <xf numFmtId="165" fontId="9" fillId="6" borderId="2" xfId="8" applyNumberFormat="1" applyFont="1" applyBorder="1" applyAlignment="1" applyProtection="1">
      <alignment horizontal="center" vertical="center" shrinkToFit="1"/>
    </xf>
    <xf numFmtId="0" fontId="9" fillId="6" borderId="2" xfId="8" applyFont="1" applyBorder="1" applyAlignment="1" applyProtection="1">
      <alignment horizontal="left" vertical="center" wrapText="1" shrinkToFit="1"/>
    </xf>
    <xf numFmtId="0" fontId="7" fillId="6" borderId="6" xfId="2" applyFont="1" applyFill="1" applyAlignment="1" applyProtection="1">
      <alignment vertical="center" shrinkToFit="1"/>
    </xf>
    <xf numFmtId="164" fontId="7" fillId="6" borderId="6" xfId="2" applyNumberFormat="1" applyFont="1" applyFill="1" applyAlignment="1" applyProtection="1">
      <alignment horizontal="center" vertical="center" shrinkToFit="1"/>
    </xf>
    <xf numFmtId="0" fontId="9" fillId="6" borderId="14" xfId="8" applyFont="1" applyBorder="1" applyAlignment="1" applyProtection="1">
      <alignment horizontal="center" vertical="center" wrapText="1"/>
    </xf>
    <xf numFmtId="164" fontId="9" fillId="6" borderId="2" xfId="8" applyNumberFormat="1" applyFont="1" applyBorder="1" applyAlignment="1" applyProtection="1">
      <alignment horizontal="center" vertical="center" wrapText="1"/>
    </xf>
    <xf numFmtId="2" fontId="9" fillId="6" borderId="2" xfId="8" applyNumberFormat="1" applyFont="1" applyBorder="1" applyAlignment="1" applyProtection="1">
      <alignment horizontal="center" vertical="center" wrapText="1"/>
    </xf>
    <xf numFmtId="0" fontId="7" fillId="6" borderId="6" xfId="2" applyFont="1" applyFill="1" applyAlignment="1" applyProtection="1">
      <alignment horizontal="center" vertical="center" wrapText="1"/>
    </xf>
    <xf numFmtId="2" fontId="7" fillId="6" borderId="6" xfId="2" applyNumberFormat="1" applyFont="1" applyFill="1" applyAlignment="1" applyProtection="1">
      <alignment horizontal="center" vertical="center" wrapText="1"/>
    </xf>
    <xf numFmtId="0" fontId="25" fillId="0" borderId="0" xfId="0" applyFont="1" applyAlignment="1">
      <alignment horizontal="left" vertical="top" wrapText="1" shrinkToFit="1"/>
    </xf>
    <xf numFmtId="0" fontId="26" fillId="0" borderId="0" xfId="0" applyFont="1" applyFill="1" applyBorder="1" applyAlignment="1" applyProtection="1">
      <alignment vertical="top" wrapText="1"/>
      <protection locked="0"/>
    </xf>
    <xf numFmtId="0" fontId="26" fillId="0" borderId="0" xfId="0" applyFont="1" applyFill="1" applyBorder="1" applyAlignment="1" applyProtection="1">
      <alignment horizontal="left" wrapText="1"/>
      <protection locked="0"/>
    </xf>
    <xf numFmtId="0" fontId="27" fillId="6" borderId="22" xfId="8" applyFont="1" applyBorder="1" applyAlignment="1" applyProtection="1">
      <alignment horizontal="right" vertical="center" wrapText="1"/>
    </xf>
    <xf numFmtId="1" fontId="27" fillId="6" borderId="2" xfId="8" applyNumberFormat="1" applyFont="1" applyBorder="1" applyAlignment="1" applyProtection="1">
      <alignment horizontal="right" vertical="center"/>
    </xf>
    <xf numFmtId="0" fontId="27" fillId="6" borderId="22" xfId="8" applyFont="1" applyBorder="1" applyAlignment="1" applyProtection="1">
      <alignment horizontal="right" vertical="top" wrapText="1"/>
    </xf>
    <xf numFmtId="0" fontId="27" fillId="6" borderId="2" xfId="8" applyFont="1" applyBorder="1" applyAlignment="1" applyProtection="1">
      <alignment horizontal="right" vertical="center"/>
    </xf>
    <xf numFmtId="10" fontId="27" fillId="6" borderId="2" xfId="8" applyNumberFormat="1" applyFont="1" applyBorder="1" applyAlignment="1" applyProtection="1">
      <alignment horizontal="right" vertical="center"/>
    </xf>
    <xf numFmtId="0" fontId="9" fillId="7" borderId="2" xfId="7" applyFont="1" applyFill="1" applyBorder="1" applyAlignment="1" applyProtection="1">
      <alignment horizontal="left" vertical="center" wrapText="1" shrinkToFit="1"/>
    </xf>
    <xf numFmtId="1" fontId="9" fillId="7" borderId="2" xfId="7" applyNumberFormat="1" applyFont="1" applyFill="1" applyBorder="1" applyAlignment="1" applyProtection="1">
      <alignment horizontal="center" vertical="center" shrinkToFit="1"/>
    </xf>
    <xf numFmtId="0" fontId="9" fillId="7" borderId="2" xfId="7" applyFont="1" applyFill="1" applyBorder="1" applyAlignment="1" applyProtection="1">
      <alignment horizontal="left" vertical="center" wrapText="1"/>
      <protection locked="0"/>
    </xf>
    <xf numFmtId="0" fontId="9" fillId="7" borderId="2" xfId="7" applyFont="1" applyFill="1" applyBorder="1" applyAlignment="1" applyProtection="1">
      <alignment horizontal="center" vertical="center" wrapText="1"/>
      <protection locked="0"/>
    </xf>
    <xf numFmtId="0" fontId="9" fillId="7" borderId="2" xfId="7" applyFont="1" applyFill="1" applyBorder="1" applyAlignment="1" applyProtection="1">
      <alignment horizontal="left" vertical="center" wrapText="1"/>
    </xf>
    <xf numFmtId="0" fontId="9" fillId="7" borderId="2" xfId="7" applyFont="1" applyFill="1" applyBorder="1" applyAlignment="1" applyProtection="1">
      <alignment horizontal="center" vertical="center"/>
    </xf>
    <xf numFmtId="165" fontId="9" fillId="7" borderId="2" xfId="7" applyNumberFormat="1" applyFont="1" applyFill="1" applyBorder="1" applyAlignment="1" applyProtection="1">
      <alignment horizontal="center" vertical="center"/>
    </xf>
    <xf numFmtId="0" fontId="9" fillId="7" borderId="2" xfId="7" applyFont="1" applyFill="1" applyBorder="1" applyAlignment="1" applyProtection="1">
      <alignment horizontal="left" vertical="center" wrapText="1" shrinkToFit="1"/>
      <protection locked="0"/>
    </xf>
    <xf numFmtId="165" fontId="9" fillId="7" borderId="2" xfId="7" applyNumberFormat="1" applyFont="1" applyFill="1" applyBorder="1" applyAlignment="1" applyProtection="1">
      <alignment horizontal="center" vertical="center" shrinkToFit="1"/>
      <protection locked="0"/>
    </xf>
    <xf numFmtId="0" fontId="9" fillId="7" borderId="2" xfId="7" applyFont="1" applyFill="1" applyBorder="1" applyAlignment="1" applyProtection="1">
      <alignment horizontal="center" vertical="center" shrinkToFit="1"/>
      <protection locked="0"/>
    </xf>
    <xf numFmtId="0" fontId="9" fillId="7" borderId="2" xfId="7" applyFont="1" applyFill="1" applyBorder="1" applyAlignment="1" applyProtection="1">
      <alignment horizontal="center" vertical="center" shrinkToFit="1"/>
    </xf>
    <xf numFmtId="0" fontId="9" fillId="7" borderId="2" xfId="7" applyFont="1" applyFill="1" applyBorder="1" applyAlignment="1" applyProtection="1">
      <alignment vertical="top" wrapText="1"/>
      <protection locked="0"/>
    </xf>
    <xf numFmtId="0" fontId="9" fillId="7" borderId="2" xfId="7" applyFont="1" applyFill="1" applyBorder="1" applyAlignment="1" applyProtection="1">
      <alignment vertical="top" wrapText="1"/>
    </xf>
    <xf numFmtId="165" fontId="9" fillId="7" borderId="2" xfId="7" applyNumberFormat="1" applyFont="1" applyFill="1" applyBorder="1" applyAlignment="1" applyProtection="1">
      <alignment horizontal="center" vertical="center" shrinkToFit="1"/>
    </xf>
    <xf numFmtId="9" fontId="9" fillId="7" borderId="2" xfId="7" applyNumberFormat="1" applyFont="1" applyFill="1" applyBorder="1" applyAlignment="1" applyProtection="1">
      <alignment horizontal="center" vertical="center" shrinkToFit="1"/>
      <protection locked="0"/>
    </xf>
    <xf numFmtId="9" fontId="9" fillId="7" borderId="2" xfId="7" applyNumberFormat="1" applyFont="1" applyFill="1" applyBorder="1" applyAlignment="1" applyProtection="1">
      <alignment horizontal="center" shrinkToFit="1"/>
      <protection locked="0"/>
    </xf>
    <xf numFmtId="169" fontId="9" fillId="7" borderId="2" xfId="7" applyNumberFormat="1" applyFont="1" applyFill="1" applyBorder="1" applyAlignment="1" applyProtection="1">
      <alignment horizontal="center" vertical="center" shrinkToFit="1"/>
      <protection locked="0"/>
    </xf>
    <xf numFmtId="10" fontId="9" fillId="7" borderId="2" xfId="7" applyNumberFormat="1" applyFont="1" applyFill="1" applyBorder="1" applyAlignment="1" applyProtection="1">
      <alignment horizontal="center" vertical="center" shrinkToFit="1"/>
      <protection locked="0"/>
    </xf>
    <xf numFmtId="166" fontId="9" fillId="7" borderId="2" xfId="7" applyNumberFormat="1" applyFont="1" applyFill="1" applyBorder="1" applyAlignment="1" applyProtection="1">
      <alignment horizontal="center" vertical="center" shrinkToFit="1"/>
      <protection locked="0"/>
    </xf>
    <xf numFmtId="167" fontId="9" fillId="7" borderId="2" xfId="7" applyNumberFormat="1" applyFont="1" applyFill="1" applyBorder="1" applyAlignment="1" applyProtection="1">
      <alignment horizontal="center" vertical="center" shrinkToFit="1"/>
    </xf>
    <xf numFmtId="164" fontId="9" fillId="7" borderId="2" xfId="7" applyNumberFormat="1" applyFont="1" applyFill="1" applyBorder="1" applyAlignment="1" applyProtection="1">
      <alignment horizontal="center" vertical="center" shrinkToFit="1"/>
      <protection locked="0"/>
    </xf>
    <xf numFmtId="0" fontId="9" fillId="7" borderId="2" xfId="7" applyFont="1" applyFill="1" applyBorder="1" applyProtection="1">
      <protection locked="0"/>
    </xf>
    <xf numFmtId="0" fontId="9" fillId="7" borderId="0" xfId="7" applyFont="1" applyFill="1"/>
    <xf numFmtId="164" fontId="9" fillId="7" borderId="2" xfId="7" applyNumberFormat="1" applyFont="1" applyFill="1" applyBorder="1" applyAlignment="1" applyProtection="1">
      <alignment horizontal="center" vertical="center" shrinkToFit="1"/>
    </xf>
    <xf numFmtId="0" fontId="9" fillId="7" borderId="2" xfId="7" applyFont="1" applyFill="1" applyBorder="1" applyAlignment="1">
      <alignment horizontal="left" vertical="center" wrapText="1"/>
    </xf>
    <xf numFmtId="166" fontId="9" fillId="7" borderId="2" xfId="7" applyNumberFormat="1" applyFont="1" applyFill="1" applyBorder="1" applyAlignment="1">
      <alignment horizontal="center" vertical="center" shrinkToFit="1"/>
    </xf>
    <xf numFmtId="10" fontId="9" fillId="7" borderId="2" xfId="7" applyNumberFormat="1" applyFont="1" applyFill="1" applyBorder="1" applyAlignment="1" applyProtection="1">
      <alignment horizontal="center"/>
      <protection locked="0"/>
    </xf>
    <xf numFmtId="165" fontId="9" fillId="7" borderId="2" xfId="7" applyNumberFormat="1" applyFont="1" applyFill="1" applyBorder="1" applyAlignment="1" applyProtection="1">
      <alignment horizontal="center"/>
      <protection locked="0"/>
    </xf>
    <xf numFmtId="2" fontId="9" fillId="7" borderId="2" xfId="7" applyNumberFormat="1" applyFont="1" applyFill="1" applyBorder="1" applyAlignment="1" applyProtection="1">
      <alignment horizontal="center" vertical="center"/>
      <protection locked="0"/>
    </xf>
    <xf numFmtId="166" fontId="9" fillId="7" borderId="2" xfId="7" applyNumberFormat="1" applyFont="1" applyFill="1" applyBorder="1" applyAlignment="1" applyProtection="1">
      <alignment horizontal="center" vertical="center" wrapText="1"/>
    </xf>
    <xf numFmtId="166" fontId="9" fillId="7" borderId="2" xfId="7" applyNumberFormat="1" applyFont="1" applyFill="1" applyBorder="1" applyAlignment="1" applyProtection="1">
      <alignment horizontal="center" vertical="center" wrapText="1"/>
      <protection locked="0"/>
    </xf>
    <xf numFmtId="0" fontId="9" fillId="7" borderId="2" xfId="7" applyFont="1" applyFill="1" applyBorder="1" applyAlignment="1" applyProtection="1">
      <alignment horizontal="center" vertical="center"/>
      <protection locked="0"/>
    </xf>
    <xf numFmtId="169" fontId="9" fillId="7" borderId="2" xfId="7" applyNumberFormat="1" applyFont="1" applyFill="1" applyBorder="1" applyAlignment="1" applyProtection="1">
      <alignment horizontal="center" vertical="center"/>
      <protection locked="0"/>
    </xf>
    <xf numFmtId="10" fontId="9" fillId="7" borderId="2" xfId="7" applyNumberFormat="1" applyFont="1" applyFill="1" applyBorder="1" applyAlignment="1" applyProtection="1">
      <alignment horizontal="center" vertical="center"/>
      <protection locked="0"/>
    </xf>
    <xf numFmtId="1" fontId="9" fillId="7" borderId="2" xfId="7" applyNumberFormat="1" applyFont="1" applyFill="1" applyBorder="1" applyAlignment="1" applyProtection="1">
      <alignment horizontal="center" vertical="center"/>
      <protection locked="0"/>
    </xf>
    <xf numFmtId="2" fontId="9" fillId="7" borderId="2" xfId="7" applyNumberFormat="1" applyFont="1" applyFill="1" applyBorder="1" applyAlignment="1" applyProtection="1">
      <alignment horizontal="center" vertical="center" shrinkToFit="1"/>
      <protection locked="0"/>
    </xf>
    <xf numFmtId="2" fontId="9" fillId="7" borderId="22" xfId="7" applyNumberFormat="1" applyFont="1" applyFill="1" applyBorder="1" applyAlignment="1" applyProtection="1">
      <alignment vertical="center" shrinkToFit="1"/>
      <protection locked="0"/>
    </xf>
    <xf numFmtId="2" fontId="9" fillId="7" borderId="2" xfId="7" applyNumberFormat="1" applyFont="1" applyFill="1" applyBorder="1" applyAlignment="1" applyProtection="1">
      <alignment vertical="center" shrinkToFit="1"/>
      <protection locked="0"/>
    </xf>
    <xf numFmtId="10" fontId="27" fillId="6" borderId="2" xfId="8" applyNumberFormat="1" applyFont="1" applyBorder="1" applyAlignment="1" applyProtection="1">
      <alignment horizontal="right" vertical="top"/>
    </xf>
    <xf numFmtId="10" fontId="16" fillId="0" borderId="2" xfId="0" applyNumberFormat="1" applyFont="1" applyFill="1" applyBorder="1" applyAlignment="1">
      <alignment horizontal="right" vertical="top"/>
    </xf>
    <xf numFmtId="169" fontId="1" fillId="3" borderId="2" xfId="6" applyNumberFormat="1" applyFill="1" applyBorder="1" applyAlignment="1">
      <alignment horizontal="center" vertical="center" wrapText="1"/>
    </xf>
    <xf numFmtId="9" fontId="1" fillId="3" borderId="2" xfId="6" applyFill="1" applyBorder="1" applyAlignment="1">
      <alignment horizontal="center" vertical="center" wrapText="1" shrinkToFit="1"/>
    </xf>
    <xf numFmtId="10" fontId="1" fillId="3" borderId="2" xfId="6" applyNumberFormat="1" applyFill="1" applyBorder="1" applyAlignment="1">
      <alignment horizontal="center" vertical="center" wrapText="1" shrinkToFit="1"/>
    </xf>
    <xf numFmtId="10" fontId="1" fillId="3" borderId="2" xfId="6" applyNumberFormat="1" applyFill="1" applyBorder="1" applyAlignment="1">
      <alignment horizontal="center" vertical="center" wrapText="1"/>
    </xf>
    <xf numFmtId="0" fontId="0" fillId="3" borderId="2" xfId="5" applyFont="1" applyBorder="1" applyAlignment="1" applyProtection="1">
      <alignment horizontal="left" vertical="center" wrapText="1"/>
      <protection locked="0"/>
    </xf>
    <xf numFmtId="10" fontId="1" fillId="3" borderId="2" xfId="6" applyNumberFormat="1" applyFill="1" applyBorder="1" applyAlignment="1" applyProtection="1">
      <alignment horizontal="center" vertical="center" wrapText="1"/>
    </xf>
    <xf numFmtId="10" fontId="9" fillId="7" borderId="2" xfId="6" applyNumberFormat="1" applyFont="1" applyFill="1" applyBorder="1" applyAlignment="1" applyProtection="1">
      <alignment horizontal="center" vertical="center" wrapText="1"/>
      <protection locked="0"/>
    </xf>
    <xf numFmtId="169" fontId="9" fillId="7" borderId="2" xfId="6" applyNumberFormat="1" applyFont="1" applyFill="1" applyBorder="1" applyAlignment="1" applyProtection="1">
      <alignment horizontal="center" vertical="center"/>
      <protection locked="0"/>
    </xf>
    <xf numFmtId="9" fontId="9" fillId="7" borderId="2" xfId="6" applyFont="1" applyFill="1" applyBorder="1" applyAlignment="1" applyProtection="1">
      <alignment horizontal="center" vertical="center" shrinkToFit="1"/>
      <protection locked="0"/>
    </xf>
    <xf numFmtId="10" fontId="9" fillId="7" borderId="2" xfId="6" applyNumberFormat="1" applyFont="1" applyFill="1" applyBorder="1" applyAlignment="1" applyProtection="1">
      <alignment horizontal="center" vertical="center" shrinkToFit="1"/>
      <protection locked="0"/>
    </xf>
    <xf numFmtId="169" fontId="9" fillId="7" borderId="2" xfId="6" applyNumberFormat="1" applyFont="1" applyFill="1" applyBorder="1" applyAlignment="1" applyProtection="1">
      <alignment horizontal="center" vertical="center" shrinkToFit="1"/>
    </xf>
    <xf numFmtId="10" fontId="9" fillId="7" borderId="2" xfId="6" applyNumberFormat="1" applyFont="1" applyFill="1" applyBorder="1" applyAlignment="1" applyProtection="1">
      <alignment horizontal="center" vertical="center"/>
      <protection locked="0"/>
    </xf>
    <xf numFmtId="10" fontId="6" fillId="0" borderId="2" xfId="6" applyNumberFormat="1" applyFont="1" applyFill="1" applyBorder="1" applyAlignment="1">
      <alignment horizontal="center" vertical="center"/>
    </xf>
    <xf numFmtId="10" fontId="6" fillId="0" borderId="12" xfId="6" applyNumberFormat="1" applyFont="1" applyFill="1" applyBorder="1" applyAlignment="1">
      <alignment horizontal="center" vertical="center"/>
    </xf>
    <xf numFmtId="10" fontId="5" fillId="0" borderId="2" xfId="6" applyNumberFormat="1" applyFont="1" applyBorder="1" applyAlignment="1" applyProtection="1">
      <alignment horizontal="center"/>
      <protection locked="0"/>
    </xf>
    <xf numFmtId="10" fontId="16" fillId="0" borderId="2" xfId="6" applyNumberFormat="1" applyFont="1" applyFill="1" applyBorder="1" applyAlignment="1">
      <alignment horizontal="right" vertical="center"/>
    </xf>
    <xf numFmtId="10" fontId="9" fillId="6" borderId="2" xfId="6" applyNumberFormat="1" applyFont="1" applyFill="1" applyBorder="1" applyAlignment="1" applyProtection="1">
      <alignment horizontal="center" vertical="center"/>
    </xf>
    <xf numFmtId="10" fontId="9" fillId="6" borderId="12" xfId="6" applyNumberFormat="1" applyFont="1" applyFill="1" applyBorder="1" applyAlignment="1" applyProtection="1">
      <alignment horizontal="center" vertical="center"/>
    </xf>
    <xf numFmtId="0" fontId="9" fillId="6" borderId="2" xfId="8" applyNumberFormat="1" applyFont="1" applyBorder="1" applyAlignment="1" applyProtection="1">
      <alignment horizontal="center" vertical="center"/>
    </xf>
    <xf numFmtId="10" fontId="9" fillId="6" borderId="2" xfId="6" applyNumberFormat="1" applyFont="1" applyFill="1" applyBorder="1" applyAlignment="1" applyProtection="1">
      <alignment horizontal="center"/>
    </xf>
    <xf numFmtId="10" fontId="14" fillId="0" borderId="2" xfId="6" applyNumberFormat="1" applyFont="1" applyBorder="1" applyAlignment="1">
      <alignment horizontal="right"/>
    </xf>
    <xf numFmtId="0" fontId="9" fillId="0" borderId="2" xfId="0" applyFont="1" applyBorder="1" applyAlignment="1">
      <alignment wrapText="1"/>
    </xf>
    <xf numFmtId="0" fontId="9" fillId="6" borderId="2" xfId="8" applyFont="1" applyBorder="1" applyAlignment="1" applyProtection="1">
      <alignment wrapText="1"/>
    </xf>
    <xf numFmtId="1" fontId="4" fillId="0" borderId="6" xfId="2" applyNumberFormat="1" applyFont="1" applyFill="1" applyAlignment="1" applyProtection="1">
      <alignment horizontal="center"/>
      <protection locked="0"/>
    </xf>
    <xf numFmtId="165" fontId="9" fillId="6" borderId="14" xfId="8" applyNumberFormat="1" applyFont="1" applyBorder="1" applyAlignment="1" applyProtection="1">
      <alignment horizontal="center" vertical="center" wrapText="1"/>
    </xf>
    <xf numFmtId="2" fontId="1" fillId="3" borderId="2" xfId="5" applyNumberFormat="1" applyBorder="1" applyAlignment="1">
      <alignment horizontal="center" vertical="center" wrapText="1"/>
    </xf>
    <xf numFmtId="2" fontId="9" fillId="7" borderId="2" xfId="7" applyNumberFormat="1" applyFont="1" applyFill="1" applyBorder="1" applyAlignment="1" applyProtection="1">
      <alignment horizontal="center" vertical="center" shrinkToFit="1"/>
    </xf>
    <xf numFmtId="2" fontId="9" fillId="7" borderId="2" xfId="7" applyNumberFormat="1" applyFont="1" applyFill="1" applyBorder="1" applyAlignment="1" applyProtection="1">
      <alignment horizontal="center" vertical="center"/>
    </xf>
    <xf numFmtId="0" fontId="28" fillId="0" borderId="25" xfId="0" applyFont="1" applyBorder="1" applyAlignment="1">
      <alignment horizontal="center"/>
    </xf>
    <xf numFmtId="0" fontId="28" fillId="0" borderId="26" xfId="0" applyFont="1" applyBorder="1" applyAlignment="1">
      <alignment horizontal="center"/>
    </xf>
    <xf numFmtId="0" fontId="28" fillId="0" borderId="27" xfId="0" applyFont="1" applyBorder="1" applyAlignment="1">
      <alignment horizontal="center"/>
    </xf>
    <xf numFmtId="0" fontId="11" fillId="0" borderId="9" xfId="3" applyAlignment="1">
      <alignment horizontal="center" wrapText="1" shrinkToFit="1"/>
    </xf>
    <xf numFmtId="0" fontId="11" fillId="0" borderId="9" xfId="3" applyFill="1" applyAlignment="1" applyProtection="1">
      <alignment horizontal="center"/>
      <protection locked="0"/>
    </xf>
    <xf numFmtId="0" fontId="11" fillId="0" borderId="9" xfId="3" applyAlignment="1" applyProtection="1">
      <alignment horizontal="center"/>
      <protection locked="0"/>
    </xf>
    <xf numFmtId="0" fontId="11" fillId="0" borderId="9" xfId="3" applyAlignment="1">
      <alignment horizontal="center"/>
    </xf>
    <xf numFmtId="0" fontId="11" fillId="0" borderId="9" xfId="3" applyAlignment="1" applyProtection="1">
      <alignment horizontal="center" vertical="center" shrinkToFit="1"/>
    </xf>
    <xf numFmtId="0" fontId="11" fillId="0" borderId="9" xfId="3" applyFill="1" applyAlignment="1" applyProtection="1">
      <alignment horizontal="center"/>
    </xf>
    <xf numFmtId="0" fontId="11" fillId="0" borderId="9" xfId="3" applyAlignment="1" applyProtection="1">
      <alignment horizontal="center"/>
    </xf>
  </cellXfs>
  <cellStyles count="9">
    <cellStyle name="20% - Accent1" xfId="8" builtinId="30"/>
    <cellStyle name="20% - Accent3" xfId="5" builtinId="38"/>
    <cellStyle name="Accent1" xfId="7" builtinId="29"/>
    <cellStyle name="Heading 1" xfId="3" builtinId="16"/>
    <cellStyle name="Heading 2" xfId="4" builtinId="17"/>
    <cellStyle name="Input" xfId="1" builtinId="20"/>
    <cellStyle name="Normal" xfId="0" builtinId="0"/>
    <cellStyle name="Percent" xfId="6" builtinId="5"/>
    <cellStyle name="Total" xfId="2" builtinId="25"/>
  </cellStyles>
  <dxfs count="4">
    <dxf>
      <font>
        <b/>
        <i val="0"/>
        <color theme="9"/>
      </font>
      <fill>
        <patternFill>
          <bgColor theme="9" tint="0.79998168889431442"/>
        </patternFill>
      </fill>
    </dxf>
    <dxf>
      <font>
        <b/>
        <i val="0"/>
        <color theme="9"/>
      </font>
      <fill>
        <patternFill>
          <bgColor theme="9" tint="0.79998168889431442"/>
        </patternFill>
      </fill>
    </dxf>
    <dxf>
      <font>
        <b/>
        <i val="0"/>
        <color theme="9"/>
      </font>
      <fill>
        <patternFill>
          <bgColor theme="9" tint="0.79998168889431442"/>
        </patternFill>
      </fill>
    </dxf>
    <dxf>
      <font>
        <b/>
        <i val="0"/>
        <color theme="9"/>
      </font>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3" Type="http://schemas.openxmlformats.org/officeDocument/2006/relationships/image" Target="../media/image17.emf"/><Relationship Id="rId18" Type="http://schemas.openxmlformats.org/officeDocument/2006/relationships/image" Target="../media/image22.emf"/><Relationship Id="rId26" Type="http://schemas.openxmlformats.org/officeDocument/2006/relationships/image" Target="../media/image30.emf"/><Relationship Id="rId3" Type="http://schemas.openxmlformats.org/officeDocument/2006/relationships/image" Target="../media/image7.emf"/><Relationship Id="rId21" Type="http://schemas.openxmlformats.org/officeDocument/2006/relationships/image" Target="../media/image25.emf"/><Relationship Id="rId34" Type="http://schemas.openxmlformats.org/officeDocument/2006/relationships/image" Target="../media/image38.emf"/><Relationship Id="rId7" Type="http://schemas.openxmlformats.org/officeDocument/2006/relationships/image" Target="../media/image11.emf"/><Relationship Id="rId12" Type="http://schemas.openxmlformats.org/officeDocument/2006/relationships/image" Target="../media/image16.emf"/><Relationship Id="rId17" Type="http://schemas.openxmlformats.org/officeDocument/2006/relationships/image" Target="../media/image21.emf"/><Relationship Id="rId25" Type="http://schemas.openxmlformats.org/officeDocument/2006/relationships/image" Target="../media/image29.emf"/><Relationship Id="rId33" Type="http://schemas.openxmlformats.org/officeDocument/2006/relationships/image" Target="../media/image37.emf"/><Relationship Id="rId2" Type="http://schemas.openxmlformats.org/officeDocument/2006/relationships/image" Target="../media/image6.emf"/><Relationship Id="rId16" Type="http://schemas.openxmlformats.org/officeDocument/2006/relationships/image" Target="../media/image20.emf"/><Relationship Id="rId20" Type="http://schemas.openxmlformats.org/officeDocument/2006/relationships/image" Target="../media/image24.emf"/><Relationship Id="rId29" Type="http://schemas.openxmlformats.org/officeDocument/2006/relationships/image" Target="../media/image33.emf"/><Relationship Id="rId1" Type="http://schemas.openxmlformats.org/officeDocument/2006/relationships/image" Target="../media/image5.emf"/><Relationship Id="rId6" Type="http://schemas.openxmlformats.org/officeDocument/2006/relationships/image" Target="../media/image10.emf"/><Relationship Id="rId11" Type="http://schemas.openxmlformats.org/officeDocument/2006/relationships/image" Target="../media/image15.emf"/><Relationship Id="rId24" Type="http://schemas.openxmlformats.org/officeDocument/2006/relationships/image" Target="../media/image28.emf"/><Relationship Id="rId32" Type="http://schemas.openxmlformats.org/officeDocument/2006/relationships/image" Target="../media/image36.emf"/><Relationship Id="rId5" Type="http://schemas.openxmlformats.org/officeDocument/2006/relationships/image" Target="../media/image9.emf"/><Relationship Id="rId15" Type="http://schemas.openxmlformats.org/officeDocument/2006/relationships/image" Target="../media/image19.emf"/><Relationship Id="rId23" Type="http://schemas.openxmlformats.org/officeDocument/2006/relationships/image" Target="../media/image27.emf"/><Relationship Id="rId28" Type="http://schemas.openxmlformats.org/officeDocument/2006/relationships/image" Target="../media/image32.emf"/><Relationship Id="rId10" Type="http://schemas.openxmlformats.org/officeDocument/2006/relationships/image" Target="../media/image14.emf"/><Relationship Id="rId19" Type="http://schemas.openxmlformats.org/officeDocument/2006/relationships/image" Target="../media/image23.emf"/><Relationship Id="rId31" Type="http://schemas.openxmlformats.org/officeDocument/2006/relationships/image" Target="../media/image35.emf"/><Relationship Id="rId4" Type="http://schemas.openxmlformats.org/officeDocument/2006/relationships/image" Target="../media/image8.emf"/><Relationship Id="rId9" Type="http://schemas.openxmlformats.org/officeDocument/2006/relationships/image" Target="../media/image13.emf"/><Relationship Id="rId14" Type="http://schemas.openxmlformats.org/officeDocument/2006/relationships/image" Target="../media/image18.emf"/><Relationship Id="rId22" Type="http://schemas.openxmlformats.org/officeDocument/2006/relationships/image" Target="../media/image26.emf"/><Relationship Id="rId27" Type="http://schemas.openxmlformats.org/officeDocument/2006/relationships/image" Target="../media/image31.emf"/><Relationship Id="rId30" Type="http://schemas.openxmlformats.org/officeDocument/2006/relationships/image" Target="../media/image34.emf"/><Relationship Id="rId35" Type="http://schemas.openxmlformats.org/officeDocument/2006/relationships/image" Target="../media/image39.emf"/><Relationship Id="rId8" Type="http://schemas.openxmlformats.org/officeDocument/2006/relationships/image" Target="../media/image1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0.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0</xdr:col>
      <xdr:colOff>295273</xdr:colOff>
      <xdr:row>1</xdr:row>
      <xdr:rowOff>9526</xdr:rowOff>
    </xdr:from>
    <xdr:to>
      <xdr:col>13</xdr:col>
      <xdr:colOff>180975</xdr:colOff>
      <xdr:row>25</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95273" y="200026"/>
          <a:ext cx="7810502" cy="4619624"/>
        </a:xfrm>
        <a:prstGeom prst="rect">
          <a:avLst/>
        </a:prstGeom>
        <a:noFill/>
        <a:ln>
          <a:solidFill>
            <a:schemeClr val="tx2"/>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chemeClr val="tx2"/>
              </a:solidFill>
              <a:effectLst/>
              <a:uLnTx/>
              <a:uFillTx/>
              <a:latin typeface="+mn-lt"/>
              <a:ea typeface="+mn-ea"/>
              <a:cs typeface="+mn-cs"/>
            </a:rPr>
            <a:t>Introduction: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chemeClr val="tx1"/>
            </a:solidFill>
            <a:effectLst/>
            <a:uLnTx/>
            <a:uFillTx/>
            <a:latin typeface="Cambria"/>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1. </a:t>
          </a:r>
          <a:r>
            <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This excel workbook is a tool for forecasting Punjab government's revenues, expenditures and deficits for FY2013/14 till FY2019/20. It has been developed by Umbreen Fatima, Research Associate, Institute of Development and Economic Alternatives (IDEAS), and is based on the paper by Anjum Nasim, '</a:t>
          </a:r>
          <a:r>
            <a:rPr kumimoji="0" lang="en-US" sz="1400" b="0" i="1"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A forecasting model of Punjab revenue and spending</a:t>
          </a:r>
          <a:r>
            <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 Working Paper No. 02-16, Institute of Development and Economic Alternatives (IDEAS), 2016. The paper is available at the IDEAS website: http://ideaspak.org and will be referred to, in this workbook, as </a:t>
          </a:r>
          <a:r>
            <a:rPr kumimoji="0" lang="en-US" sz="1400" b="0" i="1"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Nasim (2016) </a:t>
          </a:r>
          <a:r>
            <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or as </a:t>
          </a:r>
          <a:r>
            <a:rPr kumimoji="0" lang="en-US" sz="1400" b="0" i="1"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companion paper</a:t>
          </a:r>
          <a:r>
            <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2. The forecasting </a:t>
          </a:r>
          <a:r>
            <a:rPr kumimoji="0" lang="en-US" sz="1400" b="0" i="0" u="none" strike="noStrike" kern="0" cap="none" spc="0" normalizeH="0" baseline="0" noProof="0">
              <a:ln>
                <a:noFill/>
              </a:ln>
              <a:solidFill>
                <a:schemeClr val="tx1"/>
              </a:solidFill>
              <a:effectLst/>
              <a:uLnTx/>
              <a:uFillTx/>
              <a:latin typeface="Cambria"/>
              <a:ea typeface="+mn-ea"/>
              <a:cs typeface="+mn-cs"/>
            </a:rPr>
            <a:t>methodology is summarized in the 'Methodology'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3. Assumptions used for the forecasts are stated in the worksheet titled: 'Assumptions'.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Forecasts of </a:t>
          </a:r>
          <a:r>
            <a:rPr kumimoji="0" lang="en-US" sz="1400" b="0" i="1" u="none" strike="noStrike" kern="0" cap="none" spc="0" normalizeH="0" baseline="0" noProof="0">
              <a:ln>
                <a:noFill/>
              </a:ln>
              <a:solidFill>
                <a:schemeClr val="tx1"/>
              </a:solidFill>
              <a:effectLst/>
              <a:uLnTx/>
              <a:uFillTx/>
              <a:latin typeface="Cambria"/>
              <a:ea typeface="+mn-ea"/>
              <a:cs typeface="+mn-cs"/>
            </a:rPr>
            <a:t>revenues</a:t>
          </a:r>
          <a:r>
            <a:rPr kumimoji="0" lang="en-US" sz="1400" b="0" i="0" u="none" strike="noStrike" kern="0" cap="none" spc="0" normalizeH="0" baseline="0" noProof="0">
              <a:ln>
                <a:noFill/>
              </a:ln>
              <a:solidFill>
                <a:schemeClr val="tx1"/>
              </a:solidFill>
              <a:effectLst/>
              <a:uLnTx/>
              <a:uFillTx/>
              <a:latin typeface="Cambria"/>
              <a:ea typeface="+mn-ea"/>
              <a:cs typeface="+mn-cs"/>
            </a:rPr>
            <a:t>, </a:t>
          </a:r>
          <a:r>
            <a:rPr kumimoji="0" lang="en-US" sz="1400" b="0" i="1" u="none" strike="noStrike" kern="0" cap="none" spc="0" normalizeH="0" baseline="0" noProof="0">
              <a:ln>
                <a:noFill/>
              </a:ln>
              <a:solidFill>
                <a:schemeClr val="tx1"/>
              </a:solidFill>
              <a:effectLst/>
              <a:uLnTx/>
              <a:uFillTx/>
              <a:latin typeface="Cambria"/>
              <a:ea typeface="+mn-ea"/>
              <a:cs typeface="+mn-cs"/>
            </a:rPr>
            <a:t>expenditures</a:t>
          </a:r>
          <a:r>
            <a:rPr kumimoji="0" lang="en-US" sz="1400" b="0" i="0" u="none" strike="noStrike" kern="0" cap="none" spc="0" normalizeH="0" baseline="0" noProof="0">
              <a:ln>
                <a:noFill/>
              </a:ln>
              <a:solidFill>
                <a:schemeClr val="tx1"/>
              </a:solidFill>
              <a:effectLst/>
              <a:uLnTx/>
              <a:uFillTx/>
              <a:latin typeface="Cambria"/>
              <a:ea typeface="+mn-ea"/>
              <a:cs typeface="+mn-cs"/>
            </a:rPr>
            <a:t> and </a:t>
          </a:r>
          <a:r>
            <a:rPr kumimoji="0" lang="en-US" sz="1400" b="0" i="1" u="none" strike="noStrike" kern="0" cap="none" spc="0" normalizeH="0" baseline="0" noProof="0">
              <a:ln>
                <a:noFill/>
              </a:ln>
              <a:solidFill>
                <a:schemeClr val="tx1"/>
              </a:solidFill>
              <a:effectLst/>
              <a:uLnTx/>
              <a:uFillTx/>
              <a:latin typeface="Cambria"/>
              <a:ea typeface="+mn-ea"/>
              <a:cs typeface="+mn-cs"/>
            </a:rPr>
            <a:t>deficits</a:t>
          </a:r>
          <a:r>
            <a:rPr kumimoji="0" lang="en-US" sz="1400" b="0" i="0" u="none" strike="noStrike" kern="0" cap="none" spc="0" normalizeH="0" baseline="0" noProof="0">
              <a:ln>
                <a:noFill/>
              </a:ln>
              <a:solidFill>
                <a:schemeClr val="tx1"/>
              </a:solidFill>
              <a:effectLst/>
              <a:uLnTx/>
              <a:uFillTx/>
              <a:latin typeface="Cambria"/>
              <a:ea typeface="+mn-ea"/>
              <a:cs typeface="+mn-cs"/>
            </a:rPr>
            <a:t> are given in the worksheets with the same titles.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4. The assumptions underlying the forecasts can be changed by changing the entries in the relevant rows/columns in the 'Assumptions' worksheet. The impact of the change will be highlighted in the 'Revenues', 'Expenditures' and 'Deficits' worksheets.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tx1"/>
              </a:solidFill>
              <a:effectLst/>
              <a:uLnTx/>
              <a:uFillTx/>
              <a:latin typeface="Cambria"/>
              <a:ea typeface="+mn-ea"/>
              <a:cs typeface="+mn-cs"/>
            </a:rPr>
            <a:t>5. To revert to the original assumptions and the associated forecasts, press the relevant reset buttons.</a:t>
          </a:r>
        </a:p>
        <a:p>
          <a:endParaRPr lang="en-US" sz="1400">
            <a:effectLst/>
            <a:latin typeface="+mj-lt"/>
          </a:endParaRPr>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28</xdr:row>
          <xdr:rowOff>0</xdr:rowOff>
        </xdr:from>
        <xdr:to>
          <xdr:col>4</xdr:col>
          <xdr:colOff>254000</xdr:colOff>
          <xdr:row>30</xdr:row>
          <xdr:rowOff>25400</xdr:rowOff>
        </xdr:to>
        <xdr:sp macro="" textlink="">
          <xdr:nvSpPr>
            <xdr:cNvPr id="21505" name="ResetDefBtn" hidden="1">
              <a:extLst>
                <a:ext uri="{63B3BB69-23CF-44E3-9099-C40C66FF867C}">
                  <a14:compatExt spid="_x0000_s21505"/>
                </a:ext>
                <a:ext uri="{FF2B5EF4-FFF2-40B4-BE49-F238E27FC236}">
                  <a16:creationId xmlns:a16="http://schemas.microsoft.com/office/drawing/2014/main" id="{00000000-0008-0000-0900-000001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152401</xdr:rowOff>
    </xdr:from>
    <xdr:to>
      <xdr:col>7</xdr:col>
      <xdr:colOff>85725</xdr:colOff>
      <xdr:row>61</xdr:row>
      <xdr:rowOff>28575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50" y="685801"/>
          <a:ext cx="4295775" cy="11115674"/>
        </a:xfrm>
        <a:prstGeom prst="rect">
          <a:avLst/>
        </a:prstGeom>
        <a:solidFill>
          <a:schemeClr val="lt1"/>
        </a:solidFill>
        <a:ln w="9525" cmpd="sng">
          <a:solidFill>
            <a:schemeClr val="lt1">
              <a:shade val="50000"/>
            </a:schemeClr>
          </a:solidFill>
        </a:ln>
        <a:effectLst>
          <a:glow rad="101600">
            <a:schemeClr val="tx2">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We provide below a short summary of the forecasting methodology used in this forecasting tool. For fuller explanation of the methodology see Section 3 of the </a:t>
          </a:r>
          <a:r>
            <a:rPr kumimoji="0" lang="en-US" sz="1200" b="0" i="1"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companion paper</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For the classification and definition of revenues and expenditures in the provincial budget, see Nasim (2016, Section 2) or the Budget White Paper of the Punjab government (available from the website of the Finance Department, Government of Punjab).</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1" i="0" u="none" strike="noStrike" kern="0" cap="none" spc="0" normalizeH="0" baseline="0" noProof="0">
              <a:ln>
                <a:noFill/>
              </a:ln>
              <a:solidFill>
                <a:srgbClr val="365F91"/>
              </a:solidFill>
              <a:effectLst/>
              <a:uLnTx/>
              <a:uFillTx/>
              <a:latin typeface="Times New Roman"/>
              <a:ea typeface="Times New Roman"/>
              <a:cs typeface="Times New Roman"/>
            </a:rPr>
            <a:t>1.   </a:t>
          </a: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a:t>
          </a:r>
          <a:r>
            <a:rPr kumimoji="0" lang="en-US" sz="1600" b="1" i="0" u="none" strike="noStrike" kern="0" cap="none" spc="0" normalizeH="0" baseline="0" noProof="0">
              <a:ln>
                <a:noFill/>
              </a:ln>
              <a:solidFill>
                <a:schemeClr val="tx2"/>
              </a:solidFill>
              <a:effectLst/>
              <a:uLnTx/>
              <a:uFillTx/>
              <a:latin typeface="Times New Roman"/>
              <a:ea typeface="Times New Roman"/>
              <a:cs typeface="Times New Roman"/>
            </a:rPr>
            <a:t>Revenue</a:t>
          </a:r>
        </a:p>
        <a:p>
          <a:pPr marL="0" marR="0" lvl="0" indent="0" algn="just"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We break down revenue into five categories</a:t>
          </a:r>
        </a:p>
        <a:p>
          <a:pPr marL="342900" marR="0" lvl="0" indent="-342900" algn="just"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Federal transfers from the divisible pool of tax revenue</a:t>
          </a:r>
        </a:p>
        <a:p>
          <a:pPr marL="342900" marR="0" lvl="0" indent="-342900" algn="just"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Punjab own tax revenues</a:t>
          </a:r>
        </a:p>
        <a:p>
          <a:pPr marL="342900" marR="0" lvl="0" indent="-342900" algn="just"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Transfer Under Article 161 of the Constitution and Clause 5 &amp; 6 of the NFC award</a:t>
          </a:r>
        </a:p>
        <a:p>
          <a:pPr marL="342900" marR="0" lvl="0" indent="-342900" algn="just"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Federal/foreign development and non-development grants</a:t>
          </a:r>
        </a:p>
        <a:p>
          <a:pPr marL="342900" marR="0" lvl="0" indent="-342900" algn="just"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Non-tax revenue raised by the provincial government (revenues from regulatory and economic functions). </a:t>
          </a:r>
        </a:p>
        <a:p>
          <a:pPr marL="0" marR="0" lvl="0" indent="0"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Note, our categorization of revenue differs from those in the budgetary documents (see Box 4.1 of the companion paper for details).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 forecasting each of the sub components of revenue, we make assumptions about: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Nominal GDP growth</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Tax-to-GDP ratio</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federal divisible pool of taxes to total taxes and Punjab’s share in the divisible pool</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Provincial (all four provinces) own tax revenue as a share of total tax receipts, and Punjab’s share in the provincial own tax revenue</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excise tax to total tax</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Transfers on account of hydro-electricity profits</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royalties and development surcharges to total taxes</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Non-development grants other than cash reserves</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Interest rate on cash reserves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Foreign development grants and other grants</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Exchange rate depreciation</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non-tax revenue raised by the provincial government to GDP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mn-cs"/>
            </a:rPr>
            <a:t>The above assumptions help us determine revenue receipts. One of the revenue receipts is interest income on cash reserves </a:t>
          </a:r>
          <a:r>
            <a:rPr lang="en-US" sz="1100" b="0" i="0" baseline="0">
              <a:solidFill>
                <a:schemeClr val="dk1"/>
              </a:solidFill>
              <a:effectLst/>
              <a:latin typeface="+mn-lt"/>
              <a:ea typeface="+mn-ea"/>
              <a:cs typeface="+mn-cs"/>
            </a:rPr>
            <a:t>–</a:t>
          </a:r>
          <a:r>
            <a:rPr kumimoji="0" lang="en-US" sz="1200" b="0" i="0" u="none" strike="noStrike" kern="0" cap="none" spc="0" normalizeH="0" baseline="0" noProof="0">
              <a:ln>
                <a:noFill/>
              </a:ln>
              <a:solidFill>
                <a:prstClr val="black"/>
              </a:solidFill>
              <a:effectLst/>
              <a:uLnTx/>
              <a:uFillTx/>
              <a:latin typeface="Times New Roman"/>
              <a:ea typeface="Times New Roman"/>
              <a:cs typeface="+mn-cs"/>
            </a:rPr>
            <a:t> a component of federal non-development grant. It is obtained as a product of interest rate (on cash reserves) in any year and accumulated cash reserves at the end of the previous year. The determination of cash reserves is discussed in Section 4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mn-cs"/>
            </a:rPr>
            <a:t>Adding sale proceeds of nonfinancial assets to the revenue receipts equals General Revenue Receipts (</a:t>
          </a:r>
          <a:r>
            <a:rPr kumimoji="0" lang="en-US" sz="1200" b="1" i="0" u="none" strike="noStrike" kern="0" cap="none" spc="0" normalizeH="0" baseline="0" noProof="0">
              <a:ln>
                <a:noFill/>
              </a:ln>
              <a:solidFill>
                <a:prstClr val="black"/>
              </a:solidFill>
              <a:effectLst/>
              <a:uLnTx/>
              <a:uFillTx/>
              <a:latin typeface="Times New Roman"/>
              <a:ea typeface="Times New Roman"/>
              <a:cs typeface="+mn-cs"/>
            </a:rPr>
            <a:t>GRR</a:t>
          </a:r>
          <a:r>
            <a:rPr kumimoji="0" lang="en-US" sz="1200" b="0" i="0" u="none" strike="noStrike" kern="0" cap="none" spc="0" normalizeH="0" baseline="0" noProof="0">
              <a:ln>
                <a:noFill/>
              </a:ln>
              <a:solidFill>
                <a:prstClr val="black"/>
              </a:solidFill>
              <a:effectLst/>
              <a:uLnTx/>
              <a:uFillTx/>
              <a:latin typeface="Times New Roman"/>
              <a:ea typeface="Times New Roman"/>
              <a:cs typeface="+mn-cs"/>
            </a:rPr>
            <a:t>) of the budget documents. Sale proceeds from nonfinancial assets are assumed to remain unchanged, in real terms, at their base-year level of FY2013. (Note: the sale proceeds from nonfinancial assets were less than Rs1 billion in FY2013, and therefore, of no practical significance.)  </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342900" marR="0" lvl="0" indent="-342900" algn="just">
            <a:lnSpc>
              <a:spcPct val="115000"/>
            </a:lnSpc>
            <a:spcBef>
              <a:spcPts val="0"/>
            </a:spcBef>
            <a:spcAft>
              <a:spcPts val="0"/>
            </a:spcAft>
            <a:buFont typeface="+mj-lt"/>
            <a:buAutoNum type="romanLcPeriod"/>
          </a:pPr>
          <a:endParaRPr lang="en-US" sz="1100">
            <a:effectLst/>
            <a:latin typeface="Times New Roman"/>
            <a:ea typeface="Times New Roman"/>
            <a:cs typeface="Times New Roman"/>
          </a:endParaRPr>
        </a:p>
      </xdr:txBody>
    </xdr:sp>
    <xdr:clientData/>
  </xdr:twoCellAnchor>
  <xdr:twoCellAnchor>
    <xdr:from>
      <xdr:col>7</xdr:col>
      <xdr:colOff>257175</xdr:colOff>
      <xdr:row>2</xdr:row>
      <xdr:rowOff>171447</xdr:rowOff>
    </xdr:from>
    <xdr:to>
      <xdr:col>14</xdr:col>
      <xdr:colOff>228600</xdr:colOff>
      <xdr:row>44</xdr:row>
      <xdr:rowOff>114300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24375" y="704847"/>
              <a:ext cx="4238625" cy="7943853"/>
            </a:xfrm>
            <a:prstGeom prst="rect">
              <a:avLst/>
            </a:prstGeom>
            <a:solidFill>
              <a:schemeClr val="lt1"/>
            </a:solidFill>
            <a:ln w="9525" cmpd="sng">
              <a:solidFill>
                <a:schemeClr val="lt1">
                  <a:shade val="50000"/>
                </a:schemeClr>
              </a:solidFill>
            </a:ln>
            <a:effectLst>
              <a:glow rad="101600">
                <a:schemeClr val="tx2">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defTabSz="914400" eaLnBrk="1" fontAlgn="auto" latinLnBrk="0" hangingPunct="1">
                <a:lnSpc>
                  <a:spcPct val="115000"/>
                </a:lnSpc>
                <a:spcBef>
                  <a:spcPts val="2400"/>
                </a:spcBef>
                <a:spcAft>
                  <a:spcPts val="1200"/>
                </a:spcAft>
                <a:buClrTx/>
                <a:buSzTx/>
                <a:buFont typeface="+mj-lt"/>
                <a:buAutoNum type="arabicPeriod" startAt="2"/>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Development Expenditure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Our methodology takes as a starting point the projected public investment to GDP ratios as given in the Planning Commission Vision 2025 (Discussion Draft) (see Table 5-1 in the companion paper). These figures are interpolated for FY2014 and for FY2016 to FY2019.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We assume that if public investment (as percentage of GDP) goes up from, say, 3.9% in 2013 to 4.3% in FY2014, then the federal share of public investment in GDP will also go up by a factor of (4.3/3.9) = 1.09  and so  will the share of public investment of Punjab, Sindh, KP and Balochistan in the GDP. We further assume that development expenditure (DE) is a constant proportion of total public sector investment in Punjab. With these assumptions we are able to show that the forecast for nominal DE for each year can be obtained by multiplying the following three terms: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DE in period t (as percentage of GDP) to DE in period t-1 (as percentage of GDP) – from Table 5-2 in the companion paper.</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Level of DE in period t-1; and</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Nominal GDP growth factor or (1 + real GDP growth rate) × (1 + GDP deflator).</a:t>
              </a:r>
            </a:p>
            <a:p>
              <a:pPr marL="342900" marR="0" lvl="0" indent="-342900" defTabSz="914400" eaLnBrk="1" fontAlgn="auto" latinLnBrk="0" hangingPunct="1">
                <a:lnSpc>
                  <a:spcPct val="115000"/>
                </a:lnSpc>
                <a:spcBef>
                  <a:spcPts val="1200"/>
                </a:spcBef>
                <a:spcAft>
                  <a:spcPts val="0"/>
                </a:spcAft>
                <a:buClrTx/>
                <a:buSzTx/>
                <a:buFont typeface="+mj-lt"/>
                <a:buAutoNum type="arabicPeriod" startAt="3"/>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Current Revenue Expenditure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We distinguish between non-interest current revenue expenditure (CRE) and interest expenditure on domestic and foreign debt. We assume that the non-interest component of CRE would increase at the same real rate at which it grew during the period FY2008/09 to FY2012/13 or 8%. The nominal growth factor is then obtained by multiplying the real growth factor, (1.08), by the CPI inflation factor (1 + </a:t>
              </a:r>
              <a14:m>
                <m:oMath xmlns:m="http://schemas.openxmlformats.org/officeDocument/2006/math">
                  <m:acc>
                    <m:accPr>
                      <m:chr m:val="̇"/>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acc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𝑃</m:t>
                      </m:r>
                    </m:e>
                  </m:acc>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mn-cs"/>
                </a:rPr>
                <a:t>Forecast of interest expenditure is obtained as a product of interest rate and debt in the previous period. The determination of foreign and domestic debt levels is discussed in the following section.</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342900" marR="0" lvl="0" indent="-342900">
                <a:lnSpc>
                  <a:spcPct val="115000"/>
                </a:lnSpc>
                <a:spcBef>
                  <a:spcPts val="2400"/>
                </a:spcBef>
                <a:spcAft>
                  <a:spcPts val="1200"/>
                </a:spcAft>
                <a:buFont typeface="+mj-lt"/>
                <a:buAutoNum type="arabicPeriod" startAt="2"/>
              </a:pPr>
              <a:endParaRPr lang="en-US" sz="1100">
                <a:effectLst/>
                <a:latin typeface="Times New Roman"/>
                <a:ea typeface="Times New Roman"/>
                <a:cs typeface="Times New Roman"/>
              </a:endParaRPr>
            </a:p>
          </xdr:txBody>
        </xdr:sp>
      </mc:Choice>
      <mc:Fallback xmlns="">
        <xdr:sp macro="" textlink="">
          <xdr:nvSpPr>
            <xdr:cNvPr id="3" name="TextBox 2"/>
            <xdr:cNvSpPr txBox="1"/>
          </xdr:nvSpPr>
          <xdr:spPr>
            <a:xfrm>
              <a:off x="4524375" y="704847"/>
              <a:ext cx="4238625" cy="7943853"/>
            </a:xfrm>
            <a:prstGeom prst="rect">
              <a:avLst/>
            </a:prstGeom>
            <a:solidFill>
              <a:schemeClr val="lt1"/>
            </a:solidFill>
            <a:ln w="9525" cmpd="sng">
              <a:solidFill>
                <a:schemeClr val="lt1">
                  <a:shade val="50000"/>
                </a:schemeClr>
              </a:solidFill>
            </a:ln>
            <a:effectLst>
              <a:glow rad="101600">
                <a:schemeClr val="tx2">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defTabSz="914400" eaLnBrk="1" fontAlgn="auto" latinLnBrk="0" hangingPunct="1">
                <a:lnSpc>
                  <a:spcPct val="115000"/>
                </a:lnSpc>
                <a:spcBef>
                  <a:spcPts val="2400"/>
                </a:spcBef>
                <a:spcAft>
                  <a:spcPts val="1200"/>
                </a:spcAft>
                <a:buClrTx/>
                <a:buSzTx/>
                <a:buFont typeface="+mj-lt"/>
                <a:buAutoNum type="arabicPeriod" startAt="2"/>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Development Expenditure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Our methodology takes as a starting point the projected public investment to GDP ratios as given in the Planning Commission Vision 2025 (Discussion Draft) (see Table 5-1 in the companion paper). These figures are interpolated for FY2014 and for FY2016 to FY2019.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We assume that if public investment (as percentage of GDP) goes up from, say, 3.9% in 2013 to 4.3% in FY2014, then the federal share of public investment in GDP will also go up by a factor of (4.3/3.9) = 1.09  and so  will the share of public investment of Punjab, Sindh, KP and Balochistan in the GDP. We further assume that development expenditure (DE) is a constant proportion of total public sector investment in Punjab. With these assumptions we are able to show that the forecast for nominal DE for each year can be obtained by multiplying the following three terms: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Ratio of DE in period t (as percentage of GDP) to DE in period t-1 (as percentage of GDP) – from Table 5-2 in the companion paper.</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Level of DE in period t-1; and</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Nominal GDP growth factor or (1 + real GDP growth rate) × (1 + GDP deflator).</a:t>
              </a:r>
            </a:p>
            <a:p>
              <a:pPr marL="342900" marR="0" lvl="0" indent="-342900" defTabSz="914400" eaLnBrk="1" fontAlgn="auto" latinLnBrk="0" hangingPunct="1">
                <a:lnSpc>
                  <a:spcPct val="115000"/>
                </a:lnSpc>
                <a:spcBef>
                  <a:spcPts val="1200"/>
                </a:spcBef>
                <a:spcAft>
                  <a:spcPts val="0"/>
                </a:spcAft>
                <a:buClrTx/>
                <a:buSzTx/>
                <a:buFont typeface="+mj-lt"/>
                <a:buAutoNum type="arabicPeriod" startAt="3"/>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Current Revenue Expenditure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We distinguish between non-interest current revenue expenditure (CRE) and interest expenditure on domestic and foreign debt. We assume that the non-interest component of CRE would increase at the same real rate at which it grew during the period FY2008/09 to FY2012/13 or 8%. The nominal growth factor is then obtained by multiplying the real growth factor, (1.08), by the CPI inflation factor (1 + </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𝑃</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 ̇</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mn-cs"/>
                </a:rPr>
                <a:t>Forecast of interest expenditure is obtained as a product of interest rate and debt in the previous period. The determination of foreign and domestic debt levels is discussed in the following section.</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342900" marR="0" lvl="0" indent="-342900">
                <a:lnSpc>
                  <a:spcPct val="115000"/>
                </a:lnSpc>
                <a:spcBef>
                  <a:spcPts val="2400"/>
                </a:spcBef>
                <a:spcAft>
                  <a:spcPts val="1200"/>
                </a:spcAft>
                <a:buFont typeface="+mj-lt"/>
                <a:buAutoNum type="arabicPeriod" startAt="2"/>
              </a:pPr>
              <a:endParaRPr lang="en-US" sz="1100">
                <a:effectLst/>
                <a:latin typeface="Times New Roman"/>
                <a:ea typeface="Times New Roman"/>
                <a:cs typeface="Times New Roman"/>
              </a:endParaRPr>
            </a:p>
          </xdr:txBody>
        </xdr:sp>
      </mc:Fallback>
    </mc:AlternateContent>
    <xdr:clientData/>
  </xdr:twoCellAnchor>
  <xdr:twoCellAnchor>
    <xdr:from>
      <xdr:col>14</xdr:col>
      <xdr:colOff>428624</xdr:colOff>
      <xdr:row>2</xdr:row>
      <xdr:rowOff>180971</xdr:rowOff>
    </xdr:from>
    <xdr:to>
      <xdr:col>28</xdr:col>
      <xdr:colOff>409575</xdr:colOff>
      <xdr:row>94</xdr:row>
      <xdr:rowOff>123825</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8963024" y="714371"/>
              <a:ext cx="8515351" cy="17468854"/>
            </a:xfrm>
            <a:prstGeom prst="rect">
              <a:avLst/>
            </a:prstGeom>
            <a:solidFill>
              <a:schemeClr val="lt1"/>
            </a:solidFill>
            <a:ln w="9525" cmpd="sng">
              <a:solidFill>
                <a:schemeClr val="lt1">
                  <a:shade val="50000"/>
                </a:schemeClr>
              </a:solidFill>
            </a:ln>
            <a:effectLst>
              <a:glow rad="101600">
                <a:schemeClr val="tx2">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defTabSz="914400" eaLnBrk="1" fontAlgn="auto" latinLnBrk="0" hangingPunct="1">
                <a:lnSpc>
                  <a:spcPct val="115000"/>
                </a:lnSpc>
                <a:spcBef>
                  <a:spcPts val="2400"/>
                </a:spcBef>
                <a:spcAft>
                  <a:spcPts val="1200"/>
                </a:spcAft>
                <a:buClrTx/>
                <a:buSzTx/>
                <a:buFont typeface="+mj-lt"/>
                <a:buAutoNum type="arabicPeriod" startAt="4"/>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Overall Fiscal balance, Cash reserves, Domestic Debt, Foreign Debt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Overall Fiscal balance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Define net policy loans (</a:t>
              </a:r>
              <a:r>
                <a:rPr kumimoji="0" lang="en-US" sz="1200" b="1" i="0" u="none" strike="noStrike" kern="0" cap="none" spc="0" normalizeH="0" baseline="0" noProof="0">
                  <a:ln>
                    <a:noFill/>
                  </a:ln>
                  <a:solidFill>
                    <a:prstClr val="black"/>
                  </a:solidFill>
                  <a:effectLst/>
                  <a:uLnTx/>
                  <a:uFillTx/>
                  <a:latin typeface="Times New Roman"/>
                  <a:ea typeface="Times New Roman"/>
                  <a:cs typeface="Times New Roman"/>
                </a:rPr>
                <a:t>NPL</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as net loans (ie loans minus repayments) extended by the provincial government to ‘local governments, financial institutions and autonomous bodies under its purview for meeting their current and development expenditures’. We assume NPL to increase, from its base-year level, at the same rate as nominal GDP. Now define the difference between GRR and the sum of CRE, DE and NPL as overall fiscal balance (</a:t>
              </a:r>
              <a:r>
                <a:rPr kumimoji="0" lang="en-US" sz="1200" b="1" i="0" u="none" strike="noStrike" kern="0" cap="none" spc="0" normalizeH="0" baseline="0" noProof="0">
                  <a:ln>
                    <a:noFill/>
                  </a:ln>
                  <a:solidFill>
                    <a:prstClr val="black"/>
                  </a:solidFill>
                  <a:effectLst/>
                  <a:uLnTx/>
                  <a:uFillTx/>
                  <a:latin typeface="Times New Roman"/>
                  <a:ea typeface="Times New Roman"/>
                  <a:cs typeface="Times New Roman"/>
                </a:rPr>
                <a:t>OFB</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defTabSz="914400" eaLnBrk="1" fontAlgn="auto" latinLnBrk="0" hangingPunct="1">
                <a:lnSpc>
                  <a:spcPct val="115000"/>
                </a:lnSpc>
                <a:spcBef>
                  <a:spcPts val="0"/>
                </a:spcBef>
                <a:spcAft>
                  <a:spcPts val="1000"/>
                </a:spcAft>
                <a:buClrTx/>
                <a:buSzTx/>
                <a:buFontTx/>
                <a:buNone/>
                <a:tabLst/>
                <a:defRPr/>
              </a:pP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𝑂𝐹𝐵</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𝐺𝑅𝑅</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m:t> –</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𝐶𝑅𝐸</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m:t> – </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𝐷𝐸</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m:t> – </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t>𝑁</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𝑃𝐿</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(1)</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Given base-year values of cash reserves (CR), the interest component of GRR for year 1 is obtained as a product of CR in the base-year and interest rate in year 1. Similarly given base-year value for domestic and foreign debt, the interest component of CRE is obtained for year 1. From these forecasts and forecasts of non-interest components of GRR and CRE (see Section 1 and 3) together with forecasts of DE (see Section 2) and the assumption on NPL given above, we can determine OFB for year 1 from (1). To determine subsequent year values of the interest components of revenue and spending, we need to model the determination of cash reserves and domestic and foreign debt. We discuss these below.</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Cash Reserves and New Foreign and Domestic Loans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mn-ea"/>
                  <a:cs typeface="Times New Roman"/>
                </a:rPr>
                <a:t>D</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efine 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as: </a:t>
              </a:r>
            </a:p>
            <a:p>
              <a:pPr marL="0" marR="0" lvl="0" indent="0" defTabSz="914400" eaLnBrk="1" fontAlgn="auto" latinLnBrk="0" hangingPunct="1">
                <a:lnSpc>
                  <a:spcPct val="115000"/>
                </a:lnSpc>
                <a:spcBef>
                  <a:spcPts val="0"/>
                </a:spcBef>
                <a:spcAft>
                  <a:spcPts val="1000"/>
                </a:spcAft>
                <a:buClrTx/>
                <a:buSzTx/>
                <a:buFontTx/>
                <a:buNone/>
                <a:tabLst/>
                <a:defRPr/>
              </a:pP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𝛷</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𝑂𝐹𝐵</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𝑑𝑜𝑚𝑒𝑠𝑡𝑖𝑐</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𝑓𝑜𝑟𝑒𝑖𝑔𝑛</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(2)</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the financing gap, which is determined if values of the RHS variables in (2) were known. As mentioned earlier, OFB for year 1 can be determined from (1) but to determine values for subsequent year, we will have to determine values for cash reserves and domestic and foreign debt. To determine the other variables on the RHS of (2), we make the following assumptions: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There is no premature domestic debt retirement and the only domestic debt that the government must retire is the debt that it is obligated to retire under the terms of the contract. Further, the annual domestic nominal debt retirement, will either be the same as in FY2012/13 (Rs18 billion) or the nominal debt outstanding, whichever is less. </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Foreign debt retirement in each of the forecast periods will be unchanged in dollar terms from the FY2012/13 level. (The foreign debt repayment in the base year in rupee terms was Rs12.6 billion.)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The financing gap 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in (2) is modified by taking into account, what we term the </a:t>
              </a:r>
              <a:r>
                <a:rPr kumimoji="0" lang="en-US" sz="1200" b="0" i="1" u="none" strike="noStrike" kern="0" cap="none" spc="0" normalizeH="0" baseline="0" noProof="0">
                  <a:ln>
                    <a:noFill/>
                  </a:ln>
                  <a:solidFill>
                    <a:prstClr val="black"/>
                  </a:solidFill>
                  <a:effectLst/>
                  <a:uLnTx/>
                  <a:uFillTx/>
                  <a:latin typeface="Times New Roman"/>
                  <a:ea typeface="Times New Roman"/>
                  <a:cs typeface="Times New Roman"/>
                </a:rPr>
                <a:t>default level of new foreign loans</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We assume that there is a minimum level of new foreign loans that the government undertakes each year to take advantage of concessionary foreign lending. Domestic loans, on the other hand, are expensive and the government will turn to these when other sources of financing have been exhausted (see below). The default level of new foreign loans are assumed to remain unchanged, in dollar terms, from their base year value.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Let </a:t>
              </a:r>
              <a:r>
                <a:rPr kumimoji="0" lang="en-US" sz="1200" b="0" i="1" u="none" strike="noStrike" kern="0" cap="none" spc="0" normalizeH="0" baseline="0" noProof="0">
                  <a:ln>
                    <a:noFill/>
                  </a:ln>
                  <a:solidFill>
                    <a:prstClr val="black"/>
                  </a:solidFill>
                  <a:effectLst/>
                  <a:uLnTx/>
                  <a:uFillTx/>
                  <a:latin typeface="Times New Roman"/>
                  <a:ea typeface="Times New Roman"/>
                  <a:cs typeface="Times New Roman"/>
                </a:rPr>
                <a:t>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be the financing gap after taking into account the default level of foreign loans:</a:t>
              </a:r>
            </a:p>
            <a:p>
              <a:pPr marL="0" marR="0" lvl="0" indent="0" defTabSz="914400" eaLnBrk="1" fontAlgn="auto" latinLnBrk="0" hangingPunct="1">
                <a:lnSpc>
                  <a:spcPct val="115000"/>
                </a:lnSpc>
                <a:spcBef>
                  <a:spcPts val="0"/>
                </a:spcBef>
                <a:spcAft>
                  <a:spcPts val="1000"/>
                </a:spcAft>
                <a:buClrTx/>
                <a:buSzTx/>
                <a:buFontTx/>
                <a:buNone/>
                <a:tabLst/>
                <a:defRPr/>
              </a:pP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𝛳</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𝑂𝐹𝐵</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𝑑𝑜𝑚𝑒𝑠𝑡𝑖𝑐</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𝑓𝑜𝑟𝑒𝑖𝑔𝑛</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𝑑𝑒𝑓𝑎𝑢𝑙𝑡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𝑙𝑒𝑣𝑒𝑙</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𝑜𝑓</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t>𝑛𝑒𝑤</m:t>
                      </m:r>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𝑓𝑜𝑟𝑒𝑖𝑔𝑛</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𝑙𝑜𝑎𝑛𝑠</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(3)</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If the RHS in (3) is positive, it can add to any cash surplus accumulated from the past. If it is negative, it can be financed by: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accumulated cash reserves,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new foreign loans (over and above the default level)</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new domestic loans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In our model, if 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negative, the gap is first met by running down cash reserves. Once these are exhausted the government turns to foreign loans that would now exceed the default level. New foreign loans also have an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Once the upper bound Γ</a:t>
              </a:r>
              <a:r>
                <a:rPr kumimoji="0" lang="en-US" sz="1200" b="0" i="0" u="none" strike="noStrike" kern="0" cap="none" spc="0" normalizeH="0" baseline="-25000" noProof="0">
                  <a:ln>
                    <a:noFill/>
                  </a:ln>
                  <a:solidFill>
                    <a:prstClr val="black"/>
                  </a:solidFill>
                  <a:effectLst/>
                  <a:uLnTx/>
                  <a:uFillTx/>
                  <a:latin typeface="+mn-lt"/>
                  <a:ea typeface="+mn-ea"/>
                  <a:cs typeface="+mn-cs"/>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reached, the relatively more expensive domestic loans kick in and the balance is met from domestic borrowing.</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Now adding accumulated cash reserves from the past to the adjusted financing gap, 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we obtain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0" marR="0" lvl="0" indent="0" algn="just" defTabSz="914400" eaLnBrk="1" fontAlgn="auto" latinLnBrk="0" hangingPunct="1">
                <a:lnSpc>
                  <a:spcPct val="115000"/>
                </a:lnSpc>
                <a:spcBef>
                  <a:spcPts val="0"/>
                </a:spcBef>
                <a:spcAft>
                  <a:spcPts val="0"/>
                </a:spcAft>
                <a:buClrTx/>
                <a:buSzTx/>
                <a:buFontTx/>
                <a:buNone/>
                <a:tabLst/>
                <a:defRPr/>
              </a:pP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Ω</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𝐶𝑅</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−1</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Cambria"/>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Cambria"/>
                        </a:rPr>
                        <m:t>𝛳</m:t>
                      </m:r>
                    </m:e>
                    <m:sub>
                      <m:r>
                        <a:rPr kumimoji="0" lang="en-US" sz="1200" b="0" i="1" u="none" strike="noStrike" kern="0" cap="none" spc="0" normalizeH="0" baseline="0" noProof="0">
                          <a:ln>
                            <a:noFill/>
                          </a:ln>
                          <a:solidFill>
                            <a:prstClr val="black"/>
                          </a:solidFill>
                          <a:effectLst/>
                          <a:uLnTx/>
                          <a:uFillTx/>
                          <a:latin typeface="Cambria Math"/>
                          <a:ea typeface="Times New Roman"/>
                          <a:cs typeface="Cambria"/>
                        </a:rPr>
                        <m:t>𝑡</m:t>
                      </m:r>
                    </m:sub>
                  </m:sSub>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(4)</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Cash reserves are restricted to be non-negative, so that CR</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equal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if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non-negative and zero otherwise:</a:t>
              </a:r>
            </a:p>
            <a:p>
              <a:pPr marL="0" marR="0" lvl="0" indent="0" algn="just" defTabSz="914400" eaLnBrk="1" fontAlgn="auto" latinLnBrk="0" hangingPunct="1">
                <a:lnSpc>
                  <a:spcPct val="115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Times New Roman"/>
                <a:ea typeface="Times New Roman"/>
                <a:cs typeface="Times New Roman"/>
              </a:endParaRP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CR</a:t>
              </a:r>
              <a:r>
                <a:rPr kumimoji="0" lang="en-US" sz="12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 </a:t>
              </a: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Ω</m:t>
                      </m:r>
                    </m:e>
                    <m:sub>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𝑡</m:t>
                      </m:r>
                    </m:sub>
                  </m:sSub>
                </m:oMath>
              </a14:m>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if </a:t>
              </a: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Ω</m:t>
                      </m:r>
                    </m:e>
                    <m:sub>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𝑡</m:t>
                      </m:r>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ub>
                  </m:sSub>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a14:m>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CR</a:t>
              </a:r>
              <a:r>
                <a:rPr kumimoji="0" lang="en-US" sz="12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a:t>
              </a:r>
              <a14:m>
                <m:oMath xmlns:m="http://schemas.openxmlformats.org/officeDocument/2006/math">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a14:m>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if </a:t>
              </a: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Ω</m:t>
                      </m:r>
                    </m:e>
                    <m:sub>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𝑡</m:t>
                      </m:r>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ub>
                  </m:sSub>
                  <m: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&lt;0</m:t>
                  </m:r>
                </m:oMath>
              </a14:m>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(5)</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algn="just"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Once all cash reserves are exhausted, the government turns to additional foreign loans that would now exceed the default level. New foreign loans also have an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New foreign loans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when they exceed the default level but do not exceed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take the following form: </a:t>
              </a:r>
            </a:p>
            <a:p>
              <a:pPr marL="0" marR="0" lvl="0" indent="0" defTabSz="914400" eaLnBrk="1" fontAlgn="auto" latinLnBrk="0" hangingPunct="1">
                <a:lnSpc>
                  <a:spcPct val="115000"/>
                </a:lnSpc>
                <a:spcBef>
                  <a:spcPts val="0"/>
                </a:spcBef>
                <a:spcAft>
                  <a:spcPts val="1000"/>
                </a:spcAft>
                <a:buClrTx/>
                <a:buSzTx/>
                <a:buFontTx/>
                <a:buNone/>
                <a:tabLst/>
                <a:defRPr/>
              </a:pPr>
              <a14:m>
                <m:oMath xmlns:m="http://schemas.openxmlformats.org/officeDocument/2006/math">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𝛹</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𝑑𝑜𝑚𝑒𝑠𝑡𝑖𝑐</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𝑓𝑜𝑟𝑒𝑖𝑔𝑛</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𝑑𝑒𝑏𝑡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 </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𝑟𝑒𝑝𝑎𝑦𝑚𝑒𝑛𝑡</m:t>
                          </m:r>
                        </m:e>
                      </m:d>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d>
                    <m:d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dPr>
                    <m:e>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sSub>
                            <m:sSubPr>
                              <m:ctrlPr>
                                <a:rPr kumimoji="0" lang="en-US" sz="1200" b="0" i="1"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m:ctrlPr>
                            </m:sSubPr>
                            <m:e>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𝐶𝑅</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−1</m:t>
                              </m:r>
                            </m:sub>
                          </m:s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m:t>
                          </m:r>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𝑂𝐹𝐵</m:t>
                          </m:r>
                        </m:e>
                        <m:sub>
                          <m:r>
                            <a:rPr kumimoji="0" lang="en-US" sz="1200" b="0" i="1" u="none" strike="noStrike" kern="0" cap="none" spc="0" normalizeH="0" baseline="0" noProof="0">
                              <a:ln>
                                <a:noFill/>
                              </a:ln>
                              <a:solidFill>
                                <a:prstClr val="black"/>
                              </a:solidFill>
                              <a:effectLst/>
                              <a:uLnTx/>
                              <a:uFillTx/>
                              <a:latin typeface="Cambria Math"/>
                              <a:ea typeface="Times New Roman"/>
                              <a:cs typeface="Times New Roman"/>
                            </a:rPr>
                            <m:t>𝑡</m:t>
                          </m:r>
                        </m:sub>
                      </m:sSub>
                    </m:e>
                  </m:d>
                </m:oMath>
              </a14:m>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(6)</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Once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reached, the relatively more expensive domestic loans kick in and the balance is met from domestic borrowing. New domestic loans then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Foreign Debt</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Foreign debt in each period is the sum of foreign debt in the previous period minus obligatory debt repayment in the current period plus new foreign loans. As mentioned above, obligatory foreign debt repayment is assumed to equal the base year level of debt repayment in dollar term. These are converted into rupee terms by multiplying by (1 + exchange rate depreciation). The exchange rate is expected to depreciate by the difference between the domestic and foreign inflation rates. The former is obtained from IMF 7</a:t>
              </a:r>
              <a:r>
                <a:rPr kumimoji="0" lang="en-US" sz="1200" b="0" i="0" u="none" strike="noStrike" kern="0" cap="none" spc="0" normalizeH="0" baseline="30000" noProof="0">
                  <a:ln>
                    <a:noFill/>
                  </a:ln>
                  <a:solidFill>
                    <a:prstClr val="black"/>
                  </a:solidFill>
                  <a:effectLst/>
                  <a:uLnTx/>
                  <a:uFillTx/>
                  <a:latin typeface="Times New Roman"/>
                  <a:ea typeface="Times New Roman"/>
                  <a:cs typeface="Times New Roman"/>
                </a:rPr>
                <a:t>th</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review and the latter is assumed to equal 2%. New foreign loans are either the ‘default’ level or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or equal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to be specified by the user/policy maker.</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Domestic Debt</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Domestic debt in each period is similarly the sum of domestic debt in the previous period, minus obligatory debt repayment in the current period plus new domestic loans. Obligatory domestic debt repayment is assumed to equal either the base-year level of debt repayment or the outstanding debt, whichever is higher. New domestic loans are either zero or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Concluding Comments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To recap, given base year values for cash reserves, foreign debt and domestic debt, OFB for year 1 can be obtained from 1. Given OFB for year 1, values for cash reserves, domestic debt and foreign debt in year 1 can be obtained from the above assumptions on debt repayment and sequencing of financing. These values in turn help determine OFB in year 2, which in turn determines cash reserves and debt in period 2. Thus, starting from base-year values of cash reserves, and domestic and foreign debt, we can recursively determine OFB, cash reserves and debt in subsequent years.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4" name="TextBox 3"/>
            <xdr:cNvSpPr txBox="1"/>
          </xdr:nvSpPr>
          <xdr:spPr>
            <a:xfrm>
              <a:off x="8963024" y="714371"/>
              <a:ext cx="8515351" cy="17468854"/>
            </a:xfrm>
            <a:prstGeom prst="rect">
              <a:avLst/>
            </a:prstGeom>
            <a:solidFill>
              <a:schemeClr val="lt1"/>
            </a:solidFill>
            <a:ln w="9525" cmpd="sng">
              <a:solidFill>
                <a:schemeClr val="lt1">
                  <a:shade val="50000"/>
                </a:schemeClr>
              </a:solidFill>
            </a:ln>
            <a:effectLst>
              <a:glow rad="101600">
                <a:schemeClr val="tx2">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defTabSz="914400" eaLnBrk="1" fontAlgn="auto" latinLnBrk="0" hangingPunct="1">
                <a:lnSpc>
                  <a:spcPct val="115000"/>
                </a:lnSpc>
                <a:spcBef>
                  <a:spcPts val="2400"/>
                </a:spcBef>
                <a:spcAft>
                  <a:spcPts val="1200"/>
                </a:spcAft>
                <a:buClrTx/>
                <a:buSzTx/>
                <a:buFont typeface="+mj-lt"/>
                <a:buAutoNum type="arabicPeriod" startAt="4"/>
                <a:tabLst/>
                <a:defRPr/>
              </a:pPr>
              <a:r>
                <a:rPr kumimoji="0" lang="en-US" sz="1600" b="1" i="0" u="none" strike="noStrike" kern="0" cap="none" spc="0" normalizeH="0" baseline="0" noProof="0">
                  <a:ln>
                    <a:noFill/>
                  </a:ln>
                  <a:solidFill>
                    <a:srgbClr val="365F91"/>
                  </a:solidFill>
                  <a:effectLst/>
                  <a:uLnTx/>
                  <a:uFillTx/>
                  <a:latin typeface="Times New Roman"/>
                  <a:ea typeface="Times New Roman"/>
                  <a:cs typeface="Times New Roman"/>
                </a:rPr>
                <a:t>Forecasting Overall Fiscal balance, Cash reserves, Domestic Debt, Foreign Debt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Overall Fiscal balance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Define net policy loans (</a:t>
              </a:r>
              <a:r>
                <a:rPr kumimoji="0" lang="en-US" sz="1200" b="1" i="0" u="none" strike="noStrike" kern="0" cap="none" spc="0" normalizeH="0" baseline="0" noProof="0">
                  <a:ln>
                    <a:noFill/>
                  </a:ln>
                  <a:solidFill>
                    <a:prstClr val="black"/>
                  </a:solidFill>
                  <a:effectLst/>
                  <a:uLnTx/>
                  <a:uFillTx/>
                  <a:latin typeface="Times New Roman"/>
                  <a:ea typeface="Times New Roman"/>
                  <a:cs typeface="Times New Roman"/>
                </a:rPr>
                <a:t>NPL</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as net loans (ie loans minus repayments) extended by the provincial government to ‘local governments, financial institutions and autonomous bodies under its purview for meeting their current and development expenditures’. We assume NPL to increase, from its base-year level, at the same rate as nominal GDP. Now define the difference between GRR and the sum of CRE, DE and NPL as overall fiscal balance (</a:t>
              </a:r>
              <a:r>
                <a:rPr kumimoji="0" lang="en-US" sz="1200" b="1" i="0" u="none" strike="noStrike" kern="0" cap="none" spc="0" normalizeH="0" baseline="0" noProof="0">
                  <a:ln>
                    <a:noFill/>
                  </a:ln>
                  <a:solidFill>
                    <a:prstClr val="black"/>
                  </a:solidFill>
                  <a:effectLst/>
                  <a:uLnTx/>
                  <a:uFillTx/>
                  <a:latin typeface="Times New Roman"/>
                  <a:ea typeface="Times New Roman"/>
                  <a:cs typeface="Times New Roman"/>
                </a:rPr>
                <a:t>OFB</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𝑂𝐹𝐵</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𝐺𝑅𝑅</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𝐶𝑅𝐸</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  –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𝐷𝐸</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  –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𝑁</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𝑃𝐿</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(1)</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Given base-year values of cash reserves (CR), the interest component of GRR for year 1 is obtained as a product of CR in the base-year and interest rate in year 1. Similarly given base-year value for domestic and foreign debt, the interest component of CRE is obtained for year 1. From these forecasts and forecasts of non-interest components of GRR and CRE (see Section 1 and 3) together with forecasts of DE (see Section 2) and the assumption on NPL given above, we can determine OFB for year 1 from (1). To determine subsequent year values of the interest components of revenue and spending, we need to model the determination of cash reserves and domestic and foreign debt. We discuss these below.</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Cash Reserves and New Foreign and Domestic Loans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mn-ea"/>
                  <a:cs typeface="Times New Roman"/>
                </a:rPr>
                <a:t>D</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efine 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as: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𝛷</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𝑂𝐹𝐵</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𝑑𝑜𝑚𝑒𝑠𝑡𝑖𝑐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𝑓𝑜𝑟𝑒𝑖𝑔𝑛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(2)</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the financing gap, which is determined if values of the RHS variables in (2) were known. As mentioned earlier, OFB for year 1 can be determined from (1) but to determine values for subsequent year, we will have to determine values for cash reserves and domestic and foreign debt. To determine the other variables on the RHS of (2), we make the following assumptions: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There is no premature domestic debt retirement and the only domestic debt that the government must retire is the debt that it is obligated to retire under the terms of the contract. Further, the annual domestic nominal debt retirement, will either be the same as in FY2012/13 (Rs18 billion) or the nominal debt outstanding, whichever is less. </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Foreign debt retirement in each of the forecast periods will be unchanged in dollar terms from the FY2012/13 level. (The foreign debt repayment in the base year in rupee terms was Rs12.6 billion.)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The financing gap Φ</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in (2) is modified by taking into account, what we term the </a:t>
              </a:r>
              <a:r>
                <a:rPr kumimoji="0" lang="en-US" sz="1200" b="0" i="1" u="none" strike="noStrike" kern="0" cap="none" spc="0" normalizeH="0" baseline="0" noProof="0">
                  <a:ln>
                    <a:noFill/>
                  </a:ln>
                  <a:solidFill>
                    <a:prstClr val="black"/>
                  </a:solidFill>
                  <a:effectLst/>
                  <a:uLnTx/>
                  <a:uFillTx/>
                  <a:latin typeface="Times New Roman"/>
                  <a:ea typeface="Times New Roman"/>
                  <a:cs typeface="Times New Roman"/>
                </a:rPr>
                <a:t>default level of new foreign loans</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We assume that there is a minimum level of new foreign loans that the government undertakes each year to take advantage of concessionary foreign lending. Domestic loans, on the other hand, are expensive and the government will turn to these when other sources of financing have been exhausted (see below). The default level of new foreign loans are assumed to remain unchanged, in dollar terms, from their base year value.</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Let </a:t>
              </a:r>
              <a:r>
                <a:rPr kumimoji="0" lang="en-US" sz="1200" b="0" i="1" u="none" strike="noStrike" kern="0" cap="none" spc="0" normalizeH="0" baseline="0" noProof="0">
                  <a:ln>
                    <a:noFill/>
                  </a:ln>
                  <a:solidFill>
                    <a:prstClr val="black"/>
                  </a:solidFill>
                  <a:effectLst/>
                  <a:uLnTx/>
                  <a:uFillTx/>
                  <a:latin typeface="Times New Roman"/>
                  <a:ea typeface="Times New Roman"/>
                  <a:cs typeface="Times New Roman"/>
                </a:rPr>
                <a:t>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be the financing gap after taking into account the default level of foreign loans: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𝛳</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𝑂𝐹𝐵</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𝑑𝑜𝑚𝑒𝑠𝑡𝑖𝑐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𝑓𝑜𝑟𝑒𝑖𝑔𝑛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(𝑑𝑒𝑓𝑎𝑢𝑙𝑡 𝑙𝑒𝑣𝑒𝑙 𝑜𝑓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𝑛𝑒𝑤 </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𝑓𝑜𝑟𝑒𝑖𝑔𝑛 𝑙𝑜𝑎𝑛𝑠)</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(3)</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If the RHS in (3) is positive, it can add to any cash surplus accumulated from the past. If it is negative, it can be financed by: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accumulated cash reserves, </a:t>
              </a:r>
            </a:p>
            <a:p>
              <a:pPr marL="342900" marR="0" lvl="0" indent="-342900" defTabSz="914400" eaLnBrk="1" fontAlgn="auto" latinLnBrk="0" hangingPunct="1">
                <a:lnSpc>
                  <a:spcPct val="115000"/>
                </a:lnSpc>
                <a:spcBef>
                  <a:spcPts val="0"/>
                </a:spcBef>
                <a:spcAft>
                  <a:spcPts val="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new foreign loans (over and above the default level)</a:t>
              </a:r>
            </a:p>
            <a:p>
              <a:pPr marL="342900" marR="0" lvl="0" indent="-342900" defTabSz="914400" eaLnBrk="1" fontAlgn="auto" latinLnBrk="0" hangingPunct="1">
                <a:lnSpc>
                  <a:spcPct val="115000"/>
                </a:lnSpc>
                <a:spcBef>
                  <a:spcPts val="0"/>
                </a:spcBef>
                <a:spcAft>
                  <a:spcPts val="1000"/>
                </a:spcAft>
                <a:buClrTx/>
                <a:buSzTx/>
                <a:buFont typeface="+mj-lt"/>
                <a:buAutoNum type="romanLcPeriod"/>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new domestic loans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In our model, if 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negative, the gap is first met by running down cash reserves. Once these are exhausted the government turns to foreign loans that would now exceed the default level. New foreign loans also have an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Once the upper bound Γ</a:t>
              </a:r>
              <a:r>
                <a:rPr kumimoji="0" lang="en-US" sz="1200" b="0" i="0" u="none" strike="noStrike" kern="0" cap="none" spc="0" normalizeH="0" baseline="-25000" noProof="0">
                  <a:ln>
                    <a:noFill/>
                  </a:ln>
                  <a:solidFill>
                    <a:prstClr val="black"/>
                  </a:solidFill>
                  <a:effectLst/>
                  <a:uLnTx/>
                  <a:uFillTx/>
                  <a:latin typeface="+mn-lt"/>
                  <a:ea typeface="+mn-ea"/>
                  <a:cs typeface="+mn-cs"/>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reached, the relatively more expensive domestic loans kick in and the balance is met from domestic borrowing.</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Now adding accumulated cash reserves from the past to the adjusted financing gap, ϴ</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we obtain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Ω</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𝐶𝑅</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𝑡−1</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Cambria"/>
                </a:rPr>
                <a:t>𝛳</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Cambria"/>
                </a:rPr>
                <a:t>_</a:t>
              </a:r>
              <a:r>
                <a:rPr kumimoji="0" lang="en-US" sz="1200" b="0" i="0" u="none" strike="noStrike" kern="0" cap="none" spc="0" normalizeH="0" baseline="0" noProof="0">
                  <a:ln>
                    <a:noFill/>
                  </a:ln>
                  <a:solidFill>
                    <a:prstClr val="black"/>
                  </a:solidFill>
                  <a:effectLst/>
                  <a:uLnTx/>
                  <a:uFillTx/>
                  <a:latin typeface="Cambria Math"/>
                  <a:ea typeface="Times New Roman"/>
                  <a:cs typeface="Cambria"/>
                </a:rPr>
                <a:t>𝑡</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(4)</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Cash reserves are restricted to be non-negative, so that CR</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equal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if Ω</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non-negative and zero otherwise:</a:t>
              </a:r>
            </a:p>
            <a:p>
              <a:pPr marL="0" marR="0" lvl="0" indent="0" algn="just" defTabSz="914400" eaLnBrk="1" fontAlgn="auto" latinLnBrk="0" hangingPunct="1">
                <a:lnSpc>
                  <a:spcPct val="115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Times New Roman"/>
                <a:ea typeface="Times New Roman"/>
                <a:cs typeface="Times New Roman"/>
              </a:endParaRP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CR</a:t>
              </a:r>
              <a:r>
                <a:rPr kumimoji="0" lang="en-US" sz="12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Ω_𝑡</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if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Ω_(𝑡 )≥0</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CR</a:t>
              </a:r>
              <a:r>
                <a:rPr kumimoji="0" lang="en-US" sz="12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if </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Ω_(𝑡 )&lt;0</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a:cs typeface="Times New Roman" panose="02020603050405020304" pitchFamily="18" charset="0"/>
                </a:rPr>
                <a:t>						(5)</a:t>
              </a:r>
            </a:p>
            <a:p>
              <a:pPr marL="0" marR="0" lvl="0" indent="0" algn="just" defTabSz="914400" eaLnBrk="1" fontAlgn="auto" latinLnBrk="0" hangingPunct="1">
                <a:lnSpc>
                  <a:spcPct val="115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a:t>
              </a:r>
            </a:p>
            <a:p>
              <a:pPr marL="0" marR="0" lvl="0" indent="0" algn="just"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Once all cash reserves are exhausted, the government turns to additional foreign loans that would now exceed the default level. New foreign loans also have an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New foreign loans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when they exceed the default level but do not exceed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take the following form: </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𝛹</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𝑑𝑜𝑚𝑒𝑠𝑡𝑖𝑐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𝑓𝑜𝑟𝑒𝑖𝑔𝑛 𝑑𝑒𝑏𝑡 𝑟𝑒𝑝𝑎𝑦𝑚𝑒𝑛𝑡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𝐶𝑅</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𝑡−1</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+𝑂𝐹𝐵</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〗_</a:t>
              </a:r>
              <a:r>
                <a:rPr kumimoji="0" lang="en-US" sz="1200" b="0" i="0" u="none" strike="noStrike" kern="0" cap="none" spc="0" normalizeH="0" baseline="0" noProof="0">
                  <a:ln>
                    <a:noFill/>
                  </a:ln>
                  <a:solidFill>
                    <a:prstClr val="black"/>
                  </a:solidFill>
                  <a:effectLst/>
                  <a:uLnTx/>
                  <a:uFillTx/>
                  <a:latin typeface="Cambria Math"/>
                  <a:ea typeface="Times New Roman"/>
                  <a:cs typeface="Times New Roman"/>
                </a:rPr>
                <a:t>𝑡</a:t>
              </a:r>
              <a:r>
                <a:rPr kumimoji="0" lang="en-US" sz="1200" b="0" i="0" u="none" strike="noStrike" kern="0" cap="none" spc="0" normalizeH="0" baseline="0" noProof="0">
                  <a:ln>
                    <a:noFill/>
                  </a:ln>
                  <a:solidFill>
                    <a:prstClr val="black"/>
                  </a:solidFill>
                  <a:effectLst/>
                  <a:uLnTx/>
                  <a:uFillTx/>
                  <a:latin typeface="Cambria Math" panose="02040503050406030204" pitchFamily="18" charset="0"/>
                  <a:ea typeface="Times New Roman"/>
                  <a:cs typeface="Times New Roman"/>
                </a:rPr>
                <a:t> )</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(6)</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Once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is reached, the relatively more expensive domestic loans kick in and the balance is met from domestic borrowing. New domestic loans then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Foreign Debt</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Foreign debt in each period is the sum of foreign debt in the previous period minus obligatory debt repayment in the current period plus new foreign loans. As mentioned above, obligatory foreign debt repayment is assumed to equal the base year level of debt repayment in dollar term. These are converted into rupee terms by multiplying by (1 + exchange rate depreciation). The exchange rate is expected to depreciate by the difference between the domestic and foreign inflation rates. The former is obtained from IMF 7</a:t>
              </a:r>
              <a:r>
                <a:rPr kumimoji="0" lang="en-US" sz="1200" b="0" i="0" u="none" strike="noStrike" kern="0" cap="none" spc="0" normalizeH="0" baseline="30000" noProof="0">
                  <a:ln>
                    <a:noFill/>
                  </a:ln>
                  <a:solidFill>
                    <a:prstClr val="black"/>
                  </a:solidFill>
                  <a:effectLst/>
                  <a:uLnTx/>
                  <a:uFillTx/>
                  <a:latin typeface="Times New Roman"/>
                  <a:ea typeface="Times New Roman"/>
                  <a:cs typeface="Times New Roman"/>
                </a:rPr>
                <a:t>th</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review and the latter is assumed to equal 2%. New foreign loans are either the ‘default’ level or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or equal the upper bound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to be specified by the user/policy maker.</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Domestic Debt</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Domestic debt in each period is similarly the sum of domestic debt in the previous period, minus obligatory debt repayment in the current period plus new domestic loans. Obligatory domestic debt repayment is assumed to equal either the base-year level of debt repayment or the outstanding debt, whichever is higher. New domestic loans are either zero or equal Ψ</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 – Γ</a:t>
              </a:r>
              <a:r>
                <a:rPr kumimoji="0" lang="en-US" sz="1200" b="0" i="0" u="none" strike="noStrike" kern="0" cap="none" spc="0" normalizeH="0" baseline="-25000" noProof="0">
                  <a:ln>
                    <a:noFill/>
                  </a:ln>
                  <a:solidFill>
                    <a:prstClr val="black"/>
                  </a:solidFill>
                  <a:effectLst/>
                  <a:uLnTx/>
                  <a:uFillTx/>
                  <a:latin typeface="Times New Roman"/>
                  <a:ea typeface="Times New Roman"/>
                  <a:cs typeface="Times New Roman"/>
                </a:rPr>
                <a:t>t</a:t>
              </a: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a:t>
              </a:r>
            </a:p>
            <a:p>
              <a:pPr marL="171450" marR="0" lvl="0" indent="-171450" defTabSz="914400" eaLnBrk="1" fontAlgn="auto" latinLnBrk="0" hangingPunct="1">
                <a:lnSpc>
                  <a:spcPct val="115000"/>
                </a:lnSpc>
                <a:spcBef>
                  <a:spcPts val="0"/>
                </a:spcBef>
                <a:spcAft>
                  <a:spcPts val="1000"/>
                </a:spcAft>
                <a:buClrTx/>
                <a:buSzTx/>
                <a:buFont typeface="Wingdings" panose="05000000000000000000" pitchFamily="2" charset="2"/>
                <a:buChar char="§"/>
                <a:tabLst/>
                <a:defRPr/>
              </a:pPr>
              <a:r>
                <a:rPr kumimoji="0" lang="en-US" sz="1400" b="1" i="0" u="none" strike="noStrike" kern="0" cap="none" spc="0" normalizeH="0" baseline="0" noProof="0">
                  <a:ln>
                    <a:noFill/>
                  </a:ln>
                  <a:solidFill>
                    <a:srgbClr val="4F81BD"/>
                  </a:solidFill>
                  <a:effectLst/>
                  <a:uLnTx/>
                  <a:uFillTx/>
                  <a:latin typeface="Times New Roman"/>
                  <a:ea typeface="Times New Roman"/>
                  <a:cs typeface="Times New Roman"/>
                </a:rPr>
                <a:t>Concluding Comments</a:t>
              </a:r>
            </a:p>
            <a:p>
              <a:pPr marL="0" marR="0" lvl="0" indent="0" defTabSz="914400" eaLnBrk="1" fontAlgn="auto" latinLnBrk="0" hangingPunct="1">
                <a:lnSpc>
                  <a:spcPct val="115000"/>
                </a:lnSpc>
                <a:spcBef>
                  <a:spcPts val="0"/>
                </a:spcBef>
                <a:spcAft>
                  <a:spcPts val="100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a:ea typeface="Times New Roman"/>
                  <a:cs typeface="Times New Roman"/>
                </a:rPr>
                <a:t>To recap, given base year values for cash reserves, foreign debt and domestic debt, OFB for year 1 can be obtained from 1. Given OFB for year 1, values for cash reserves, domestic debt and foreign debt in year 1 can be obtained from the above assumptions on debt repayment and sequencing of financing. These values in turn help determine OFB in year 2, which in turn determines cash reserves and debt in period 2. Thus, starting from base-year values of cash reserves, and domestic and foreign debt, we can recursively determine OFB, cash reserves and debt in subsequent years.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58</xdr:row>
          <xdr:rowOff>25400</xdr:rowOff>
        </xdr:from>
        <xdr:to>
          <xdr:col>3</xdr:col>
          <xdr:colOff>165100</xdr:colOff>
          <xdr:row>59</xdr:row>
          <xdr:rowOff>38100</xdr:rowOff>
        </xdr:to>
        <xdr:sp macro="" textlink="">
          <xdr:nvSpPr>
            <xdr:cNvPr id="23553" name="CommandButton1" hidden="1">
              <a:extLst>
                <a:ext uri="{63B3BB69-23CF-44E3-9099-C40C66FF867C}">
                  <a14:compatExt spid="_x0000_s23553"/>
                </a:ext>
                <a:ext uri="{FF2B5EF4-FFF2-40B4-BE49-F238E27FC236}">
                  <a16:creationId xmlns:a16="http://schemas.microsoft.com/office/drawing/2014/main" id="{00000000-0008-0000-02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52</xdr:row>
          <xdr:rowOff>12700</xdr:rowOff>
        </xdr:from>
        <xdr:to>
          <xdr:col>3</xdr:col>
          <xdr:colOff>457200</xdr:colOff>
          <xdr:row>54</xdr:row>
          <xdr:rowOff>12700</xdr:rowOff>
        </xdr:to>
        <xdr:sp macro="" textlink="">
          <xdr:nvSpPr>
            <xdr:cNvPr id="24577" name="CommandButton1" hidden="1">
              <a:extLst>
                <a:ext uri="{63B3BB69-23CF-44E3-9099-C40C66FF867C}">
                  <a14:compatExt spid="_x0000_s24577"/>
                </a:ext>
                <a:ext uri="{FF2B5EF4-FFF2-40B4-BE49-F238E27FC236}">
                  <a16:creationId xmlns:a16="http://schemas.microsoft.com/office/drawing/2014/main" id="{00000000-0008-0000-0300-0000016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787400</xdr:colOff>
          <xdr:row>23</xdr:row>
          <xdr:rowOff>0</xdr:rowOff>
        </xdr:from>
        <xdr:to>
          <xdr:col>4</xdr:col>
          <xdr:colOff>393700</xdr:colOff>
          <xdr:row>24</xdr:row>
          <xdr:rowOff>190500</xdr:rowOff>
        </xdr:to>
        <xdr:sp macro="" textlink="">
          <xdr:nvSpPr>
            <xdr:cNvPr id="25601" name="CommandButton1" hidden="1">
              <a:extLst>
                <a:ext uri="{63B3BB69-23CF-44E3-9099-C40C66FF867C}">
                  <a14:compatExt spid="_x0000_s25601"/>
                </a:ext>
                <a:ext uri="{FF2B5EF4-FFF2-40B4-BE49-F238E27FC236}">
                  <a16:creationId xmlns:a16="http://schemas.microsoft.com/office/drawing/2014/main" id="{00000000-0008-0000-0400-00000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28</xdr:row>
          <xdr:rowOff>0</xdr:rowOff>
        </xdr:from>
        <xdr:to>
          <xdr:col>3</xdr:col>
          <xdr:colOff>596900</xdr:colOff>
          <xdr:row>30</xdr:row>
          <xdr:rowOff>38100</xdr:rowOff>
        </xdr:to>
        <xdr:sp macro="" textlink="">
          <xdr:nvSpPr>
            <xdr:cNvPr id="26625" name="CommandButton1" hidden="1">
              <a:extLst>
                <a:ext uri="{63B3BB69-23CF-44E3-9099-C40C66FF867C}">
                  <a14:compatExt spid="_x0000_s26625"/>
                </a:ext>
                <a:ext uri="{FF2B5EF4-FFF2-40B4-BE49-F238E27FC236}">
                  <a16:creationId xmlns:a16="http://schemas.microsoft.com/office/drawing/2014/main" id="{00000000-0008-0000-0500-0000016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57</xdr:row>
          <xdr:rowOff>304800</xdr:rowOff>
        </xdr:from>
        <xdr:to>
          <xdr:col>3</xdr:col>
          <xdr:colOff>774700</xdr:colOff>
          <xdr:row>59</xdr:row>
          <xdr:rowOff>0</xdr:rowOff>
        </xdr:to>
        <xdr:sp macro="" textlink="">
          <xdr:nvSpPr>
            <xdr:cNvPr id="3104" name="ResetAssumptionsBtn" hidden="1">
              <a:extLst>
                <a:ext uri="{63B3BB69-23CF-44E3-9099-C40C66FF867C}">
                  <a14:compatExt spid="_x0000_s3104"/>
                </a:ext>
                <a:ext uri="{FF2B5EF4-FFF2-40B4-BE49-F238E27FC236}">
                  <a16:creationId xmlns:a16="http://schemas.microsoft.com/office/drawing/2014/main" id="{00000000-0008-0000-0600-000020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xdr:row>
          <xdr:rowOff>63500</xdr:rowOff>
        </xdr:from>
        <xdr:to>
          <xdr:col>11</xdr:col>
          <xdr:colOff>279400</xdr:colOff>
          <xdr:row>3</xdr:row>
          <xdr:rowOff>368300</xdr:rowOff>
        </xdr:to>
        <xdr:sp macro="" textlink="">
          <xdr:nvSpPr>
            <xdr:cNvPr id="3105" name="ResetGDPRowBtn" hidden="1">
              <a:extLst>
                <a:ext uri="{63B3BB69-23CF-44E3-9099-C40C66FF867C}">
                  <a14:compatExt spid="_x0000_s3105"/>
                </a:ext>
                <a:ext uri="{FF2B5EF4-FFF2-40B4-BE49-F238E27FC236}">
                  <a16:creationId xmlns:a16="http://schemas.microsoft.com/office/drawing/2014/main" id="{00000000-0008-0000-0600-00002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xdr:row>
          <xdr:rowOff>38100</xdr:rowOff>
        </xdr:from>
        <xdr:to>
          <xdr:col>11</xdr:col>
          <xdr:colOff>63500</xdr:colOff>
          <xdr:row>6</xdr:row>
          <xdr:rowOff>12700</xdr:rowOff>
        </xdr:to>
        <xdr:sp macro="" textlink="">
          <xdr:nvSpPr>
            <xdr:cNvPr id="3106" name="ResetGDPdefBtn" hidden="1">
              <a:extLst>
                <a:ext uri="{63B3BB69-23CF-44E3-9099-C40C66FF867C}">
                  <a14:compatExt spid="_x0000_s3106"/>
                </a:ext>
                <a:ext uri="{FF2B5EF4-FFF2-40B4-BE49-F238E27FC236}">
                  <a16:creationId xmlns:a16="http://schemas.microsoft.com/office/drawing/2014/main" id="{00000000-0008-0000-0600-00002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6</xdr:row>
          <xdr:rowOff>38100</xdr:rowOff>
        </xdr:from>
        <xdr:to>
          <xdr:col>10</xdr:col>
          <xdr:colOff>533400</xdr:colOff>
          <xdr:row>7</xdr:row>
          <xdr:rowOff>12700</xdr:rowOff>
        </xdr:to>
        <xdr:sp macro="" textlink="">
          <xdr:nvSpPr>
            <xdr:cNvPr id="3107" name="ResetTXGDPBtn" hidden="1">
              <a:extLst>
                <a:ext uri="{63B3BB69-23CF-44E3-9099-C40C66FF867C}">
                  <a14:compatExt spid="_x0000_s3107"/>
                </a:ext>
                <a:ext uri="{FF2B5EF4-FFF2-40B4-BE49-F238E27FC236}">
                  <a16:creationId xmlns:a16="http://schemas.microsoft.com/office/drawing/2014/main" id="{00000000-0008-0000-0600-00002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7</xdr:row>
          <xdr:rowOff>38100</xdr:rowOff>
        </xdr:from>
        <xdr:to>
          <xdr:col>10</xdr:col>
          <xdr:colOff>431800</xdr:colOff>
          <xdr:row>8</xdr:row>
          <xdr:rowOff>12700</xdr:rowOff>
        </xdr:to>
        <xdr:sp macro="" textlink="">
          <xdr:nvSpPr>
            <xdr:cNvPr id="3108" name="ResetINFBtn" hidden="1">
              <a:extLst>
                <a:ext uri="{63B3BB69-23CF-44E3-9099-C40C66FF867C}">
                  <a14:compatExt spid="_x0000_s3108"/>
                </a:ext>
                <a:ext uri="{FF2B5EF4-FFF2-40B4-BE49-F238E27FC236}">
                  <a16:creationId xmlns:a16="http://schemas.microsoft.com/office/drawing/2014/main" id="{00000000-0008-0000-0600-00002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8</xdr:row>
          <xdr:rowOff>38100</xdr:rowOff>
        </xdr:from>
        <xdr:to>
          <xdr:col>11</xdr:col>
          <xdr:colOff>292100</xdr:colOff>
          <xdr:row>9</xdr:row>
          <xdr:rowOff>12700</xdr:rowOff>
        </xdr:to>
        <xdr:sp macro="" textlink="">
          <xdr:nvSpPr>
            <xdr:cNvPr id="3110" name="ResetFORINFBtn" hidden="1">
              <a:extLst>
                <a:ext uri="{63B3BB69-23CF-44E3-9099-C40C66FF867C}">
                  <a14:compatExt spid="_x0000_s3110"/>
                </a:ext>
                <a:ext uri="{FF2B5EF4-FFF2-40B4-BE49-F238E27FC236}">
                  <a16:creationId xmlns:a16="http://schemas.microsoft.com/office/drawing/2014/main" id="{00000000-0008-0000-0600-00002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22</xdr:row>
          <xdr:rowOff>38100</xdr:rowOff>
        </xdr:from>
        <xdr:to>
          <xdr:col>13</xdr:col>
          <xdr:colOff>50800</xdr:colOff>
          <xdr:row>22</xdr:row>
          <xdr:rowOff>342900</xdr:rowOff>
        </xdr:to>
        <xdr:sp macro="" textlink="">
          <xdr:nvSpPr>
            <xdr:cNvPr id="3111" name="ResetProvTAXTOTATXBtn" hidden="1">
              <a:extLst>
                <a:ext uri="{63B3BB69-23CF-44E3-9099-C40C66FF867C}">
                  <a14:compatExt spid="_x0000_s3111"/>
                </a:ext>
                <a:ext uri="{FF2B5EF4-FFF2-40B4-BE49-F238E27FC236}">
                  <a16:creationId xmlns:a16="http://schemas.microsoft.com/office/drawing/2014/main" id="{00000000-0008-0000-0600-000027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24</xdr:row>
          <xdr:rowOff>38100</xdr:rowOff>
        </xdr:from>
        <xdr:to>
          <xdr:col>17</xdr:col>
          <xdr:colOff>76200</xdr:colOff>
          <xdr:row>24</xdr:row>
          <xdr:rowOff>342900</xdr:rowOff>
        </xdr:to>
        <xdr:sp macro="" textlink="">
          <xdr:nvSpPr>
            <xdr:cNvPr id="3112" name="ResetPunjtaxtopnjandsndtaxBtn" hidden="1">
              <a:extLst>
                <a:ext uri="{63B3BB69-23CF-44E3-9099-C40C66FF867C}">
                  <a14:compatExt spid="_x0000_s3112"/>
                </a:ext>
                <a:ext uri="{FF2B5EF4-FFF2-40B4-BE49-F238E27FC236}">
                  <a16:creationId xmlns:a16="http://schemas.microsoft.com/office/drawing/2014/main" id="{00000000-0008-0000-0600-00002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13</xdr:row>
          <xdr:rowOff>63500</xdr:rowOff>
        </xdr:from>
        <xdr:to>
          <xdr:col>15</xdr:col>
          <xdr:colOff>228600</xdr:colOff>
          <xdr:row>13</xdr:row>
          <xdr:rowOff>368300</xdr:rowOff>
        </xdr:to>
        <xdr:sp macro="" textlink="">
          <xdr:nvSpPr>
            <xdr:cNvPr id="3114" name="ResettaxdvpoolGdpBtn" hidden="1">
              <a:extLst>
                <a:ext uri="{63B3BB69-23CF-44E3-9099-C40C66FF867C}">
                  <a14:compatExt spid="_x0000_s3114"/>
                </a:ext>
                <a:ext uri="{FF2B5EF4-FFF2-40B4-BE49-F238E27FC236}">
                  <a16:creationId xmlns:a16="http://schemas.microsoft.com/office/drawing/2014/main" id="{00000000-0008-0000-0600-00002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18</xdr:row>
          <xdr:rowOff>12700</xdr:rowOff>
        </xdr:from>
        <xdr:to>
          <xdr:col>15</xdr:col>
          <xdr:colOff>584200</xdr:colOff>
          <xdr:row>18</xdr:row>
          <xdr:rowOff>317500</xdr:rowOff>
        </xdr:to>
        <xdr:sp macro="" textlink="">
          <xdr:nvSpPr>
            <xdr:cNvPr id="3115" name="ResetProvshareindvpoolBtn" hidden="1">
              <a:extLst>
                <a:ext uri="{63B3BB69-23CF-44E3-9099-C40C66FF867C}">
                  <a14:compatExt spid="_x0000_s3115"/>
                </a:ext>
                <a:ext uri="{FF2B5EF4-FFF2-40B4-BE49-F238E27FC236}">
                  <a16:creationId xmlns:a16="http://schemas.microsoft.com/office/drawing/2014/main" id="{00000000-0008-0000-0600-00002B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16</xdr:row>
          <xdr:rowOff>0</xdr:rowOff>
        </xdr:from>
        <xdr:to>
          <xdr:col>12</xdr:col>
          <xdr:colOff>12700</xdr:colOff>
          <xdr:row>16</xdr:row>
          <xdr:rowOff>292100</xdr:rowOff>
        </xdr:to>
        <xdr:sp macro="" textlink="">
          <xdr:nvSpPr>
            <xdr:cNvPr id="3116" name="ResetcollectionchargesBtn" hidden="1">
              <a:extLst>
                <a:ext uri="{63B3BB69-23CF-44E3-9099-C40C66FF867C}">
                  <a14:compatExt spid="_x0000_s3116"/>
                </a:ext>
                <a:ext uri="{FF2B5EF4-FFF2-40B4-BE49-F238E27FC236}">
                  <a16:creationId xmlns:a16="http://schemas.microsoft.com/office/drawing/2014/main" id="{00000000-0008-0000-0600-00002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19</xdr:row>
          <xdr:rowOff>12700</xdr:rowOff>
        </xdr:from>
        <xdr:to>
          <xdr:col>13</xdr:col>
          <xdr:colOff>355600</xdr:colOff>
          <xdr:row>19</xdr:row>
          <xdr:rowOff>317500</xdr:rowOff>
        </xdr:to>
        <xdr:sp macro="" textlink="">
          <xdr:nvSpPr>
            <xdr:cNvPr id="3117" name="ResetPjbindivpoolBtn" hidden="1">
              <a:extLst>
                <a:ext uri="{63B3BB69-23CF-44E3-9099-C40C66FF867C}">
                  <a14:compatExt spid="_x0000_s3117"/>
                </a:ext>
                <a:ext uri="{FF2B5EF4-FFF2-40B4-BE49-F238E27FC236}">
                  <a16:creationId xmlns:a16="http://schemas.microsoft.com/office/drawing/2014/main" id="{00000000-0008-0000-0600-00002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19</xdr:row>
          <xdr:rowOff>393700</xdr:rowOff>
        </xdr:from>
        <xdr:to>
          <xdr:col>10</xdr:col>
          <xdr:colOff>393700</xdr:colOff>
          <xdr:row>20</xdr:row>
          <xdr:rowOff>292100</xdr:rowOff>
        </xdr:to>
        <xdr:sp macro="" textlink="">
          <xdr:nvSpPr>
            <xdr:cNvPr id="3118" name="ResetArrearsBtn" hidden="1">
              <a:extLst>
                <a:ext uri="{63B3BB69-23CF-44E3-9099-C40C66FF867C}">
                  <a14:compatExt spid="_x0000_s3118"/>
                </a:ext>
                <a:ext uri="{FF2B5EF4-FFF2-40B4-BE49-F238E27FC236}">
                  <a16:creationId xmlns:a16="http://schemas.microsoft.com/office/drawing/2014/main" id="{00000000-0008-0000-0600-00002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26</xdr:row>
          <xdr:rowOff>25400</xdr:rowOff>
        </xdr:from>
        <xdr:to>
          <xdr:col>12</xdr:col>
          <xdr:colOff>25400</xdr:colOff>
          <xdr:row>26</xdr:row>
          <xdr:rowOff>330200</xdr:rowOff>
        </xdr:to>
        <xdr:sp macro="" textlink="">
          <xdr:nvSpPr>
            <xdr:cNvPr id="3119" name="ResetEDTaxBtn" hidden="1">
              <a:extLst>
                <a:ext uri="{63B3BB69-23CF-44E3-9099-C40C66FF867C}">
                  <a14:compatExt spid="_x0000_s3119"/>
                </a:ext>
                <a:ext uri="{FF2B5EF4-FFF2-40B4-BE49-F238E27FC236}">
                  <a16:creationId xmlns:a16="http://schemas.microsoft.com/office/drawing/2014/main" id="{00000000-0008-0000-0600-00002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28</xdr:row>
          <xdr:rowOff>12700</xdr:rowOff>
        </xdr:from>
        <xdr:to>
          <xdr:col>12</xdr:col>
          <xdr:colOff>241300</xdr:colOff>
          <xdr:row>28</xdr:row>
          <xdr:rowOff>317500</xdr:rowOff>
        </xdr:to>
        <xdr:sp macro="" textlink="">
          <xdr:nvSpPr>
            <xdr:cNvPr id="3120" name="ResetEDNGBtn" hidden="1">
              <a:extLst>
                <a:ext uri="{63B3BB69-23CF-44E3-9099-C40C66FF867C}">
                  <a14:compatExt spid="_x0000_s3120"/>
                </a:ext>
                <a:ext uri="{FF2B5EF4-FFF2-40B4-BE49-F238E27FC236}">
                  <a16:creationId xmlns:a16="http://schemas.microsoft.com/office/drawing/2014/main" id="{00000000-0008-0000-0600-000030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29</xdr:row>
          <xdr:rowOff>25400</xdr:rowOff>
        </xdr:from>
        <xdr:to>
          <xdr:col>11</xdr:col>
          <xdr:colOff>355600</xdr:colOff>
          <xdr:row>30</xdr:row>
          <xdr:rowOff>0</xdr:rowOff>
        </xdr:to>
        <xdr:sp macro="" textlink="">
          <xdr:nvSpPr>
            <xdr:cNvPr id="3121" name="ResetEDoilBtn" hidden="1">
              <a:extLst>
                <a:ext uri="{63B3BB69-23CF-44E3-9099-C40C66FF867C}">
                  <a14:compatExt spid="_x0000_s3121"/>
                </a:ext>
                <a:ext uri="{FF2B5EF4-FFF2-40B4-BE49-F238E27FC236}">
                  <a16:creationId xmlns:a16="http://schemas.microsoft.com/office/drawing/2014/main" id="{00000000-0008-0000-0600-00003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30</xdr:row>
          <xdr:rowOff>38100</xdr:rowOff>
        </xdr:from>
        <xdr:to>
          <xdr:col>12</xdr:col>
          <xdr:colOff>12700</xdr:colOff>
          <xdr:row>30</xdr:row>
          <xdr:rowOff>342900</xdr:rowOff>
        </xdr:to>
        <xdr:sp macro="" textlink="">
          <xdr:nvSpPr>
            <xdr:cNvPr id="3122" name="ResetHydroelecticprofitBtn" hidden="1">
              <a:extLst>
                <a:ext uri="{63B3BB69-23CF-44E3-9099-C40C66FF867C}">
                  <a14:compatExt spid="_x0000_s3122"/>
                </a:ext>
                <a:ext uri="{FF2B5EF4-FFF2-40B4-BE49-F238E27FC236}">
                  <a16:creationId xmlns:a16="http://schemas.microsoft.com/office/drawing/2014/main" id="{00000000-0008-0000-0600-00003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33</xdr:row>
          <xdr:rowOff>38100</xdr:rowOff>
        </xdr:from>
        <xdr:to>
          <xdr:col>15</xdr:col>
          <xdr:colOff>139700</xdr:colOff>
          <xdr:row>33</xdr:row>
          <xdr:rowOff>342900</xdr:rowOff>
        </xdr:to>
        <xdr:sp macro="" textlink="">
          <xdr:nvSpPr>
            <xdr:cNvPr id="3123" name="ResetDevsurchargeBtn" hidden="1">
              <a:extLst>
                <a:ext uri="{63B3BB69-23CF-44E3-9099-C40C66FF867C}">
                  <a14:compatExt spid="_x0000_s3123"/>
                </a:ext>
                <a:ext uri="{FF2B5EF4-FFF2-40B4-BE49-F238E27FC236}">
                  <a16:creationId xmlns:a16="http://schemas.microsoft.com/office/drawing/2014/main" id="{00000000-0008-0000-0600-00003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37</xdr:row>
          <xdr:rowOff>25400</xdr:rowOff>
        </xdr:from>
        <xdr:to>
          <xdr:col>12</xdr:col>
          <xdr:colOff>609600</xdr:colOff>
          <xdr:row>37</xdr:row>
          <xdr:rowOff>330200</xdr:rowOff>
        </xdr:to>
        <xdr:sp macro="" textlink="">
          <xdr:nvSpPr>
            <xdr:cNvPr id="3124" name="resetfednondevgrants" hidden="1">
              <a:extLst>
                <a:ext uri="{63B3BB69-23CF-44E3-9099-C40C66FF867C}">
                  <a14:compatExt spid="_x0000_s3124"/>
                </a:ext>
                <a:ext uri="{FF2B5EF4-FFF2-40B4-BE49-F238E27FC236}">
                  <a16:creationId xmlns:a16="http://schemas.microsoft.com/office/drawing/2014/main" id="{00000000-0008-0000-0600-00003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39</xdr:row>
          <xdr:rowOff>38100</xdr:rowOff>
        </xdr:from>
        <xdr:to>
          <xdr:col>12</xdr:col>
          <xdr:colOff>520700</xdr:colOff>
          <xdr:row>40</xdr:row>
          <xdr:rowOff>12700</xdr:rowOff>
        </xdr:to>
        <xdr:sp macro="" textlink="">
          <xdr:nvSpPr>
            <xdr:cNvPr id="3125" name="ResetintoncrBtn" hidden="1">
              <a:extLst>
                <a:ext uri="{63B3BB69-23CF-44E3-9099-C40C66FF867C}">
                  <a14:compatExt spid="_x0000_s3125"/>
                </a:ext>
                <a:ext uri="{FF2B5EF4-FFF2-40B4-BE49-F238E27FC236}">
                  <a16:creationId xmlns:a16="http://schemas.microsoft.com/office/drawing/2014/main" id="{00000000-0008-0000-0600-00003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42</xdr:row>
          <xdr:rowOff>38100</xdr:rowOff>
        </xdr:from>
        <xdr:to>
          <xdr:col>12</xdr:col>
          <xdr:colOff>292100</xdr:colOff>
          <xdr:row>42</xdr:row>
          <xdr:rowOff>342900</xdr:rowOff>
        </xdr:to>
        <xdr:sp macro="" textlink="">
          <xdr:nvSpPr>
            <xdr:cNvPr id="3126" name="Resetfeddevgrants" hidden="1">
              <a:extLst>
                <a:ext uri="{63B3BB69-23CF-44E3-9099-C40C66FF867C}">
                  <a14:compatExt spid="_x0000_s3126"/>
                </a:ext>
                <a:ext uri="{FF2B5EF4-FFF2-40B4-BE49-F238E27FC236}">
                  <a16:creationId xmlns:a16="http://schemas.microsoft.com/office/drawing/2014/main" id="{00000000-0008-0000-0600-00003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43</xdr:row>
          <xdr:rowOff>38100</xdr:rowOff>
        </xdr:from>
        <xdr:to>
          <xdr:col>11</xdr:col>
          <xdr:colOff>88900</xdr:colOff>
          <xdr:row>44</xdr:row>
          <xdr:rowOff>25400</xdr:rowOff>
        </xdr:to>
        <xdr:sp macro="" textlink="">
          <xdr:nvSpPr>
            <xdr:cNvPr id="3127" name="resetothgrants" hidden="1">
              <a:extLst>
                <a:ext uri="{63B3BB69-23CF-44E3-9099-C40C66FF867C}">
                  <a14:compatExt spid="_x0000_s3127"/>
                </a:ext>
                <a:ext uri="{FF2B5EF4-FFF2-40B4-BE49-F238E27FC236}">
                  <a16:creationId xmlns:a16="http://schemas.microsoft.com/office/drawing/2014/main" id="{00000000-0008-0000-0600-000037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45</xdr:row>
          <xdr:rowOff>12700</xdr:rowOff>
        </xdr:from>
        <xdr:to>
          <xdr:col>12</xdr:col>
          <xdr:colOff>635000</xdr:colOff>
          <xdr:row>45</xdr:row>
          <xdr:rowOff>317500</xdr:rowOff>
        </xdr:to>
        <xdr:sp macro="" textlink="">
          <xdr:nvSpPr>
            <xdr:cNvPr id="3128" name="resetnontaxBtn" hidden="1">
              <a:extLst>
                <a:ext uri="{63B3BB69-23CF-44E3-9099-C40C66FF867C}">
                  <a14:compatExt spid="_x0000_s3128"/>
                </a:ext>
                <a:ext uri="{FF2B5EF4-FFF2-40B4-BE49-F238E27FC236}">
                  <a16:creationId xmlns:a16="http://schemas.microsoft.com/office/drawing/2014/main" id="{00000000-0008-0000-0600-00003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47</xdr:row>
          <xdr:rowOff>25400</xdr:rowOff>
        </xdr:from>
        <xdr:to>
          <xdr:col>12</xdr:col>
          <xdr:colOff>622300</xdr:colOff>
          <xdr:row>47</xdr:row>
          <xdr:rowOff>330200</xdr:rowOff>
        </xdr:to>
        <xdr:sp macro="" textlink="">
          <xdr:nvSpPr>
            <xdr:cNvPr id="3129" name="resetdevexpBtn" hidden="1">
              <a:extLst>
                <a:ext uri="{63B3BB69-23CF-44E3-9099-C40C66FF867C}">
                  <a14:compatExt spid="_x0000_s3129"/>
                </a:ext>
                <a:ext uri="{FF2B5EF4-FFF2-40B4-BE49-F238E27FC236}">
                  <a16:creationId xmlns:a16="http://schemas.microsoft.com/office/drawing/2014/main" id="{00000000-0008-0000-0600-00003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49</xdr:row>
          <xdr:rowOff>25400</xdr:rowOff>
        </xdr:from>
        <xdr:to>
          <xdr:col>12</xdr:col>
          <xdr:colOff>12700</xdr:colOff>
          <xdr:row>49</xdr:row>
          <xdr:rowOff>330200</xdr:rowOff>
        </xdr:to>
        <xdr:sp macro="" textlink="">
          <xdr:nvSpPr>
            <xdr:cNvPr id="3130" name="resetcegrthBtn" hidden="1">
              <a:extLst>
                <a:ext uri="{63B3BB69-23CF-44E3-9099-C40C66FF867C}">
                  <a14:compatExt spid="_x0000_s3130"/>
                </a:ext>
                <a:ext uri="{FF2B5EF4-FFF2-40B4-BE49-F238E27FC236}">
                  <a16:creationId xmlns:a16="http://schemas.microsoft.com/office/drawing/2014/main" id="{00000000-0008-0000-0600-00003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51</xdr:row>
          <xdr:rowOff>25400</xdr:rowOff>
        </xdr:from>
        <xdr:to>
          <xdr:col>12</xdr:col>
          <xdr:colOff>520700</xdr:colOff>
          <xdr:row>51</xdr:row>
          <xdr:rowOff>330200</xdr:rowOff>
        </xdr:to>
        <xdr:sp macro="" textlink="">
          <xdr:nvSpPr>
            <xdr:cNvPr id="3131" name="resetintDDtBtn" hidden="1">
              <a:extLst>
                <a:ext uri="{63B3BB69-23CF-44E3-9099-C40C66FF867C}">
                  <a14:compatExt spid="_x0000_s3131"/>
                </a:ext>
                <a:ext uri="{FF2B5EF4-FFF2-40B4-BE49-F238E27FC236}">
                  <a16:creationId xmlns:a16="http://schemas.microsoft.com/office/drawing/2014/main" id="{00000000-0008-0000-0600-00003B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25400</xdr:rowOff>
        </xdr:from>
        <xdr:to>
          <xdr:col>12</xdr:col>
          <xdr:colOff>406400</xdr:colOff>
          <xdr:row>52</xdr:row>
          <xdr:rowOff>330200</xdr:rowOff>
        </xdr:to>
        <xdr:sp macro="" textlink="">
          <xdr:nvSpPr>
            <xdr:cNvPr id="3132" name="ResetintFDBtn" hidden="1">
              <a:extLst>
                <a:ext uri="{63B3BB69-23CF-44E3-9099-C40C66FF867C}">
                  <a14:compatExt spid="_x0000_s3132"/>
                </a:ext>
                <a:ext uri="{FF2B5EF4-FFF2-40B4-BE49-F238E27FC236}">
                  <a16:creationId xmlns:a16="http://schemas.microsoft.com/office/drawing/2014/main" id="{00000000-0008-0000-0600-00003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53</xdr:row>
          <xdr:rowOff>25400</xdr:rowOff>
        </xdr:from>
        <xdr:to>
          <xdr:col>12</xdr:col>
          <xdr:colOff>190500</xdr:colOff>
          <xdr:row>53</xdr:row>
          <xdr:rowOff>330200</xdr:rowOff>
        </xdr:to>
        <xdr:sp macro="" textlink="">
          <xdr:nvSpPr>
            <xdr:cNvPr id="3133" name="ResetDDrepaymentBtn" hidden="1">
              <a:extLst>
                <a:ext uri="{63B3BB69-23CF-44E3-9099-C40C66FF867C}">
                  <a14:compatExt spid="_x0000_s3133"/>
                </a:ext>
                <a:ext uri="{FF2B5EF4-FFF2-40B4-BE49-F238E27FC236}">
                  <a16:creationId xmlns:a16="http://schemas.microsoft.com/office/drawing/2014/main" id="{00000000-0008-0000-0600-00003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54</xdr:row>
          <xdr:rowOff>25400</xdr:rowOff>
        </xdr:from>
        <xdr:to>
          <xdr:col>12</xdr:col>
          <xdr:colOff>114300</xdr:colOff>
          <xdr:row>54</xdr:row>
          <xdr:rowOff>330200</xdr:rowOff>
        </xdr:to>
        <xdr:sp macro="" textlink="">
          <xdr:nvSpPr>
            <xdr:cNvPr id="3134" name="ResetFordebtrepBtn" hidden="1">
              <a:extLst>
                <a:ext uri="{63B3BB69-23CF-44E3-9099-C40C66FF867C}">
                  <a14:compatExt spid="_x0000_s3134"/>
                </a:ext>
                <a:ext uri="{FF2B5EF4-FFF2-40B4-BE49-F238E27FC236}">
                  <a16:creationId xmlns:a16="http://schemas.microsoft.com/office/drawing/2014/main" id="{00000000-0008-0000-0600-00003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55</xdr:row>
          <xdr:rowOff>228600</xdr:rowOff>
        </xdr:from>
        <xdr:to>
          <xdr:col>11</xdr:col>
          <xdr:colOff>457200</xdr:colOff>
          <xdr:row>55</xdr:row>
          <xdr:rowOff>533400</xdr:rowOff>
        </xdr:to>
        <xdr:sp macro="" textlink="">
          <xdr:nvSpPr>
            <xdr:cNvPr id="3135" name="ResetNewforloansBtn" hidden="1">
              <a:extLst>
                <a:ext uri="{63B3BB69-23CF-44E3-9099-C40C66FF867C}">
                  <a14:compatExt spid="_x0000_s3135"/>
                </a:ext>
                <a:ext uri="{FF2B5EF4-FFF2-40B4-BE49-F238E27FC236}">
                  <a16:creationId xmlns:a16="http://schemas.microsoft.com/office/drawing/2014/main" id="{00000000-0008-0000-0600-00003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56</xdr:row>
          <xdr:rowOff>190500</xdr:rowOff>
        </xdr:from>
        <xdr:to>
          <xdr:col>10</xdr:col>
          <xdr:colOff>444500</xdr:colOff>
          <xdr:row>56</xdr:row>
          <xdr:rowOff>495300</xdr:rowOff>
        </xdr:to>
        <xdr:sp macro="" textlink="">
          <xdr:nvSpPr>
            <xdr:cNvPr id="3136" name="factorofforeignloanincrease" hidden="1">
              <a:extLst>
                <a:ext uri="{63B3BB69-23CF-44E3-9099-C40C66FF867C}">
                  <a14:compatExt spid="_x0000_s3136"/>
                </a:ext>
                <a:ext uri="{FF2B5EF4-FFF2-40B4-BE49-F238E27FC236}">
                  <a16:creationId xmlns:a16="http://schemas.microsoft.com/office/drawing/2014/main" id="{00000000-0008-0000-0600-000040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17</xdr:row>
          <xdr:rowOff>38100</xdr:rowOff>
        </xdr:from>
        <xdr:to>
          <xdr:col>12</xdr:col>
          <xdr:colOff>292100</xdr:colOff>
          <xdr:row>17</xdr:row>
          <xdr:rowOff>342900</xdr:rowOff>
        </xdr:to>
        <xdr:sp macro="" textlink="">
          <xdr:nvSpPr>
            <xdr:cNvPr id="3138" name="ResetWaronTerrorcharge" hidden="1">
              <a:extLst>
                <a:ext uri="{63B3BB69-23CF-44E3-9099-C40C66FF867C}">
                  <a14:compatExt spid="_x0000_s3138"/>
                </a:ext>
                <a:ext uri="{FF2B5EF4-FFF2-40B4-BE49-F238E27FC236}">
                  <a16:creationId xmlns:a16="http://schemas.microsoft.com/office/drawing/2014/main" id="{00000000-0008-0000-0600-00004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31</xdr:row>
          <xdr:rowOff>76200</xdr:rowOff>
        </xdr:from>
        <xdr:to>
          <xdr:col>13</xdr:col>
          <xdr:colOff>38100</xdr:colOff>
          <xdr:row>31</xdr:row>
          <xdr:rowOff>381000</xdr:rowOff>
        </xdr:to>
        <xdr:sp macro="" textlink="">
          <xdr:nvSpPr>
            <xdr:cNvPr id="3139" name="resethydroarrears" hidden="1">
              <a:extLst>
                <a:ext uri="{63B3BB69-23CF-44E3-9099-C40C66FF867C}">
                  <a14:compatExt spid="_x0000_s3139"/>
                </a:ext>
                <a:ext uri="{FF2B5EF4-FFF2-40B4-BE49-F238E27FC236}">
                  <a16:creationId xmlns:a16="http://schemas.microsoft.com/office/drawing/2014/main" id="{00000000-0008-0000-0600-00004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14</xdr:row>
          <xdr:rowOff>63500</xdr:rowOff>
        </xdr:from>
        <xdr:to>
          <xdr:col>13</xdr:col>
          <xdr:colOff>254000</xdr:colOff>
          <xdr:row>14</xdr:row>
          <xdr:rowOff>368300</xdr:rowOff>
        </xdr:to>
        <xdr:sp macro="" textlink="">
          <xdr:nvSpPr>
            <xdr:cNvPr id="3141" name="resetdivpooltotaxratio" hidden="1">
              <a:extLst>
                <a:ext uri="{63B3BB69-23CF-44E3-9099-C40C66FF867C}">
                  <a14:compatExt spid="_x0000_s3141"/>
                </a:ext>
                <a:ext uri="{FF2B5EF4-FFF2-40B4-BE49-F238E27FC236}">
                  <a16:creationId xmlns:a16="http://schemas.microsoft.com/office/drawing/2014/main" id="{00000000-0008-0000-0600-00004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41</xdr:row>
          <xdr:rowOff>38100</xdr:rowOff>
        </xdr:from>
        <xdr:to>
          <xdr:col>11</xdr:col>
          <xdr:colOff>152400</xdr:colOff>
          <xdr:row>41</xdr:row>
          <xdr:rowOff>342900</xdr:rowOff>
        </xdr:to>
        <xdr:sp macro="" textlink="">
          <xdr:nvSpPr>
            <xdr:cNvPr id="3142" name="resetforgrants" hidden="1">
              <a:extLst>
                <a:ext uri="{63B3BB69-23CF-44E3-9099-C40C66FF867C}">
                  <a14:compatExt spid="_x0000_s3142"/>
                </a:ext>
                <a:ext uri="{FF2B5EF4-FFF2-40B4-BE49-F238E27FC236}">
                  <a16:creationId xmlns:a16="http://schemas.microsoft.com/office/drawing/2014/main" id="{00000000-0008-0000-0600-00004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52</xdr:row>
          <xdr:rowOff>12700</xdr:rowOff>
        </xdr:from>
        <xdr:to>
          <xdr:col>4</xdr:col>
          <xdr:colOff>25400</xdr:colOff>
          <xdr:row>54</xdr:row>
          <xdr:rowOff>38100</xdr:rowOff>
        </xdr:to>
        <xdr:sp macro="" textlink="">
          <xdr:nvSpPr>
            <xdr:cNvPr id="8194" name="ResetRevenuesBtn" hidden="1">
              <a:extLst>
                <a:ext uri="{63B3BB69-23CF-44E3-9099-C40C66FF867C}">
                  <a14:compatExt spid="_x0000_s8194"/>
                </a:ext>
                <a:ext uri="{FF2B5EF4-FFF2-40B4-BE49-F238E27FC236}">
                  <a16:creationId xmlns:a16="http://schemas.microsoft.com/office/drawing/2014/main" id="{00000000-0008-0000-0700-00000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787400</xdr:colOff>
          <xdr:row>23</xdr:row>
          <xdr:rowOff>0</xdr:rowOff>
        </xdr:from>
        <xdr:to>
          <xdr:col>4</xdr:col>
          <xdr:colOff>685800</xdr:colOff>
          <xdr:row>25</xdr:row>
          <xdr:rowOff>0</xdr:rowOff>
        </xdr:to>
        <xdr:sp macro="" textlink="">
          <xdr:nvSpPr>
            <xdr:cNvPr id="13314" name="ResetExpendituresBtn" hidden="1">
              <a:extLst>
                <a:ext uri="{63B3BB69-23CF-44E3-9099-C40C66FF867C}">
                  <a14:compatExt spid="_x0000_s13314"/>
                </a:ext>
                <a:ext uri="{FF2B5EF4-FFF2-40B4-BE49-F238E27FC236}">
                  <a16:creationId xmlns:a16="http://schemas.microsoft.com/office/drawing/2014/main" id="{00000000-0008-0000-0800-00000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6" tint="0.39997558519241921"/>
  </sheetPr>
  <dimension ref="A1"/>
  <sheetViews>
    <sheetView showGridLines="0" workbookViewId="0">
      <selection activeCell="P21" sqref="P21"/>
    </sheetView>
  </sheetViews>
  <sheetFormatPr baseColWidth="10" defaultColWidth="8.83203125" defaultRowHeight="15" x14ac:dyDescent="0.2"/>
  <sheetData/>
  <sheetProtection password="CC1A"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tabColor theme="6" tint="0.39997558519241921"/>
  </sheetPr>
  <dimension ref="A1:AZ29"/>
  <sheetViews>
    <sheetView tabSelected="1" zoomScale="98" zoomScaleNormal="98" workbookViewId="0">
      <selection activeCell="C26" sqref="C26"/>
    </sheetView>
  </sheetViews>
  <sheetFormatPr baseColWidth="10" defaultColWidth="9.1640625" defaultRowHeight="14" x14ac:dyDescent="0.15"/>
  <cols>
    <col min="1" max="1" width="49.33203125" style="3" customWidth="1"/>
    <col min="2" max="2" width="13" style="92" customWidth="1"/>
    <col min="3" max="3" width="13.6640625" style="92" customWidth="1"/>
    <col min="4" max="4" width="11.5" style="92" customWidth="1"/>
    <col min="5" max="5" width="13.33203125" style="92" customWidth="1"/>
    <col min="6" max="6" width="13.5" style="92" customWidth="1"/>
    <col min="7" max="7" width="14.5" style="92" customWidth="1"/>
    <col min="8" max="8" width="15.83203125" style="92" customWidth="1"/>
    <col min="9" max="9" width="15.6640625" style="92" customWidth="1"/>
    <col min="10" max="10" width="15.83203125" style="92" customWidth="1"/>
    <col min="11" max="12" width="9.1640625" style="3"/>
    <col min="13" max="13" width="39.1640625" style="3" customWidth="1"/>
    <col min="14" max="22" width="9.1640625" style="23" customWidth="1"/>
    <col min="23" max="26" width="9.1640625" style="3"/>
    <col min="27" max="52" width="9.1640625" style="3" hidden="1" customWidth="1"/>
    <col min="53" max="16384" width="9.1640625" style="3"/>
  </cols>
  <sheetData>
    <row r="1" spans="1:36" ht="21" thickBot="1" x14ac:dyDescent="0.3">
      <c r="A1" s="262"/>
      <c r="B1" s="429" t="s">
        <v>49</v>
      </c>
      <c r="C1" s="429"/>
      <c r="D1" s="429"/>
      <c r="E1" s="429"/>
      <c r="F1" s="429"/>
      <c r="G1" s="429"/>
      <c r="H1" s="429"/>
      <c r="I1" s="429"/>
      <c r="J1" s="429"/>
      <c r="K1" s="262"/>
      <c r="L1" s="262"/>
      <c r="M1" s="262"/>
      <c r="N1" s="263"/>
      <c r="O1" s="263"/>
      <c r="P1" s="263"/>
      <c r="Q1" s="263"/>
      <c r="R1" s="263"/>
      <c r="S1" s="263"/>
      <c r="T1" s="263"/>
      <c r="U1" s="263"/>
      <c r="V1" s="263"/>
      <c r="W1" s="262"/>
      <c r="X1" s="262"/>
      <c r="Y1" s="262"/>
      <c r="Z1" s="262"/>
      <c r="AB1" s="3" t="s">
        <v>49</v>
      </c>
    </row>
    <row r="2" spans="1:36" s="2" customFormat="1" ht="19" thickTop="1" thickBot="1" x14ac:dyDescent="0.25">
      <c r="A2" s="231" t="s">
        <v>16</v>
      </c>
      <c r="B2" s="251"/>
      <c r="C2" s="251">
        <v>2013</v>
      </c>
      <c r="D2" s="251">
        <v>2014</v>
      </c>
      <c r="E2" s="251">
        <v>2015</v>
      </c>
      <c r="F2" s="251">
        <v>2016</v>
      </c>
      <c r="G2" s="251">
        <v>2017</v>
      </c>
      <c r="H2" s="251">
        <v>2018</v>
      </c>
      <c r="I2" s="251">
        <v>2019</v>
      </c>
      <c r="J2" s="251">
        <v>2020</v>
      </c>
      <c r="K2" s="264"/>
      <c r="L2" s="264"/>
      <c r="M2" s="264"/>
      <c r="N2" s="265"/>
      <c r="O2" s="265"/>
      <c r="P2" s="265"/>
      <c r="Q2" s="265"/>
      <c r="R2" s="265"/>
      <c r="S2" s="265"/>
      <c r="T2" s="265"/>
      <c r="U2" s="265"/>
      <c r="V2" s="265"/>
      <c r="W2" s="264"/>
      <c r="X2" s="264"/>
      <c r="Y2" s="264"/>
      <c r="Z2" s="264"/>
      <c r="AA2" s="2" t="s">
        <v>16</v>
      </c>
      <c r="AC2" s="2">
        <v>2013</v>
      </c>
      <c r="AD2" s="2">
        <v>2014</v>
      </c>
      <c r="AE2" s="2">
        <v>2015</v>
      </c>
      <c r="AF2" s="2">
        <v>2016</v>
      </c>
      <c r="AG2" s="2">
        <v>2017</v>
      </c>
      <c r="AH2" s="2">
        <v>2018</v>
      </c>
      <c r="AI2" s="2">
        <v>2019</v>
      </c>
      <c r="AJ2" s="2">
        <v>2020</v>
      </c>
    </row>
    <row r="3" spans="1:36" ht="29" thickTop="1" x14ac:dyDescent="0.15">
      <c r="A3" s="289" t="s">
        <v>74</v>
      </c>
      <c r="B3" s="339"/>
      <c r="C3" s="416">
        <f>Revenues!B51</f>
        <v>691.049047982616</v>
      </c>
      <c r="D3" s="416">
        <f>Revenues!C51</f>
        <v>800.45978084353999</v>
      </c>
      <c r="E3" s="416">
        <f>Revenues!D51</f>
        <v>924.33114742889109</v>
      </c>
      <c r="F3" s="416">
        <f>Revenues!E51</f>
        <v>1106.7454193046285</v>
      </c>
      <c r="G3" s="416">
        <f>Revenues!F51</f>
        <v>1322.3815332587078</v>
      </c>
      <c r="H3" s="416">
        <f>Revenues!G51</f>
        <v>1554.6533025445915</v>
      </c>
      <c r="I3" s="416">
        <f>Revenues!H51</f>
        <v>1812.4702749980993</v>
      </c>
      <c r="J3" s="283">
        <f>Revenues!I51</f>
        <v>2032.38596004139</v>
      </c>
      <c r="K3" s="262"/>
      <c r="L3" s="262"/>
      <c r="M3" s="262"/>
      <c r="N3" s="263"/>
      <c r="O3" s="263"/>
      <c r="P3" s="263"/>
      <c r="Q3" s="263"/>
      <c r="R3" s="263"/>
      <c r="S3" s="263"/>
      <c r="T3" s="263"/>
      <c r="U3" s="263"/>
      <c r="V3" s="266"/>
      <c r="W3" s="262"/>
      <c r="X3" s="262"/>
      <c r="Y3" s="262"/>
      <c r="Z3" s="262"/>
      <c r="AA3" s="3" t="s">
        <v>74</v>
      </c>
      <c r="AC3" s="3">
        <v>691.049047982616</v>
      </c>
      <c r="AD3" s="3">
        <v>800.45978084353999</v>
      </c>
      <c r="AE3" s="3">
        <v>924.33114742889109</v>
      </c>
      <c r="AF3" s="3">
        <v>1106.7454193046285</v>
      </c>
      <c r="AG3" s="3">
        <v>1322.3815332587078</v>
      </c>
      <c r="AH3" s="3">
        <v>1554.6533025445915</v>
      </c>
      <c r="AI3" s="3">
        <v>1812.4702749980993</v>
      </c>
      <c r="AJ3" s="3">
        <v>2032.38596004139</v>
      </c>
    </row>
    <row r="4" spans="1:36" x14ac:dyDescent="0.15">
      <c r="A4" s="282" t="s">
        <v>15</v>
      </c>
      <c r="B4" s="320"/>
      <c r="C4" s="283">
        <f>Expenditures!B21</f>
        <v>534.20600000000002</v>
      </c>
      <c r="D4" s="283">
        <f>Expenditures!C21</f>
        <v>626.84901306328743</v>
      </c>
      <c r="E4" s="283">
        <f>Expenditures!D21</f>
        <v>703.04238912469611</v>
      </c>
      <c r="F4" s="283">
        <f>Expenditures!E21</f>
        <v>791.42861987199774</v>
      </c>
      <c r="G4" s="283">
        <f>Expenditures!F21</f>
        <v>900.09990990077995</v>
      </c>
      <c r="H4" s="283">
        <f>Expenditures!G21</f>
        <v>1019.8481101240388</v>
      </c>
      <c r="I4" s="283">
        <f>Expenditures!H21</f>
        <v>1155.5895942443135</v>
      </c>
      <c r="J4" s="283">
        <f>Expenditures!I21</f>
        <v>1309.4630565149218</v>
      </c>
      <c r="K4" s="262"/>
      <c r="L4" s="262"/>
      <c r="M4" s="262"/>
      <c r="N4" s="263"/>
      <c r="O4" s="263"/>
      <c r="P4" s="263"/>
      <c r="Q4" s="263"/>
      <c r="R4" s="263"/>
      <c r="S4" s="263"/>
      <c r="T4" s="263"/>
      <c r="U4" s="263"/>
      <c r="V4" s="263"/>
      <c r="W4" s="262"/>
      <c r="X4" s="262"/>
      <c r="Y4" s="262"/>
      <c r="Z4" s="262"/>
      <c r="AA4" s="3" t="s">
        <v>15</v>
      </c>
      <c r="AC4" s="3">
        <v>534.20600000000002</v>
      </c>
      <c r="AD4" s="3">
        <v>626.84901306328743</v>
      </c>
      <c r="AE4" s="3">
        <v>703.04238912469611</v>
      </c>
      <c r="AF4" s="3">
        <v>791.42861987199774</v>
      </c>
      <c r="AG4" s="3">
        <v>900.09990990077995</v>
      </c>
      <c r="AH4" s="3">
        <v>1019.8481101240388</v>
      </c>
      <c r="AI4" s="3">
        <v>1155.5895942443135</v>
      </c>
      <c r="AJ4" s="3">
        <v>1309.4630565149218</v>
      </c>
    </row>
    <row r="5" spans="1:36" ht="29.25" customHeight="1" x14ac:dyDescent="0.15">
      <c r="A5" s="282" t="s">
        <v>75</v>
      </c>
      <c r="B5" s="320"/>
      <c r="C5" s="294">
        <f t="shared" ref="C5:J5" si="0">C3-C4</f>
        <v>156.84304798261599</v>
      </c>
      <c r="D5" s="294">
        <f t="shared" si="0"/>
        <v>173.61076778025256</v>
      </c>
      <c r="E5" s="294">
        <f t="shared" si="0"/>
        <v>221.28875830419497</v>
      </c>
      <c r="F5" s="294">
        <f t="shared" si="0"/>
        <v>315.31679943263077</v>
      </c>
      <c r="G5" s="294">
        <f t="shared" si="0"/>
        <v>422.28162335792786</v>
      </c>
      <c r="H5" s="294">
        <f t="shared" si="0"/>
        <v>534.80519242055266</v>
      </c>
      <c r="I5" s="294">
        <f t="shared" si="0"/>
        <v>656.88068075378578</v>
      </c>
      <c r="J5" s="294">
        <f t="shared" si="0"/>
        <v>722.92290352646819</v>
      </c>
      <c r="K5" s="262"/>
      <c r="L5" s="262"/>
      <c r="M5" s="262"/>
      <c r="N5" s="263"/>
      <c r="O5" s="263"/>
      <c r="P5" s="263"/>
      <c r="Q5" s="263"/>
      <c r="R5" s="263"/>
      <c r="S5" s="263"/>
      <c r="T5" s="263"/>
      <c r="U5" s="263"/>
      <c r="V5" s="263"/>
      <c r="W5" s="262"/>
      <c r="X5" s="262"/>
      <c r="Y5" s="262"/>
      <c r="Z5" s="262"/>
      <c r="AA5" s="3" t="s">
        <v>75</v>
      </c>
      <c r="AC5" s="3">
        <v>156.84304798261599</v>
      </c>
      <c r="AD5" s="3">
        <v>173.61076778025256</v>
      </c>
      <c r="AE5" s="3">
        <v>221.28875830419497</v>
      </c>
      <c r="AF5" s="3">
        <v>315.31679943263077</v>
      </c>
      <c r="AG5" s="3">
        <v>422.28162335792786</v>
      </c>
      <c r="AH5" s="3">
        <v>534.80519242055266</v>
      </c>
      <c r="AI5" s="3">
        <v>656.88068075378578</v>
      </c>
      <c r="AJ5" s="3">
        <v>722.92290352646819</v>
      </c>
    </row>
    <row r="6" spans="1:36" x14ac:dyDescent="0.15">
      <c r="A6" s="282" t="s">
        <v>118</v>
      </c>
      <c r="B6" s="320"/>
      <c r="C6" s="294">
        <f>Expenditures!B7</f>
        <v>134.34720499999997</v>
      </c>
      <c r="D6" s="294">
        <f>Expenditures!C7</f>
        <v>163.07502954916345</v>
      </c>
      <c r="E6" s="294">
        <f>Expenditures!D7</f>
        <v>191.82605513060832</v>
      </c>
      <c r="F6" s="294">
        <f>Expenditures!E7</f>
        <v>213.5298471667773</v>
      </c>
      <c r="G6" s="294">
        <f>Expenditures!F7</f>
        <v>239.43544335357214</v>
      </c>
      <c r="H6" s="294">
        <f>Expenditures!G7</f>
        <v>268.92543931202562</v>
      </c>
      <c r="I6" s="294">
        <f>Expenditures!H7</f>
        <v>301.9650409295852</v>
      </c>
      <c r="J6" s="294">
        <f>Expenditures!I7</f>
        <v>338.97417094595511</v>
      </c>
      <c r="K6" s="262"/>
      <c r="L6" s="262"/>
      <c r="M6" s="262"/>
      <c r="N6" s="263"/>
      <c r="O6" s="263"/>
      <c r="P6" s="263"/>
      <c r="Q6" s="263"/>
      <c r="R6" s="263"/>
      <c r="S6" s="263"/>
      <c r="T6" s="263"/>
      <c r="U6" s="263"/>
      <c r="V6" s="263"/>
      <c r="W6" s="262"/>
      <c r="X6" s="262"/>
      <c r="Y6" s="262"/>
      <c r="Z6" s="262"/>
      <c r="AA6" s="3" t="s">
        <v>118</v>
      </c>
      <c r="AC6" s="3">
        <v>134.34720499999997</v>
      </c>
      <c r="AD6" s="3">
        <v>163.07502954916345</v>
      </c>
      <c r="AE6" s="3">
        <v>191.82605513060832</v>
      </c>
      <c r="AF6" s="3">
        <v>213.5298471667773</v>
      </c>
      <c r="AG6" s="3">
        <v>239.43544335357214</v>
      </c>
      <c r="AH6" s="3">
        <v>268.92543931202562</v>
      </c>
      <c r="AI6" s="3">
        <v>301.9650409295852</v>
      </c>
      <c r="AJ6" s="3">
        <v>338.97417094595511</v>
      </c>
    </row>
    <row r="7" spans="1:36" x14ac:dyDescent="0.15">
      <c r="A7" s="282" t="s">
        <v>76</v>
      </c>
      <c r="B7" s="320"/>
      <c r="C7" s="340">
        <f>7.16715</f>
        <v>7.1671500000000004</v>
      </c>
      <c r="D7" s="340">
        <f>C7*Assumptions!C5</f>
        <v>7.9832733705000001</v>
      </c>
      <c r="E7" s="340">
        <f>D7*Assumptions!D5</f>
        <v>8.6762534321528815</v>
      </c>
      <c r="F7" s="340">
        <f>E7*Assumptions!E5</f>
        <v>9.4928190239199495</v>
      </c>
      <c r="G7" s="340">
        <f>F7*Assumptions!F5</f>
        <v>10.465595653396145</v>
      </c>
      <c r="H7" s="340">
        <f>G7*Assumptions!G5</f>
        <v>11.560296958741382</v>
      </c>
      <c r="I7" s="340">
        <f>H7*Assumptions!H5</f>
        <v>12.769504020625732</v>
      </c>
      <c r="J7" s="340">
        <f>I7*Assumptions!I5</f>
        <v>14.105194141183183</v>
      </c>
      <c r="K7" s="262"/>
      <c r="L7" s="262"/>
      <c r="M7" s="262"/>
      <c r="N7" s="263"/>
      <c r="O7" s="263"/>
      <c r="P7" s="263"/>
      <c r="Q7" s="263"/>
      <c r="R7" s="263"/>
      <c r="S7" s="263"/>
      <c r="T7" s="263"/>
      <c r="U7" s="263"/>
      <c r="V7" s="263"/>
      <c r="W7" s="262"/>
      <c r="X7" s="262"/>
      <c r="Y7" s="262"/>
      <c r="Z7" s="262"/>
      <c r="AA7" s="3" t="s">
        <v>76</v>
      </c>
      <c r="AC7" s="3">
        <v>7.1671500000000004</v>
      </c>
      <c r="AD7" s="3">
        <v>7.9832733705000001</v>
      </c>
      <c r="AE7" s="3">
        <v>8.6762534321528815</v>
      </c>
      <c r="AF7" s="3">
        <v>9.4928190239199495</v>
      </c>
      <c r="AG7" s="3">
        <v>10.465595653396145</v>
      </c>
      <c r="AH7" s="3">
        <v>11.560296958741382</v>
      </c>
      <c r="AI7" s="3">
        <v>12.769504020625732</v>
      </c>
      <c r="AJ7" s="3">
        <v>14.105194141183183</v>
      </c>
    </row>
    <row r="8" spans="1:36" s="4" customFormat="1" x14ac:dyDescent="0.15">
      <c r="A8" s="331" t="s">
        <v>79</v>
      </c>
      <c r="B8" s="332"/>
      <c r="C8" s="334">
        <f>0.431187</f>
        <v>0.43118699999999999</v>
      </c>
      <c r="D8" s="334">
        <f>C8*Assumptions!C5</f>
        <v>0.48028626368999994</v>
      </c>
      <c r="E8" s="334">
        <f>D8*Assumptions!D5</f>
        <v>0.5219770325233466</v>
      </c>
      <c r="F8" s="334">
        <f>E8*Assumptions!E5</f>
        <v>0.57110290093928129</v>
      </c>
      <c r="G8" s="334">
        <f>F8*Assumptions!F5</f>
        <v>0.62962667071303402</v>
      </c>
      <c r="H8" s="334">
        <f>G8*Assumptions!G5</f>
        <v>0.69548562046961737</v>
      </c>
      <c r="I8" s="334">
        <f>H8*Assumptions!H5</f>
        <v>0.76823341637073939</v>
      </c>
      <c r="J8" s="334">
        <f>I8*Assumptions!I5</f>
        <v>0.84859063172311877</v>
      </c>
      <c r="K8" s="267"/>
      <c r="L8" s="267"/>
      <c r="M8" s="267"/>
      <c r="N8" s="268"/>
      <c r="O8" s="269"/>
      <c r="P8" s="269"/>
      <c r="Q8" s="269"/>
      <c r="R8" s="269"/>
      <c r="S8" s="269"/>
      <c r="T8" s="269"/>
      <c r="U8" s="269"/>
      <c r="V8" s="269"/>
      <c r="W8" s="267"/>
      <c r="X8" s="267"/>
      <c r="Y8" s="267"/>
      <c r="Z8" s="267"/>
      <c r="AA8" s="4" t="s">
        <v>79</v>
      </c>
      <c r="AC8" s="4">
        <v>0.43118699999999999</v>
      </c>
      <c r="AD8" s="4">
        <v>0.48028626368999994</v>
      </c>
      <c r="AE8" s="4">
        <v>0.5219770325233466</v>
      </c>
      <c r="AF8" s="4">
        <v>0.57110290093928129</v>
      </c>
      <c r="AG8" s="4">
        <v>0.62962667071303402</v>
      </c>
      <c r="AH8" s="4">
        <v>0.69548562046961737</v>
      </c>
      <c r="AI8" s="4">
        <v>0.76823341637073939</v>
      </c>
      <c r="AJ8" s="4">
        <v>0.84859063172311877</v>
      </c>
    </row>
    <row r="9" spans="1:36" x14ac:dyDescent="0.15">
      <c r="A9" s="282" t="s">
        <v>77</v>
      </c>
      <c r="B9" s="320"/>
      <c r="C9" s="341">
        <f>0.861517</f>
        <v>0.86151699999999998</v>
      </c>
      <c r="D9" s="341">
        <f>C9*Assumptions!C12</f>
        <v>0.935607462</v>
      </c>
      <c r="E9" s="341">
        <f>D9*Assumptions!D12</f>
        <v>0.97677419032800006</v>
      </c>
      <c r="F9" s="341">
        <f>E9*Assumptions!E12</f>
        <v>1.022682577273416</v>
      </c>
      <c r="G9" s="341">
        <f>F9*Assumptions!F12</f>
        <v>1.0789301190234539</v>
      </c>
      <c r="H9" s="341">
        <f>G9*Assumptions!G12</f>
        <v>1.1328766249746267</v>
      </c>
      <c r="I9" s="341">
        <f>H9*Assumptions!H12</f>
        <v>1.1895204562233581</v>
      </c>
      <c r="J9" s="341">
        <f>I9*Assumptions!I12</f>
        <v>1.248996479034526</v>
      </c>
      <c r="K9" s="262"/>
      <c r="L9" s="262"/>
      <c r="M9" s="262"/>
      <c r="N9" s="263"/>
      <c r="O9" s="263"/>
      <c r="P9" s="263"/>
      <c r="Q9" s="263"/>
      <c r="R9" s="263"/>
      <c r="S9" s="263"/>
      <c r="T9" s="263"/>
      <c r="U9" s="263"/>
      <c r="V9" s="263"/>
      <c r="W9" s="262"/>
      <c r="X9" s="262"/>
      <c r="Y9" s="262"/>
      <c r="Z9" s="262"/>
      <c r="AA9" s="3" t="s">
        <v>77</v>
      </c>
      <c r="AC9" s="3">
        <v>0.86151699999999998</v>
      </c>
      <c r="AD9" s="3">
        <v>0.935607462</v>
      </c>
      <c r="AE9" s="3">
        <v>0.97677419032800006</v>
      </c>
      <c r="AF9" s="3">
        <v>1.022682577273416</v>
      </c>
      <c r="AG9" s="3">
        <v>1.0789301190234539</v>
      </c>
      <c r="AH9" s="3">
        <v>1.1328766249746267</v>
      </c>
      <c r="AI9" s="3">
        <v>1.1895204562233581</v>
      </c>
      <c r="AJ9" s="3">
        <v>1.248996479034526</v>
      </c>
    </row>
    <row r="10" spans="1:36" ht="15" thickBot="1" x14ac:dyDescent="0.2">
      <c r="A10" s="295" t="s">
        <v>78</v>
      </c>
      <c r="B10" s="342"/>
      <c r="C10" s="343">
        <f t="shared" ref="C10:J10" si="1">C3+C8+C9-C4-C6-C7</f>
        <v>16.621396982616083</v>
      </c>
      <c r="D10" s="343">
        <f t="shared" si="1"/>
        <v>3.9683585862791242</v>
      </c>
      <c r="E10" s="343">
        <f t="shared" si="1"/>
        <v>22.28520096428506</v>
      </c>
      <c r="F10" s="343">
        <f t="shared" si="1"/>
        <v>93.887918720146089</v>
      </c>
      <c r="G10" s="343">
        <f t="shared" si="1"/>
        <v>174.08914114069592</v>
      </c>
      <c r="H10" s="343">
        <f t="shared" si="1"/>
        <v>256.14781839522982</v>
      </c>
      <c r="I10" s="343">
        <f t="shared" si="1"/>
        <v>344.10388967616899</v>
      </c>
      <c r="J10" s="343">
        <f t="shared" si="1"/>
        <v>371.94112555008746</v>
      </c>
      <c r="K10" s="262"/>
      <c r="L10" s="262"/>
      <c r="M10" s="262"/>
      <c r="N10" s="263"/>
      <c r="O10" s="263"/>
      <c r="P10" s="263"/>
      <c r="Q10" s="263"/>
      <c r="R10" s="263"/>
      <c r="S10" s="263"/>
      <c r="T10" s="263"/>
      <c r="U10" s="263"/>
      <c r="V10" s="263"/>
      <c r="W10" s="262"/>
      <c r="X10" s="262"/>
      <c r="Y10" s="262"/>
      <c r="Z10" s="262"/>
      <c r="AA10" s="3" t="s">
        <v>78</v>
      </c>
      <c r="AC10" s="3">
        <v>16.621396982616083</v>
      </c>
      <c r="AD10" s="3">
        <v>3.9683585862791242</v>
      </c>
      <c r="AE10" s="3">
        <v>22.28520096428506</v>
      </c>
      <c r="AF10" s="3">
        <v>93.887918720146089</v>
      </c>
      <c r="AG10" s="3">
        <v>174.08914114069592</v>
      </c>
      <c r="AH10" s="3">
        <v>256.14781839522982</v>
      </c>
      <c r="AI10" s="3">
        <v>344.10388967616899</v>
      </c>
      <c r="AJ10" s="3">
        <v>371.94112555008746</v>
      </c>
    </row>
    <row r="11" spans="1:36" ht="15" thickTop="1" x14ac:dyDescent="0.15">
      <c r="A11" s="263"/>
      <c r="B11" s="270"/>
      <c r="C11" s="270"/>
      <c r="D11" s="270"/>
      <c r="E11" s="270"/>
      <c r="F11" s="270"/>
      <c r="G11" s="270"/>
      <c r="H11" s="270"/>
      <c r="I11" s="270"/>
      <c r="J11" s="270"/>
      <c r="K11" s="262"/>
      <c r="L11" s="262"/>
      <c r="M11" s="262"/>
      <c r="N11" s="263"/>
      <c r="O11" s="263"/>
      <c r="P11" s="263"/>
      <c r="Q11" s="263"/>
      <c r="R11" s="263"/>
      <c r="S11" s="263"/>
      <c r="T11" s="263"/>
      <c r="U11" s="263"/>
      <c r="V11" s="263"/>
      <c r="W11" s="262"/>
      <c r="X11" s="262"/>
      <c r="Y11" s="262"/>
      <c r="Z11" s="262"/>
    </row>
    <row r="12" spans="1:36" ht="18" thickBot="1" x14ac:dyDescent="0.25">
      <c r="A12" s="253" t="s">
        <v>30</v>
      </c>
      <c r="B12" s="271"/>
      <c r="C12" s="272"/>
      <c r="D12" s="272"/>
      <c r="E12" s="272"/>
      <c r="F12" s="272"/>
      <c r="G12" s="272"/>
      <c r="H12" s="272"/>
      <c r="I12" s="272"/>
      <c r="J12" s="273"/>
      <c r="K12" s="262"/>
      <c r="L12" s="262"/>
      <c r="M12" s="262"/>
      <c r="N12" s="263"/>
      <c r="O12" s="263"/>
      <c r="P12" s="263"/>
      <c r="Q12" s="263"/>
      <c r="R12" s="263"/>
      <c r="S12" s="263"/>
      <c r="T12" s="263"/>
      <c r="U12" s="263"/>
      <c r="V12" s="263"/>
      <c r="W12" s="262"/>
      <c r="X12" s="262"/>
      <c r="Y12" s="262"/>
      <c r="Z12" s="262"/>
      <c r="AA12" s="3" t="s">
        <v>30</v>
      </c>
    </row>
    <row r="13" spans="1:36" s="4" customFormat="1" ht="15" thickTop="1" x14ac:dyDescent="0.15">
      <c r="A13" s="331" t="s">
        <v>78</v>
      </c>
      <c r="B13" s="332"/>
      <c r="C13" s="333">
        <f t="shared" ref="C13:J13" si="2">C10</f>
        <v>16.621396982616083</v>
      </c>
      <c r="D13" s="333">
        <f t="shared" si="2"/>
        <v>3.9683585862791242</v>
      </c>
      <c r="E13" s="333">
        <f t="shared" si="2"/>
        <v>22.28520096428506</v>
      </c>
      <c r="F13" s="333">
        <f t="shared" si="2"/>
        <v>93.887918720146089</v>
      </c>
      <c r="G13" s="333">
        <f t="shared" si="2"/>
        <v>174.08914114069592</v>
      </c>
      <c r="H13" s="333">
        <f t="shared" si="2"/>
        <v>256.14781839522982</v>
      </c>
      <c r="I13" s="333">
        <f t="shared" si="2"/>
        <v>344.10388967616899</v>
      </c>
      <c r="J13" s="333">
        <f t="shared" si="2"/>
        <v>371.94112555008746</v>
      </c>
      <c r="K13" s="267"/>
      <c r="L13" s="267"/>
      <c r="M13" s="267"/>
      <c r="N13" s="268"/>
      <c r="O13" s="268"/>
      <c r="P13" s="268"/>
      <c r="Q13" s="268"/>
      <c r="R13" s="268"/>
      <c r="S13" s="268"/>
      <c r="T13" s="268"/>
      <c r="U13" s="268"/>
      <c r="V13" s="268"/>
      <c r="W13" s="267"/>
      <c r="X13" s="267"/>
      <c r="Y13" s="267"/>
      <c r="Z13" s="267"/>
      <c r="AA13" s="4" t="s">
        <v>78</v>
      </c>
      <c r="AC13" s="4">
        <v>16.621396982616083</v>
      </c>
      <c r="AD13" s="4">
        <v>3.9683585862791242</v>
      </c>
      <c r="AE13" s="4">
        <v>22.28520096428506</v>
      </c>
      <c r="AF13" s="4">
        <v>93.887918720146089</v>
      </c>
      <c r="AG13" s="4">
        <v>174.08914114069592</v>
      </c>
      <c r="AH13" s="4">
        <v>256.14781839522982</v>
      </c>
      <c r="AI13" s="4">
        <v>344.10388967616899</v>
      </c>
      <c r="AJ13" s="4">
        <v>371.94112555008746</v>
      </c>
    </row>
    <row r="14" spans="1:36" s="4" customFormat="1" x14ac:dyDescent="0.15">
      <c r="A14" s="331" t="s">
        <v>27</v>
      </c>
      <c r="B14" s="332"/>
      <c r="C14" s="334">
        <f>Assumptions!B54</f>
        <v>18.09151</v>
      </c>
      <c r="D14" s="334">
        <f>Assumptions!C54</f>
        <v>18.09151</v>
      </c>
      <c r="E14" s="334">
        <f>Assumptions!D54</f>
        <v>18.09151</v>
      </c>
      <c r="F14" s="334">
        <f>Assumptions!E54</f>
        <v>5.6169799999999981</v>
      </c>
      <c r="G14" s="334">
        <f>Assumptions!F54</f>
        <v>0</v>
      </c>
      <c r="H14" s="334">
        <f>Assumptions!G54</f>
        <v>0</v>
      </c>
      <c r="I14" s="334">
        <f>Assumptions!H54</f>
        <v>0</v>
      </c>
      <c r="J14" s="334">
        <f>Assumptions!I54</f>
        <v>0</v>
      </c>
      <c r="K14" s="267"/>
      <c r="L14" s="267"/>
      <c r="M14" s="267"/>
      <c r="N14" s="268"/>
      <c r="O14" s="268"/>
      <c r="P14" s="268"/>
      <c r="Q14" s="268"/>
      <c r="R14" s="268"/>
      <c r="S14" s="268"/>
      <c r="T14" s="268"/>
      <c r="U14" s="268"/>
      <c r="V14" s="268"/>
      <c r="W14" s="267"/>
      <c r="X14" s="267"/>
      <c r="Y14" s="267"/>
      <c r="Z14" s="267"/>
      <c r="AA14" s="4" t="s">
        <v>27</v>
      </c>
      <c r="AC14" s="4">
        <v>18.09151</v>
      </c>
      <c r="AD14" s="4">
        <v>18.09151</v>
      </c>
      <c r="AE14" s="4">
        <v>18.09151</v>
      </c>
      <c r="AF14" s="4">
        <v>5.6169799999999981</v>
      </c>
      <c r="AG14" s="4">
        <v>0</v>
      </c>
      <c r="AH14" s="4">
        <v>0</v>
      </c>
      <c r="AI14" s="4">
        <v>0</v>
      </c>
      <c r="AJ14" s="4">
        <v>0</v>
      </c>
    </row>
    <row r="15" spans="1:36" s="4" customFormat="1" ht="25.5" customHeight="1" x14ac:dyDescent="0.15">
      <c r="A15" s="331" t="s">
        <v>17</v>
      </c>
      <c r="B15" s="332"/>
      <c r="C15" s="334"/>
      <c r="D15" s="335">
        <f>Assumptions!C11</f>
        <v>1.0660000000000001</v>
      </c>
      <c r="E15" s="335">
        <f>Assumptions!D11</f>
        <v>1.024</v>
      </c>
      <c r="F15" s="335">
        <f>Assumptions!E11</f>
        <v>1.0269999999999999</v>
      </c>
      <c r="G15" s="335">
        <f>Assumptions!F11</f>
        <v>1.0349999999999999</v>
      </c>
      <c r="H15" s="335">
        <f>Assumptions!G11</f>
        <v>1.03</v>
      </c>
      <c r="I15" s="335">
        <f>Assumptions!H11</f>
        <v>1.03</v>
      </c>
      <c r="J15" s="335">
        <f>Assumptions!I11</f>
        <v>1.03</v>
      </c>
      <c r="K15" s="267"/>
      <c r="L15" s="267"/>
      <c r="M15" s="274"/>
      <c r="N15" s="268"/>
      <c r="O15" s="268"/>
      <c r="P15" s="268"/>
      <c r="Q15" s="268"/>
      <c r="R15" s="268"/>
      <c r="S15" s="268"/>
      <c r="T15" s="268"/>
      <c r="U15" s="268"/>
      <c r="V15" s="268"/>
      <c r="W15" s="267"/>
      <c r="X15" s="267"/>
      <c r="Y15" s="267"/>
      <c r="Z15" s="267"/>
      <c r="AA15" s="4" t="s">
        <v>17</v>
      </c>
      <c r="AD15" s="4">
        <v>1.0660000000000001</v>
      </c>
      <c r="AE15" s="4">
        <v>1.024</v>
      </c>
      <c r="AF15" s="4">
        <v>1.0269999999999999</v>
      </c>
      <c r="AG15" s="4">
        <v>1.0349999999999999</v>
      </c>
      <c r="AH15" s="4">
        <v>1.03</v>
      </c>
      <c r="AI15" s="4">
        <v>1.03</v>
      </c>
      <c r="AJ15" s="4">
        <v>1.03</v>
      </c>
    </row>
    <row r="16" spans="1:36" s="4" customFormat="1" x14ac:dyDescent="0.15">
      <c r="A16" s="331" t="s">
        <v>28</v>
      </c>
      <c r="B16" s="332"/>
      <c r="C16" s="333">
        <f>Assumptions!B55</f>
        <v>12.600419</v>
      </c>
      <c r="D16" s="333">
        <f>Assumptions!C55</f>
        <v>13.432046654000001</v>
      </c>
      <c r="E16" s="333">
        <f>Assumptions!D55</f>
        <v>13.754415773696001</v>
      </c>
      <c r="F16" s="333">
        <f>Assumptions!E55</f>
        <v>14.125784999585791</v>
      </c>
      <c r="G16" s="333">
        <f>Assumptions!F55</f>
        <v>14.620187474571292</v>
      </c>
      <c r="H16" s="333">
        <f>Assumptions!G55</f>
        <v>15.058793098808431</v>
      </c>
      <c r="I16" s="333">
        <f>Assumptions!H55</f>
        <v>15.510556891772685</v>
      </c>
      <c r="J16" s="333">
        <f>Assumptions!I55</f>
        <v>15.975873598525867</v>
      </c>
      <c r="K16" s="267"/>
      <c r="L16" s="267"/>
      <c r="M16" s="267"/>
      <c r="N16" s="268"/>
      <c r="O16" s="268"/>
      <c r="P16" s="268"/>
      <c r="Q16" s="268"/>
      <c r="R16" s="268"/>
      <c r="S16" s="268"/>
      <c r="T16" s="268"/>
      <c r="U16" s="268"/>
      <c r="V16" s="268"/>
      <c r="W16" s="267"/>
      <c r="X16" s="267"/>
      <c r="Y16" s="267"/>
      <c r="Z16" s="267"/>
      <c r="AA16" s="4" t="s">
        <v>28</v>
      </c>
      <c r="AC16" s="4">
        <v>12.600419</v>
      </c>
      <c r="AD16" s="4">
        <v>13.432046654000001</v>
      </c>
      <c r="AE16" s="4">
        <v>13.754415773696001</v>
      </c>
      <c r="AF16" s="4">
        <v>14.125784999585791</v>
      </c>
      <c r="AG16" s="4">
        <v>14.620187474571292</v>
      </c>
      <c r="AH16" s="4">
        <v>15.058793098808431</v>
      </c>
      <c r="AI16" s="4">
        <v>15.510556891772685</v>
      </c>
      <c r="AJ16" s="4">
        <v>15.975873598525867</v>
      </c>
    </row>
    <row r="17" spans="1:36" s="4" customFormat="1" ht="46.5" customHeight="1" x14ac:dyDescent="0.15">
      <c r="A17" s="336" t="s">
        <v>110</v>
      </c>
      <c r="B17" s="332"/>
      <c r="C17" s="333">
        <f>Assumptions!B56</f>
        <v>16.754165</v>
      </c>
      <c r="D17" s="333">
        <f>Assumptions!C56</f>
        <v>17.85993989</v>
      </c>
      <c r="E17" s="333">
        <f>Assumptions!D56</f>
        <v>18.288578447359999</v>
      </c>
      <c r="F17" s="333">
        <f>Assumptions!E56</f>
        <v>18.782370065438716</v>
      </c>
      <c r="G17" s="333">
        <f>Assumptions!F56</f>
        <v>19.439753017729071</v>
      </c>
      <c r="H17" s="333">
        <f>Assumptions!G56</f>
        <v>20.022945608260944</v>
      </c>
      <c r="I17" s="333">
        <f>Assumptions!H56</f>
        <v>20.623633976508774</v>
      </c>
      <c r="J17" s="333">
        <f>Assumptions!I56</f>
        <v>21.242342995804037</v>
      </c>
      <c r="K17" s="267"/>
      <c r="L17" s="267"/>
      <c r="M17" s="267"/>
      <c r="N17" s="268"/>
      <c r="O17" s="268"/>
      <c r="P17" s="268"/>
      <c r="Q17" s="268"/>
      <c r="R17" s="268"/>
      <c r="S17" s="268"/>
      <c r="T17" s="268"/>
      <c r="U17" s="268"/>
      <c r="V17" s="268"/>
      <c r="W17" s="267"/>
      <c r="X17" s="267"/>
      <c r="Y17" s="267"/>
      <c r="Z17" s="267"/>
      <c r="AA17" s="4" t="s">
        <v>110</v>
      </c>
      <c r="AC17" s="4">
        <v>16.754165</v>
      </c>
      <c r="AD17" s="4">
        <v>17.85993989</v>
      </c>
      <c r="AE17" s="4">
        <v>18.288578447359999</v>
      </c>
      <c r="AF17" s="4">
        <v>18.782370065438716</v>
      </c>
      <c r="AG17" s="4">
        <v>19.439753017729071</v>
      </c>
      <c r="AH17" s="4">
        <v>20.022945608260944</v>
      </c>
      <c r="AI17" s="4">
        <v>20.623633976508774</v>
      </c>
      <c r="AJ17" s="4">
        <v>21.242342995804037</v>
      </c>
    </row>
    <row r="18" spans="1:36" s="4" customFormat="1" ht="15" thickBot="1" x14ac:dyDescent="0.2">
      <c r="A18" s="337" t="s">
        <v>80</v>
      </c>
      <c r="B18" s="338"/>
      <c r="C18" s="338">
        <f>Assumptions!B39</f>
        <v>6.4877479579929993</v>
      </c>
      <c r="D18" s="338">
        <f t="shared" ref="D18:J18" si="3">IF(D25&gt;=0,D25,0)</f>
        <v>0</v>
      </c>
      <c r="E18" s="338">
        <f t="shared" si="3"/>
        <v>8.7278536379490586</v>
      </c>
      <c r="F18" s="338">
        <f t="shared" si="3"/>
        <v>101.65537742394807</v>
      </c>
      <c r="G18" s="338">
        <f t="shared" si="3"/>
        <v>280.5640841078017</v>
      </c>
      <c r="H18" s="338">
        <f t="shared" si="3"/>
        <v>541.67605501248408</v>
      </c>
      <c r="I18" s="338">
        <f t="shared" si="3"/>
        <v>890.89302177338925</v>
      </c>
      <c r="J18" s="338">
        <f t="shared" si="3"/>
        <v>1268.1006167207549</v>
      </c>
      <c r="K18" s="267"/>
      <c r="L18" s="267"/>
      <c r="M18" s="267"/>
      <c r="N18" s="268"/>
      <c r="O18" s="268"/>
      <c r="P18" s="268"/>
      <c r="Q18" s="268"/>
      <c r="R18" s="268"/>
      <c r="S18" s="268"/>
      <c r="T18" s="268"/>
      <c r="U18" s="268"/>
      <c r="V18" s="268"/>
      <c r="W18" s="267"/>
      <c r="X18" s="267"/>
      <c r="Y18" s="267"/>
      <c r="Z18" s="267"/>
      <c r="AA18" s="4" t="s">
        <v>80</v>
      </c>
      <c r="AC18" s="4">
        <v>6.4877479579929993</v>
      </c>
      <c r="AD18" s="4">
        <v>0</v>
      </c>
      <c r="AE18" s="4">
        <v>8.7278536379490586</v>
      </c>
      <c r="AF18" s="4">
        <v>101.65537742394807</v>
      </c>
      <c r="AG18" s="4">
        <v>280.5640841078017</v>
      </c>
      <c r="AH18" s="4">
        <v>541.67605501248408</v>
      </c>
      <c r="AI18" s="4">
        <v>890.89302177338925</v>
      </c>
      <c r="AJ18" s="4">
        <v>1268.1006167207549</v>
      </c>
    </row>
    <row r="19" spans="1:36" ht="15" thickTop="1" x14ac:dyDescent="0.15">
      <c r="A19" s="262"/>
      <c r="B19" s="275"/>
      <c r="C19" s="275"/>
      <c r="D19" s="275"/>
      <c r="E19" s="275"/>
      <c r="F19" s="275"/>
      <c r="G19" s="275"/>
      <c r="H19" s="275"/>
      <c r="I19" s="275"/>
      <c r="J19" s="275"/>
      <c r="K19" s="262"/>
      <c r="L19" s="262"/>
      <c r="M19" s="262"/>
      <c r="N19" s="263"/>
      <c r="O19" s="263"/>
      <c r="P19" s="263"/>
      <c r="Q19" s="263"/>
      <c r="R19" s="263"/>
      <c r="S19" s="263"/>
      <c r="T19" s="263"/>
      <c r="U19" s="263"/>
      <c r="V19" s="263"/>
      <c r="W19" s="262"/>
      <c r="X19" s="262"/>
      <c r="Y19" s="262"/>
      <c r="Z19" s="262"/>
    </row>
    <row r="20" spans="1:36" ht="18" thickBot="1" x14ac:dyDescent="0.25">
      <c r="A20" s="253" t="s">
        <v>40</v>
      </c>
      <c r="B20" s="230"/>
      <c r="C20" s="230"/>
      <c r="D20" s="230"/>
      <c r="E20" s="230"/>
      <c r="F20" s="230"/>
      <c r="G20" s="230"/>
      <c r="H20" s="230"/>
      <c r="I20" s="230"/>
      <c r="J20" s="230"/>
      <c r="K20" s="262"/>
      <c r="L20" s="262"/>
      <c r="M20" s="262"/>
      <c r="N20" s="263"/>
      <c r="O20" s="263"/>
      <c r="P20" s="263"/>
      <c r="Q20" s="263"/>
      <c r="R20" s="263"/>
      <c r="S20" s="263"/>
      <c r="T20" s="263"/>
      <c r="U20" s="263"/>
      <c r="V20" s="263"/>
      <c r="W20" s="262"/>
      <c r="X20" s="262"/>
      <c r="Y20" s="262"/>
      <c r="Z20" s="262"/>
      <c r="AA20" s="3" t="s">
        <v>40</v>
      </c>
    </row>
    <row r="21" spans="1:36" ht="15" thickTop="1" x14ac:dyDescent="0.15">
      <c r="A21" s="327" t="s">
        <v>93</v>
      </c>
      <c r="B21" s="328"/>
      <c r="C21" s="328">
        <f>0</f>
        <v>0</v>
      </c>
      <c r="D21" s="328">
        <f t="shared" ref="D21:J21" si="4">IF(D25&gt;=0,0,IF(D27&lt;D26,0,D27-D26))</f>
        <v>0</v>
      </c>
      <c r="E21" s="328">
        <f t="shared" si="4"/>
        <v>0</v>
      </c>
      <c r="F21" s="328">
        <f t="shared" si="4"/>
        <v>0</v>
      </c>
      <c r="G21" s="328">
        <f t="shared" si="4"/>
        <v>0</v>
      </c>
      <c r="H21" s="328">
        <f t="shared" si="4"/>
        <v>0</v>
      </c>
      <c r="I21" s="328">
        <f t="shared" si="4"/>
        <v>0</v>
      </c>
      <c r="J21" s="328">
        <f t="shared" si="4"/>
        <v>0</v>
      </c>
      <c r="K21" s="262"/>
      <c r="L21" s="262"/>
      <c r="M21" s="262"/>
      <c r="N21" s="263"/>
      <c r="O21" s="263"/>
      <c r="P21" s="263"/>
      <c r="Q21" s="263"/>
      <c r="R21" s="263"/>
      <c r="S21" s="263"/>
      <c r="T21" s="263"/>
      <c r="U21" s="263"/>
      <c r="V21" s="263"/>
      <c r="W21" s="262"/>
      <c r="X21" s="262"/>
      <c r="Y21" s="262"/>
      <c r="Z21" s="262"/>
      <c r="AA21" s="3" t="s">
        <v>93</v>
      </c>
      <c r="AC21" s="3">
        <v>0</v>
      </c>
      <c r="AD21" s="3">
        <v>0</v>
      </c>
      <c r="AE21" s="3">
        <v>0</v>
      </c>
      <c r="AF21" s="3">
        <v>0</v>
      </c>
      <c r="AG21" s="3">
        <v>0</v>
      </c>
      <c r="AH21" s="3">
        <v>0</v>
      </c>
      <c r="AI21" s="3">
        <v>0</v>
      </c>
      <c r="AJ21" s="3">
        <v>0</v>
      </c>
    </row>
    <row r="22" spans="1:36" x14ac:dyDescent="0.15">
      <c r="A22" s="329" t="s">
        <v>81</v>
      </c>
      <c r="B22" s="328"/>
      <c r="C22" s="330">
        <f>Assumptions!B56</f>
        <v>16.754165</v>
      </c>
      <c r="D22" s="330">
        <f t="shared" ref="D22:J22" si="5">IF(D25&gt;=0,D17,IF(D27&lt;=D26,D27,D26))</f>
        <v>21.067450109727876</v>
      </c>
      <c r="E22" s="330">
        <f t="shared" si="5"/>
        <v>18.288578447359999</v>
      </c>
      <c r="F22" s="330">
        <f t="shared" si="5"/>
        <v>18.782370065438716</v>
      </c>
      <c r="G22" s="330">
        <f t="shared" si="5"/>
        <v>19.439753017729071</v>
      </c>
      <c r="H22" s="330">
        <f t="shared" si="5"/>
        <v>20.022945608260944</v>
      </c>
      <c r="I22" s="330">
        <f t="shared" si="5"/>
        <v>20.623633976508774</v>
      </c>
      <c r="J22" s="330">
        <f t="shared" si="5"/>
        <v>21.242342995804037</v>
      </c>
      <c r="K22" s="262"/>
      <c r="L22" s="262"/>
      <c r="M22" s="262"/>
      <c r="N22" s="263"/>
      <c r="O22" s="263"/>
      <c r="P22" s="263"/>
      <c r="Q22" s="263"/>
      <c r="R22" s="263"/>
      <c r="S22" s="263"/>
      <c r="T22" s="263"/>
      <c r="U22" s="263"/>
      <c r="V22" s="263"/>
      <c r="W22" s="262"/>
      <c r="X22" s="262"/>
      <c r="Y22" s="262"/>
      <c r="Z22" s="262"/>
      <c r="AA22" s="3" t="s">
        <v>81</v>
      </c>
      <c r="AC22" s="3">
        <v>16.754165</v>
      </c>
      <c r="AD22" s="3">
        <v>21.067450109727876</v>
      </c>
      <c r="AE22" s="3">
        <v>18.288578447359999</v>
      </c>
      <c r="AF22" s="3">
        <v>18.782370065438716</v>
      </c>
      <c r="AG22" s="3">
        <v>19.439753017729071</v>
      </c>
      <c r="AH22" s="3">
        <v>20.022945608260944</v>
      </c>
      <c r="AI22" s="3">
        <v>20.623633976508774</v>
      </c>
      <c r="AJ22" s="3">
        <v>21.242342995804037</v>
      </c>
    </row>
    <row r="23" spans="1:36" ht="15" x14ac:dyDescent="0.2">
      <c r="A23" s="230"/>
      <c r="B23" s="230"/>
      <c r="C23" s="230"/>
      <c r="D23" s="230"/>
      <c r="E23" s="230"/>
      <c r="F23" s="230"/>
      <c r="G23" s="230"/>
      <c r="H23" s="230"/>
      <c r="I23" s="230"/>
      <c r="J23" s="230"/>
      <c r="K23" s="262"/>
      <c r="L23" s="262"/>
      <c r="M23" s="262"/>
      <c r="N23" s="263"/>
      <c r="O23" s="263"/>
      <c r="P23" s="263"/>
      <c r="Q23" s="263"/>
      <c r="R23" s="263"/>
      <c r="S23" s="263"/>
      <c r="T23" s="263"/>
      <c r="U23" s="263"/>
      <c r="V23" s="263"/>
      <c r="W23" s="262"/>
      <c r="X23" s="262"/>
      <c r="Y23" s="262"/>
      <c r="Z23" s="262"/>
    </row>
    <row r="24" spans="1:36" ht="36" customHeight="1" thickBot="1" x14ac:dyDescent="0.25">
      <c r="A24" s="276" t="s">
        <v>123</v>
      </c>
      <c r="B24" s="230"/>
      <c r="C24" s="277"/>
      <c r="D24" s="277"/>
      <c r="E24" s="277"/>
      <c r="F24" s="277"/>
      <c r="G24" s="277"/>
      <c r="H24" s="277"/>
      <c r="I24" s="277"/>
      <c r="J24" s="277"/>
      <c r="K24" s="262"/>
      <c r="L24" s="262"/>
      <c r="M24" s="262"/>
      <c r="N24" s="263"/>
      <c r="O24" s="263"/>
      <c r="P24" s="263"/>
      <c r="Q24" s="263"/>
      <c r="R24" s="263"/>
      <c r="S24" s="263"/>
      <c r="T24" s="263"/>
      <c r="U24" s="263"/>
      <c r="V24" s="263"/>
      <c r="W24" s="262"/>
      <c r="X24" s="262"/>
      <c r="Y24" s="262"/>
      <c r="Z24" s="262"/>
      <c r="AA24" s="3" t="s">
        <v>123</v>
      </c>
    </row>
    <row r="25" spans="1:36" ht="15" thickTop="1" x14ac:dyDescent="0.15">
      <c r="A25" s="325" t="s">
        <v>124</v>
      </c>
      <c r="B25" s="308"/>
      <c r="C25" s="326">
        <f>C18</f>
        <v>6.4877479579929993</v>
      </c>
      <c r="D25" s="326">
        <f t="shared" ref="D25:J25" si="6">C18+D13-D14-(D16-D17)</f>
        <v>-3.207510219727876</v>
      </c>
      <c r="E25" s="326">
        <f t="shared" si="6"/>
        <v>8.7278536379490586</v>
      </c>
      <c r="F25" s="326">
        <f t="shared" si="6"/>
        <v>101.65537742394807</v>
      </c>
      <c r="G25" s="326">
        <f t="shared" si="6"/>
        <v>280.5640841078017</v>
      </c>
      <c r="H25" s="326">
        <f t="shared" si="6"/>
        <v>541.67605501248408</v>
      </c>
      <c r="I25" s="326">
        <f t="shared" si="6"/>
        <v>890.89302177338925</v>
      </c>
      <c r="J25" s="326">
        <f t="shared" si="6"/>
        <v>1268.1006167207549</v>
      </c>
      <c r="K25" s="262"/>
      <c r="L25" s="262"/>
      <c r="M25" s="262"/>
      <c r="N25" s="263"/>
      <c r="O25" s="263"/>
      <c r="P25" s="263"/>
      <c r="Q25" s="263"/>
      <c r="R25" s="263"/>
      <c r="S25" s="263"/>
      <c r="T25" s="263"/>
      <c r="U25" s="263"/>
      <c r="V25" s="263"/>
      <c r="W25" s="262"/>
      <c r="X25" s="262"/>
      <c r="Y25" s="262"/>
      <c r="Z25" s="262"/>
      <c r="AA25" s="3" t="s">
        <v>124</v>
      </c>
      <c r="AC25" s="3">
        <v>6.4877479579929993</v>
      </c>
      <c r="AD25" s="3">
        <v>-3.207510219727876</v>
      </c>
      <c r="AE25" s="3">
        <v>8.7278536379490586</v>
      </c>
      <c r="AF25" s="3">
        <v>101.65537742394807</v>
      </c>
      <c r="AG25" s="3">
        <v>280.5640841078017</v>
      </c>
      <c r="AH25" s="3">
        <v>541.67605501248408</v>
      </c>
      <c r="AI25" s="3">
        <v>890.89302177338925</v>
      </c>
      <c r="AJ25" s="3">
        <v>1268.1006167207549</v>
      </c>
    </row>
    <row r="26" spans="1:36" x14ac:dyDescent="0.15">
      <c r="A26" s="325" t="s">
        <v>125</v>
      </c>
      <c r="B26" s="308"/>
      <c r="C26" s="326">
        <f>Assumptions!$B$56*Assumptions!B57</f>
        <v>20.942706250000001</v>
      </c>
      <c r="D26" s="326">
        <f>Assumptions!$B$56*Assumptions!C57</f>
        <v>22.324924862500001</v>
      </c>
      <c r="E26" s="326">
        <f>Assumptions!$B$56*Assumptions!D57</f>
        <v>22.860723059199998</v>
      </c>
      <c r="F26" s="326">
        <f>Assumptions!$B$56*Assumptions!E57</f>
        <v>23.477962581798401</v>
      </c>
      <c r="G26" s="326">
        <f>Assumptions!$B$56*Assumptions!F57</f>
        <v>24.299691272161343</v>
      </c>
      <c r="H26" s="326">
        <f>Assumptions!$B$56*Assumptions!G57</f>
        <v>25.028682010326186</v>
      </c>
      <c r="I26" s="326">
        <f>Assumptions!$B$56*Assumptions!H57</f>
        <v>25.77954247063597</v>
      </c>
      <c r="J26" s="326">
        <f>Assumptions!$B$56*Assumptions!I57</f>
        <v>26.552928744755096</v>
      </c>
      <c r="K26" s="262"/>
      <c r="L26" s="262"/>
      <c r="M26" s="262"/>
      <c r="N26" s="263"/>
      <c r="O26" s="263"/>
      <c r="P26" s="263"/>
      <c r="Q26" s="263"/>
      <c r="R26" s="263"/>
      <c r="S26" s="263"/>
      <c r="T26" s="263"/>
      <c r="U26" s="263"/>
      <c r="V26" s="263"/>
      <c r="W26" s="262"/>
      <c r="X26" s="262"/>
      <c r="Y26" s="262"/>
      <c r="Z26" s="262"/>
      <c r="AA26" s="3" t="s">
        <v>125</v>
      </c>
      <c r="AC26" s="3">
        <v>20.942706250000001</v>
      </c>
      <c r="AD26" s="3">
        <v>22.324924862500001</v>
      </c>
      <c r="AE26" s="3">
        <v>22.860723059199998</v>
      </c>
      <c r="AF26" s="3">
        <v>23.477962581798401</v>
      </c>
      <c r="AG26" s="3">
        <v>24.299691272161343</v>
      </c>
      <c r="AH26" s="3">
        <v>25.028682010326186</v>
      </c>
      <c r="AI26" s="3">
        <v>25.77954247063597</v>
      </c>
      <c r="AJ26" s="3">
        <v>26.552928744755096</v>
      </c>
    </row>
    <row r="27" spans="1:36" x14ac:dyDescent="0.15">
      <c r="A27" s="325" t="s">
        <v>126</v>
      </c>
      <c r="B27" s="308"/>
      <c r="C27" s="326"/>
      <c r="D27" s="326">
        <f t="shared" ref="D27:J27" si="7">D14+D16-(C18+D13)</f>
        <v>21.067450109727876</v>
      </c>
      <c r="E27" s="326">
        <f t="shared" si="7"/>
        <v>9.5607248094109423</v>
      </c>
      <c r="F27" s="326">
        <f t="shared" si="7"/>
        <v>-82.873007358509355</v>
      </c>
      <c r="G27" s="326">
        <f t="shared" si="7"/>
        <v>-261.12433109007264</v>
      </c>
      <c r="H27" s="326">
        <f t="shared" si="7"/>
        <v>-521.65310940422307</v>
      </c>
      <c r="I27" s="326">
        <f t="shared" si="7"/>
        <v>-870.26938779688044</v>
      </c>
      <c r="J27" s="326">
        <f t="shared" si="7"/>
        <v>-1246.858273724951</v>
      </c>
      <c r="K27" s="262"/>
      <c r="L27" s="262"/>
      <c r="M27" s="262"/>
      <c r="N27" s="263"/>
      <c r="O27" s="263"/>
      <c r="P27" s="263"/>
      <c r="Q27" s="263"/>
      <c r="R27" s="263"/>
      <c r="S27" s="263"/>
      <c r="T27" s="263"/>
      <c r="U27" s="263"/>
      <c r="V27" s="263"/>
      <c r="W27" s="262"/>
      <c r="X27" s="262"/>
      <c r="Y27" s="262"/>
      <c r="Z27" s="262"/>
      <c r="AA27" s="3" t="s">
        <v>126</v>
      </c>
      <c r="AD27" s="3">
        <v>21.067450109727876</v>
      </c>
      <c r="AE27" s="3">
        <v>9.5607248094109423</v>
      </c>
      <c r="AF27" s="3">
        <v>-82.873007358509355</v>
      </c>
      <c r="AG27" s="3">
        <v>-261.12433109007264</v>
      </c>
      <c r="AH27" s="3">
        <v>-521.65310940422307</v>
      </c>
      <c r="AI27" s="3">
        <v>-870.26938779688044</v>
      </c>
      <c r="AJ27" s="3">
        <v>-1246.858273724951</v>
      </c>
    </row>
    <row r="28" spans="1:36" x14ac:dyDescent="0.15">
      <c r="C28" s="190"/>
      <c r="D28" s="190"/>
      <c r="E28" s="190"/>
      <c r="F28" s="190"/>
      <c r="G28" s="190"/>
      <c r="H28" s="190"/>
      <c r="I28" s="190"/>
      <c r="J28" s="190"/>
    </row>
    <row r="29" spans="1:36" x14ac:dyDescent="0.15">
      <c r="E29" s="140"/>
    </row>
  </sheetData>
  <sheetProtection password="CC1A" sheet="1" objects="1" scenarios="1"/>
  <mergeCells count="1">
    <mergeCell ref="B1:J1"/>
  </mergeCells>
  <conditionalFormatting sqref="B3:J27">
    <cfRule type="cellIs" dxfId="0" priority="1" operator="notEqual">
      <formula>AB3</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6" tint="0.39997558519241921"/>
  </sheetPr>
  <dimension ref="G1:Q1"/>
  <sheetViews>
    <sheetView showGridLines="0" workbookViewId="0"/>
  </sheetViews>
  <sheetFormatPr baseColWidth="10" defaultColWidth="8.83203125" defaultRowHeight="15" x14ac:dyDescent="0.2"/>
  <sheetData>
    <row r="1" spans="7:17" ht="27" thickBot="1" x14ac:dyDescent="0.35">
      <c r="G1" s="420" t="s">
        <v>94</v>
      </c>
      <c r="H1" s="421"/>
      <c r="I1" s="421"/>
      <c r="J1" s="421"/>
      <c r="K1" s="421"/>
      <c r="L1" s="421"/>
      <c r="M1" s="421"/>
      <c r="N1" s="421"/>
      <c r="O1" s="421"/>
      <c r="P1" s="421"/>
      <c r="Q1" s="422"/>
    </row>
  </sheetData>
  <sheetProtection password="CC1A" sheet="1" objects="1" scenarios="1"/>
  <mergeCells count="1">
    <mergeCell ref="G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K61"/>
  <sheetViews>
    <sheetView workbookViewId="0"/>
  </sheetViews>
  <sheetFormatPr baseColWidth="10" defaultColWidth="9.1640625" defaultRowHeight="15" x14ac:dyDescent="0.2"/>
  <cols>
    <col min="1" max="1" width="46.1640625" style="162" customWidth="1"/>
    <col min="2" max="2" width="9.1640625" style="162"/>
    <col min="3" max="3" width="14.83203125" style="162" customWidth="1"/>
    <col min="4" max="4" width="9.1640625" style="162"/>
    <col min="5" max="5" width="10.5" style="162" bestFit="1" customWidth="1"/>
    <col min="6" max="9" width="11.5" style="162" bestFit="1" customWidth="1"/>
    <col min="10" max="10" width="9.1640625" style="162"/>
    <col min="11" max="11" width="9.1640625" style="202"/>
    <col min="12" max="16384" width="9.1640625" style="162"/>
  </cols>
  <sheetData>
    <row r="1" spans="1:11" ht="21" thickBot="1" x14ac:dyDescent="0.3">
      <c r="A1" s="138"/>
      <c r="B1" s="423" t="s">
        <v>50</v>
      </c>
      <c r="C1" s="423"/>
      <c r="D1" s="423"/>
      <c r="E1" s="423"/>
      <c r="F1" s="423"/>
      <c r="G1" s="423"/>
      <c r="H1" s="423"/>
      <c r="I1" s="423"/>
    </row>
    <row r="2" spans="1:11" ht="19" thickTop="1" thickBot="1" x14ac:dyDescent="0.25">
      <c r="A2" s="130"/>
      <c r="B2" s="163">
        <v>2013</v>
      </c>
      <c r="C2" s="163">
        <v>2014</v>
      </c>
      <c r="D2" s="163">
        <v>2015</v>
      </c>
      <c r="E2" s="163">
        <v>2016</v>
      </c>
      <c r="F2" s="163">
        <v>2017</v>
      </c>
      <c r="G2" s="163">
        <v>2018</v>
      </c>
      <c r="H2" s="163">
        <v>2019</v>
      </c>
      <c r="I2" s="163">
        <v>2020</v>
      </c>
    </row>
    <row r="3" spans="1:11" ht="16" thickTop="1" x14ac:dyDescent="0.2">
      <c r="A3" s="147" t="s">
        <v>2</v>
      </c>
      <c r="B3" s="164">
        <v>22379</v>
      </c>
      <c r="C3" s="164">
        <f t="shared" ref="C3:I3" si="0">B3*C5</f>
        <v>24927.296729999998</v>
      </c>
      <c r="D3" s="164">
        <f t="shared" si="0"/>
        <v>27091.085795350915</v>
      </c>
      <c r="E3" s="164">
        <f t="shared" si="0"/>
        <v>29640.763334980365</v>
      </c>
      <c r="F3" s="164">
        <f t="shared" si="0"/>
        <v>32678.200557732474</v>
      </c>
      <c r="G3" s="164">
        <f t="shared" si="0"/>
        <v>36096.340336071291</v>
      </c>
      <c r="H3" s="164">
        <f t="shared" si="0"/>
        <v>39872.017535224346</v>
      </c>
      <c r="I3" s="164">
        <f t="shared" si="0"/>
        <v>44042.630569408815</v>
      </c>
    </row>
    <row r="4" spans="1:11" x14ac:dyDescent="0.2">
      <c r="A4" s="148" t="s">
        <v>1</v>
      </c>
      <c r="B4" s="149"/>
      <c r="C4" s="395">
        <v>4.1000000000000002E-2</v>
      </c>
      <c r="D4" s="395">
        <v>4.1000000000000002E-2</v>
      </c>
      <c r="E4" s="395">
        <v>4.4999999999999998E-2</v>
      </c>
      <c r="F4" s="395">
        <v>4.4999999999999998E-2</v>
      </c>
      <c r="G4" s="395">
        <v>5.1999999999999998E-2</v>
      </c>
      <c r="H4" s="395">
        <v>5.1999999999999998E-2</v>
      </c>
      <c r="I4" s="395">
        <v>5.1999999999999998E-2</v>
      </c>
    </row>
    <row r="5" spans="1:11" x14ac:dyDescent="0.2">
      <c r="A5" s="148" t="s">
        <v>11</v>
      </c>
      <c r="B5" s="149"/>
      <c r="C5" s="165">
        <f>(1+C4)*(1+C6)</f>
        <v>1.1138699999999999</v>
      </c>
      <c r="D5" s="165">
        <f t="shared" ref="D5:I5" si="1">(1+D4)*(1+D6)</f>
        <v>1.0868039999999999</v>
      </c>
      <c r="E5" s="165">
        <f t="shared" si="1"/>
        <v>1.0941149999999999</v>
      </c>
      <c r="F5" s="165">
        <f t="shared" si="1"/>
        <v>1.1024749999999999</v>
      </c>
      <c r="G5" s="165">
        <f t="shared" si="1"/>
        <v>1.1046</v>
      </c>
      <c r="H5" s="165">
        <f t="shared" si="1"/>
        <v>1.1046</v>
      </c>
      <c r="I5" s="165">
        <f t="shared" si="1"/>
        <v>1.1046</v>
      </c>
    </row>
    <row r="6" spans="1:11" x14ac:dyDescent="0.2">
      <c r="A6" s="152" t="s">
        <v>113</v>
      </c>
      <c r="B6" s="392">
        <v>7.5999999999999998E-2</v>
      </c>
      <c r="C6" s="392">
        <v>7.0000000000000007E-2</v>
      </c>
      <c r="D6" s="392">
        <v>4.3999999999999997E-2</v>
      </c>
      <c r="E6" s="392">
        <v>4.7E-2</v>
      </c>
      <c r="F6" s="392">
        <v>5.5E-2</v>
      </c>
      <c r="G6" s="392">
        <v>0.05</v>
      </c>
      <c r="H6" s="392">
        <v>0.05</v>
      </c>
      <c r="I6" s="392">
        <v>0.05</v>
      </c>
    </row>
    <row r="7" spans="1:11" x14ac:dyDescent="0.2">
      <c r="A7" s="147" t="s">
        <v>22</v>
      </c>
      <c r="B7" s="166">
        <v>9.9000000000000005E-2</v>
      </c>
      <c r="C7" s="166">
        <v>0.104</v>
      </c>
      <c r="D7" s="166">
        <v>0.111</v>
      </c>
      <c r="E7" s="166">
        <v>0.122</v>
      </c>
      <c r="F7" s="166">
        <v>0.13100000000000001</v>
      </c>
      <c r="G7" s="166">
        <v>0.13900000000000001</v>
      </c>
      <c r="H7" s="166">
        <v>0.14599999999999999</v>
      </c>
      <c r="I7" s="166">
        <v>0.14699999999999999</v>
      </c>
    </row>
    <row r="8" spans="1:11" x14ac:dyDescent="0.2">
      <c r="A8" s="147" t="s">
        <v>33</v>
      </c>
      <c r="B8" s="394">
        <v>7.3999999999999996E-2</v>
      </c>
      <c r="C8" s="394">
        <v>8.5999999999999993E-2</v>
      </c>
      <c r="D8" s="394">
        <v>4.3999999999999997E-2</v>
      </c>
      <c r="E8" s="394">
        <v>4.7E-2</v>
      </c>
      <c r="F8" s="394">
        <v>5.5E-2</v>
      </c>
      <c r="G8" s="394">
        <v>0.05</v>
      </c>
      <c r="H8" s="394">
        <v>0.05</v>
      </c>
      <c r="I8" s="394">
        <v>0.05</v>
      </c>
    </row>
    <row r="9" spans="1:11" x14ac:dyDescent="0.2">
      <c r="A9" s="147" t="s">
        <v>24</v>
      </c>
      <c r="B9" s="167"/>
      <c r="C9" s="393">
        <v>0.02</v>
      </c>
      <c r="D9" s="393">
        <v>0.02</v>
      </c>
      <c r="E9" s="393">
        <v>0.02</v>
      </c>
      <c r="F9" s="393">
        <v>0.02</v>
      </c>
      <c r="G9" s="393">
        <v>0.02</v>
      </c>
      <c r="H9" s="393">
        <v>0.02</v>
      </c>
      <c r="I9" s="393">
        <v>0.02</v>
      </c>
    </row>
    <row r="10" spans="1:11" x14ac:dyDescent="0.2">
      <c r="A10" s="147" t="s">
        <v>44</v>
      </c>
      <c r="B10" s="167"/>
      <c r="C10" s="280">
        <f t="shared" ref="C10:I10" si="2">C8-C9</f>
        <v>6.5999999999999989E-2</v>
      </c>
      <c r="D10" s="280">
        <f t="shared" si="2"/>
        <v>2.3999999999999997E-2</v>
      </c>
      <c r="E10" s="280">
        <f t="shared" si="2"/>
        <v>2.7E-2</v>
      </c>
      <c r="F10" s="280">
        <f t="shared" si="2"/>
        <v>3.5000000000000003E-2</v>
      </c>
      <c r="G10" s="280">
        <f t="shared" si="2"/>
        <v>3.0000000000000002E-2</v>
      </c>
      <c r="H10" s="280">
        <f t="shared" si="2"/>
        <v>3.0000000000000002E-2</v>
      </c>
      <c r="I10" s="280">
        <f t="shared" si="2"/>
        <v>3.0000000000000002E-2</v>
      </c>
    </row>
    <row r="11" spans="1:11" x14ac:dyDescent="0.2">
      <c r="A11" s="147" t="s">
        <v>45</v>
      </c>
      <c r="B11" s="167"/>
      <c r="C11" s="181">
        <f>1+C10</f>
        <v>1.0660000000000001</v>
      </c>
      <c r="D11" s="181">
        <f t="shared" ref="D11:I11" si="3">1+D10</f>
        <v>1.024</v>
      </c>
      <c r="E11" s="181">
        <f t="shared" si="3"/>
        <v>1.0269999999999999</v>
      </c>
      <c r="F11" s="181">
        <f t="shared" si="3"/>
        <v>1.0349999999999999</v>
      </c>
      <c r="G11" s="181">
        <f t="shared" si="3"/>
        <v>1.03</v>
      </c>
      <c r="H11" s="181">
        <f t="shared" si="3"/>
        <v>1.03</v>
      </c>
      <c r="I11" s="181">
        <f t="shared" si="3"/>
        <v>1.03</v>
      </c>
    </row>
    <row r="12" spans="1:11" x14ac:dyDescent="0.2">
      <c r="A12" s="148" t="s">
        <v>46</v>
      </c>
      <c r="B12" s="417">
        <f>1+B8</f>
        <v>1.0740000000000001</v>
      </c>
      <c r="C12" s="417">
        <f t="shared" ref="C12:I12" si="4">1+C8</f>
        <v>1.0860000000000001</v>
      </c>
      <c r="D12" s="417">
        <f t="shared" si="4"/>
        <v>1.044</v>
      </c>
      <c r="E12" s="417">
        <f t="shared" si="4"/>
        <v>1.0469999999999999</v>
      </c>
      <c r="F12" s="417">
        <f t="shared" si="4"/>
        <v>1.0549999999999999</v>
      </c>
      <c r="G12" s="417">
        <f t="shared" si="4"/>
        <v>1.05</v>
      </c>
      <c r="H12" s="417">
        <f t="shared" si="4"/>
        <v>1.05</v>
      </c>
      <c r="I12" s="417">
        <f t="shared" si="4"/>
        <v>1.05</v>
      </c>
    </row>
    <row r="13" spans="1:11" ht="16" x14ac:dyDescent="0.2">
      <c r="A13" s="131"/>
      <c r="B13" s="168"/>
      <c r="C13" s="168"/>
      <c r="D13" s="168"/>
      <c r="E13" s="168"/>
      <c r="F13" s="168"/>
      <c r="G13" s="168"/>
      <c r="H13" s="168"/>
      <c r="I13" s="168"/>
    </row>
    <row r="14" spans="1:11" ht="30" x14ac:dyDescent="0.2">
      <c r="A14" s="152" t="s">
        <v>103</v>
      </c>
      <c r="B14" s="166">
        <v>8.5819393946733102E-2</v>
      </c>
      <c r="C14" s="166">
        <v>8.5819393946733102E-2</v>
      </c>
      <c r="D14" s="166">
        <v>8.5819393946733102E-2</v>
      </c>
      <c r="E14" s="166">
        <v>8.5819393946733102E-2</v>
      </c>
      <c r="F14" s="166">
        <v>8.5819393946733102E-2</v>
      </c>
      <c r="G14" s="166">
        <v>8.5819393946733102E-2</v>
      </c>
      <c r="H14" s="166">
        <v>8.5819393946733102E-2</v>
      </c>
      <c r="I14" s="166">
        <v>8.5819393946733102E-2</v>
      </c>
      <c r="K14" s="203"/>
    </row>
    <row r="15" spans="1:11" ht="30" x14ac:dyDescent="0.2">
      <c r="A15" s="154" t="s">
        <v>52</v>
      </c>
      <c r="B15" s="166">
        <f>B14/$B$7</f>
        <v>0.86686256511851612</v>
      </c>
      <c r="C15" s="166">
        <f t="shared" ref="C15:G15" si="5">C14/$B$7</f>
        <v>0.86686256511851612</v>
      </c>
      <c r="D15" s="166">
        <f t="shared" si="5"/>
        <v>0.86686256511851612</v>
      </c>
      <c r="E15" s="166">
        <f t="shared" si="5"/>
        <v>0.86686256511851612</v>
      </c>
      <c r="F15" s="166">
        <f t="shared" si="5"/>
        <v>0.86686256511851612</v>
      </c>
      <c r="G15" s="166">
        <f t="shared" si="5"/>
        <v>0.86686256511851612</v>
      </c>
      <c r="H15" s="166">
        <f>H14/$B$7</f>
        <v>0.86686256511851612</v>
      </c>
      <c r="I15" s="166">
        <f t="shared" ref="I15" si="6">I14/$B$7</f>
        <v>0.86686256511851612</v>
      </c>
      <c r="K15" s="204"/>
    </row>
    <row r="16" spans="1:11" x14ac:dyDescent="0.2">
      <c r="A16" s="150" t="s">
        <v>31</v>
      </c>
      <c r="B16" s="166">
        <f t="shared" ref="B16:I16" si="7">B15*B7</f>
        <v>8.5819393946733102E-2</v>
      </c>
      <c r="C16" s="166">
        <f t="shared" si="7"/>
        <v>9.0153706772325676E-2</v>
      </c>
      <c r="D16" s="166">
        <f t="shared" si="7"/>
        <v>9.6221744728155284E-2</v>
      </c>
      <c r="E16" s="166">
        <f t="shared" si="7"/>
        <v>0.10575723294445896</v>
      </c>
      <c r="F16" s="166">
        <f t="shared" si="7"/>
        <v>0.11355899603052562</v>
      </c>
      <c r="G16" s="166">
        <f t="shared" si="7"/>
        <v>0.12049389655147374</v>
      </c>
      <c r="H16" s="166">
        <f t="shared" si="7"/>
        <v>0.12656193450730335</v>
      </c>
      <c r="I16" s="166">
        <f t="shared" si="7"/>
        <v>0.12742879707242186</v>
      </c>
      <c r="K16" s="205"/>
    </row>
    <row r="17" spans="1:11" x14ac:dyDescent="0.2">
      <c r="A17" s="147" t="s">
        <v>23</v>
      </c>
      <c r="B17" s="169">
        <v>0.01</v>
      </c>
      <c r="C17" s="169">
        <v>0.01</v>
      </c>
      <c r="D17" s="169">
        <v>0.01</v>
      </c>
      <c r="E17" s="169">
        <v>0.01</v>
      </c>
      <c r="F17" s="169">
        <v>0.01</v>
      </c>
      <c r="G17" s="169">
        <v>0.01</v>
      </c>
      <c r="H17" s="169">
        <v>0.01</v>
      </c>
      <c r="I17" s="169">
        <v>0.01</v>
      </c>
      <c r="K17" s="206"/>
    </row>
    <row r="18" spans="1:11" x14ac:dyDescent="0.2">
      <c r="A18" s="201" t="s">
        <v>90</v>
      </c>
      <c r="B18" s="170">
        <v>0.01</v>
      </c>
      <c r="C18" s="170">
        <v>0.01</v>
      </c>
      <c r="D18" s="170">
        <v>0.01</v>
      </c>
      <c r="E18" s="170">
        <v>0.01</v>
      </c>
      <c r="F18" s="170">
        <v>0.01</v>
      </c>
      <c r="G18" s="170">
        <v>0.01</v>
      </c>
      <c r="H18" s="170">
        <v>0.01</v>
      </c>
      <c r="I18" s="170">
        <v>0.01</v>
      </c>
      <c r="K18" s="207"/>
    </row>
    <row r="19" spans="1:11" ht="30" x14ac:dyDescent="0.2">
      <c r="A19" s="147" t="s">
        <v>18</v>
      </c>
      <c r="B19" s="280">
        <v>0.57499999999999996</v>
      </c>
      <c r="C19" s="280">
        <v>0.57499999999999996</v>
      </c>
      <c r="D19" s="280">
        <v>0.57499999999999996</v>
      </c>
      <c r="E19" s="280">
        <v>0.57499999999999996</v>
      </c>
      <c r="F19" s="280">
        <v>0.57499999999999996</v>
      </c>
      <c r="G19" s="280">
        <v>0.57499999999999996</v>
      </c>
      <c r="H19" s="280">
        <v>0.57499999999999996</v>
      </c>
      <c r="I19" s="280">
        <v>0.57499999999999996</v>
      </c>
      <c r="K19" s="206"/>
    </row>
    <row r="20" spans="1:11" x14ac:dyDescent="0.2">
      <c r="A20" s="153" t="s">
        <v>51</v>
      </c>
      <c r="B20" s="281">
        <v>0.51739999999999997</v>
      </c>
      <c r="C20" s="281">
        <v>0.51739999999999997</v>
      </c>
      <c r="D20" s="281">
        <v>0.51739999999999997</v>
      </c>
      <c r="E20" s="281">
        <v>0.51739999999999997</v>
      </c>
      <c r="F20" s="281">
        <v>0.51739999999999997</v>
      </c>
      <c r="G20" s="281">
        <v>0.51739999999999997</v>
      </c>
      <c r="H20" s="281">
        <v>0.51739999999999997</v>
      </c>
      <c r="I20" s="281">
        <v>0.51739999999999997</v>
      </c>
      <c r="K20" s="208"/>
    </row>
    <row r="21" spans="1:11" x14ac:dyDescent="0.2">
      <c r="A21" s="153" t="s">
        <v>56</v>
      </c>
      <c r="B21" s="171">
        <v>0</v>
      </c>
      <c r="C21" s="171">
        <v>0</v>
      </c>
      <c r="D21" s="171">
        <v>0</v>
      </c>
      <c r="E21" s="171">
        <v>0</v>
      </c>
      <c r="F21" s="171">
        <v>0</v>
      </c>
      <c r="G21" s="171">
        <v>0</v>
      </c>
      <c r="H21" s="171">
        <v>0</v>
      </c>
      <c r="I21" s="171">
        <v>0</v>
      </c>
      <c r="K21" s="208"/>
    </row>
    <row r="22" spans="1:11" ht="16" x14ac:dyDescent="0.2">
      <c r="A22" s="129"/>
      <c r="B22" s="172"/>
      <c r="C22" s="172"/>
      <c r="D22" s="172"/>
      <c r="E22" s="172"/>
      <c r="F22" s="172"/>
      <c r="G22" s="172"/>
      <c r="H22" s="172"/>
      <c r="I22" s="172"/>
    </row>
    <row r="23" spans="1:11" ht="30" x14ac:dyDescent="0.2">
      <c r="A23" s="147" t="s">
        <v>34</v>
      </c>
      <c r="B23" s="166">
        <f t="shared" ref="B23:I23" si="8">(150.723/$B$3)/$B$7</f>
        <v>6.8030499372382397E-2</v>
      </c>
      <c r="C23" s="166">
        <f t="shared" si="8"/>
        <v>6.8030499372382397E-2</v>
      </c>
      <c r="D23" s="166">
        <f t="shared" si="8"/>
        <v>6.8030499372382397E-2</v>
      </c>
      <c r="E23" s="166">
        <f t="shared" si="8"/>
        <v>6.8030499372382397E-2</v>
      </c>
      <c r="F23" s="166">
        <f t="shared" si="8"/>
        <v>6.8030499372382397E-2</v>
      </c>
      <c r="G23" s="166">
        <f t="shared" si="8"/>
        <v>6.8030499372382397E-2</v>
      </c>
      <c r="H23" s="166">
        <f t="shared" si="8"/>
        <v>6.8030499372382397E-2</v>
      </c>
      <c r="I23" s="166">
        <f t="shared" si="8"/>
        <v>6.8030499372382397E-2</v>
      </c>
      <c r="K23" s="206"/>
    </row>
    <row r="24" spans="1:11" x14ac:dyDescent="0.2">
      <c r="A24" s="147" t="s">
        <v>20</v>
      </c>
      <c r="B24" s="166">
        <f t="shared" ref="B24:I24" si="9">B7*B23</f>
        <v>6.7350194378658574E-3</v>
      </c>
      <c r="C24" s="166">
        <f t="shared" si="9"/>
        <v>7.075171934727769E-3</v>
      </c>
      <c r="D24" s="166">
        <f t="shared" si="9"/>
        <v>7.5513854303344459E-3</v>
      </c>
      <c r="E24" s="166">
        <f t="shared" si="9"/>
        <v>8.2997209234306514E-3</v>
      </c>
      <c r="F24" s="166">
        <f t="shared" si="9"/>
        <v>8.9119954177820943E-3</v>
      </c>
      <c r="G24" s="166">
        <f t="shared" si="9"/>
        <v>9.4562394127611533E-3</v>
      </c>
      <c r="H24" s="166">
        <f t="shared" si="9"/>
        <v>9.9324529083678285E-3</v>
      </c>
      <c r="I24" s="166">
        <f t="shared" si="9"/>
        <v>1.0000483407740212E-2</v>
      </c>
      <c r="K24" s="209"/>
    </row>
    <row r="25" spans="1:11" ht="45" x14ac:dyDescent="0.2">
      <c r="A25" s="155" t="s">
        <v>108</v>
      </c>
      <c r="B25" s="166">
        <f t="shared" ref="B25:I25" si="10">78.38663/(78.38663+68.697334)</f>
        <v>0.53293797548181399</v>
      </c>
      <c r="C25" s="166">
        <f t="shared" si="10"/>
        <v>0.53293797548181399</v>
      </c>
      <c r="D25" s="166">
        <f t="shared" si="10"/>
        <v>0.53293797548181399</v>
      </c>
      <c r="E25" s="166">
        <f t="shared" si="10"/>
        <v>0.53293797548181399</v>
      </c>
      <c r="F25" s="166">
        <f t="shared" si="10"/>
        <v>0.53293797548181399</v>
      </c>
      <c r="G25" s="166">
        <f t="shared" si="10"/>
        <v>0.53293797548181399</v>
      </c>
      <c r="H25" s="166">
        <f t="shared" si="10"/>
        <v>0.53293797548181399</v>
      </c>
      <c r="I25" s="166">
        <f t="shared" si="10"/>
        <v>0.53293797548181399</v>
      </c>
      <c r="K25" s="207"/>
    </row>
    <row r="26" spans="1:11" ht="16" x14ac:dyDescent="0.2">
      <c r="A26" s="129"/>
      <c r="B26" s="172"/>
      <c r="C26" s="172"/>
      <c r="D26" s="172"/>
      <c r="E26" s="172"/>
      <c r="F26" s="172"/>
      <c r="G26" s="172"/>
      <c r="H26" s="172"/>
      <c r="I26" s="172"/>
    </row>
    <row r="27" spans="1:11" x14ac:dyDescent="0.2">
      <c r="A27" s="155" t="s">
        <v>53</v>
      </c>
      <c r="B27" s="173">
        <f>(0.490321/$B$3)/$B$7</f>
        <v>2.2131182687954663E-4</v>
      </c>
      <c r="C27" s="173">
        <f t="shared" ref="C27:I27" si="11">(0.490321/$B$3)/$B$7</f>
        <v>2.2131182687954663E-4</v>
      </c>
      <c r="D27" s="173">
        <f t="shared" si="11"/>
        <v>2.2131182687954663E-4</v>
      </c>
      <c r="E27" s="173">
        <f t="shared" si="11"/>
        <v>2.2131182687954663E-4</v>
      </c>
      <c r="F27" s="173">
        <f t="shared" si="11"/>
        <v>2.2131182687954663E-4</v>
      </c>
      <c r="G27" s="173">
        <f t="shared" si="11"/>
        <v>2.2131182687954663E-4</v>
      </c>
      <c r="H27" s="173">
        <f t="shared" si="11"/>
        <v>2.2131182687954663E-4</v>
      </c>
      <c r="I27" s="173">
        <f t="shared" si="11"/>
        <v>2.2131182687954663E-4</v>
      </c>
      <c r="K27" s="207"/>
    </row>
    <row r="28" spans="1:11" x14ac:dyDescent="0.2">
      <c r="A28" s="147" t="s">
        <v>35</v>
      </c>
      <c r="B28" s="174">
        <f t="shared" ref="B28:I28" si="12">B27*B7</f>
        <v>2.1909870861075117E-5</v>
      </c>
      <c r="C28" s="174">
        <f t="shared" si="12"/>
        <v>2.3016429995472847E-5</v>
      </c>
      <c r="D28" s="174">
        <f t="shared" si="12"/>
        <v>2.4565612783629675E-5</v>
      </c>
      <c r="E28" s="174">
        <f t="shared" si="12"/>
        <v>2.7000042879304686E-5</v>
      </c>
      <c r="F28" s="174">
        <f t="shared" si="12"/>
        <v>2.8991849321220609E-5</v>
      </c>
      <c r="G28" s="174">
        <f t="shared" si="12"/>
        <v>3.0762343936256985E-5</v>
      </c>
      <c r="H28" s="174">
        <f t="shared" si="12"/>
        <v>3.2311526724413803E-5</v>
      </c>
      <c r="I28" s="174">
        <f t="shared" si="12"/>
        <v>3.2532838551293351E-5</v>
      </c>
      <c r="K28" s="210"/>
    </row>
    <row r="29" spans="1:11" x14ac:dyDescent="0.2">
      <c r="A29" s="148" t="s">
        <v>42</v>
      </c>
      <c r="B29" s="166">
        <f t="shared" ref="B29:I29" si="13">B28*B3</f>
        <v>0.49032100000000006</v>
      </c>
      <c r="C29" s="166">
        <f t="shared" si="13"/>
        <v>0.57373738016242415</v>
      </c>
      <c r="D29" s="166">
        <f t="shared" si="13"/>
        <v>0.66550912353668079</v>
      </c>
      <c r="E29" s="166">
        <f t="shared" si="13"/>
        <v>0.80030188101979205</v>
      </c>
      <c r="F29" s="166">
        <f t="shared" si="13"/>
        <v>0.94740146665840719</v>
      </c>
      <c r="G29" s="166">
        <f t="shared" si="13"/>
        <v>1.110408036258411</v>
      </c>
      <c r="H29" s="166">
        <f t="shared" si="13"/>
        <v>1.2883257601456972</v>
      </c>
      <c r="I29" s="166">
        <f t="shared" si="13"/>
        <v>1.4328317896888341</v>
      </c>
      <c r="K29" s="211"/>
    </row>
    <row r="30" spans="1:11" x14ac:dyDescent="0.2">
      <c r="A30" s="148" t="s">
        <v>43</v>
      </c>
      <c r="B30" s="167">
        <v>0</v>
      </c>
      <c r="C30" s="167">
        <v>0</v>
      </c>
      <c r="D30" s="167">
        <v>0</v>
      </c>
      <c r="E30" s="167">
        <v>0</v>
      </c>
      <c r="F30" s="167">
        <v>0</v>
      </c>
      <c r="G30" s="167">
        <v>0</v>
      </c>
      <c r="H30" s="167">
        <v>0</v>
      </c>
      <c r="I30" s="167">
        <v>0</v>
      </c>
      <c r="K30" s="211"/>
    </row>
    <row r="31" spans="1:11" x14ac:dyDescent="0.2">
      <c r="A31" s="152" t="s">
        <v>106</v>
      </c>
      <c r="B31" s="175">
        <v>5.117</v>
      </c>
      <c r="C31" s="175">
        <v>0</v>
      </c>
      <c r="D31" s="175">
        <v>0</v>
      </c>
      <c r="E31" s="175">
        <v>0</v>
      </c>
      <c r="F31" s="175">
        <f>B31*C12*D12*E12*F12</f>
        <v>6.4083302117578791</v>
      </c>
      <c r="G31" s="175">
        <f>F31*G12</f>
        <v>6.7287467223457735</v>
      </c>
      <c r="H31" s="175">
        <f>G31*H12</f>
        <v>7.0651840584630623</v>
      </c>
      <c r="I31" s="175">
        <f>H31*I12</f>
        <v>7.4184432613862157</v>
      </c>
      <c r="K31" s="211"/>
    </row>
    <row r="32" spans="1:11" x14ac:dyDescent="0.2">
      <c r="A32" s="152" t="s">
        <v>107</v>
      </c>
      <c r="B32" s="175">
        <v>0</v>
      </c>
      <c r="C32" s="175">
        <v>0</v>
      </c>
      <c r="D32" s="175">
        <v>0</v>
      </c>
      <c r="E32" s="175">
        <v>0</v>
      </c>
      <c r="F32" s="175">
        <f>($B$31*$C$12+$B$31*$C$12*$D$12+$B$31*$C$12*$D$12*$E$12)/4</f>
        <v>4.3582203435539997</v>
      </c>
      <c r="G32" s="175">
        <f t="shared" ref="G32:H32" si="14">($B$31*$C$12+$B$31*$C$12*$D$12+$B$31*$C$12*$D$12*$E$12)/4</f>
        <v>4.3582203435539997</v>
      </c>
      <c r="H32" s="175">
        <f t="shared" si="14"/>
        <v>4.3582203435539997</v>
      </c>
      <c r="I32" s="175">
        <f>($B$31*$C$12+$B$31*$C$12*$D$12+$B$31*$C$12*$D$12*$E$12)/4</f>
        <v>4.3582203435539997</v>
      </c>
      <c r="K32" s="203"/>
    </row>
    <row r="33" spans="1:11" ht="30" x14ac:dyDescent="0.2">
      <c r="A33" s="152" t="s">
        <v>99</v>
      </c>
      <c r="B33" s="175">
        <f t="shared" ref="B33:E33" si="15">B32+B31</f>
        <v>5.117</v>
      </c>
      <c r="C33" s="175">
        <f t="shared" si="15"/>
        <v>0</v>
      </c>
      <c r="D33" s="175">
        <f t="shared" si="15"/>
        <v>0</v>
      </c>
      <c r="E33" s="175">
        <f t="shared" si="15"/>
        <v>0</v>
      </c>
      <c r="F33" s="175">
        <f>F32+F31</f>
        <v>10.766550555311879</v>
      </c>
      <c r="G33" s="175">
        <f>G32+G31</f>
        <v>11.086967065899774</v>
      </c>
      <c r="H33" s="175">
        <f>H32+H31</f>
        <v>11.423404402017063</v>
      </c>
      <c r="I33" s="175">
        <f>I32+I31</f>
        <v>11.776663604940214</v>
      </c>
      <c r="K33" s="212"/>
    </row>
    <row r="34" spans="1:11" ht="30" x14ac:dyDescent="0.2">
      <c r="A34" s="152" t="s">
        <v>82</v>
      </c>
      <c r="B34" s="213">
        <f>(7.360788/$B$3)/$B$7</f>
        <v>3.3223733830552724E-3</v>
      </c>
      <c r="C34" s="213">
        <f t="shared" ref="C34:I34" si="16">(7.360788/$B$3)/$B$7</f>
        <v>3.3223733830552724E-3</v>
      </c>
      <c r="D34" s="213">
        <f t="shared" si="16"/>
        <v>3.3223733830552724E-3</v>
      </c>
      <c r="E34" s="213">
        <f t="shared" si="16"/>
        <v>3.3223733830552724E-3</v>
      </c>
      <c r="F34" s="213">
        <f t="shared" si="16"/>
        <v>3.3223733830552724E-3</v>
      </c>
      <c r="G34" s="213">
        <f t="shared" si="16"/>
        <v>3.3223733830552724E-3</v>
      </c>
      <c r="H34" s="213">
        <f t="shared" si="16"/>
        <v>3.3223733830552724E-3</v>
      </c>
      <c r="I34" s="213">
        <f t="shared" si="16"/>
        <v>3.3223733830552724E-3</v>
      </c>
      <c r="K34" s="203"/>
    </row>
    <row r="35" spans="1:11" x14ac:dyDescent="0.2">
      <c r="A35" s="152" t="s">
        <v>95</v>
      </c>
      <c r="B35" s="174">
        <f t="shared" ref="B35:I35" si="17">B34*B7</f>
        <v>3.2891496492247198E-4</v>
      </c>
      <c r="C35" s="174">
        <f t="shared" si="17"/>
        <v>3.4552683183774834E-4</v>
      </c>
      <c r="D35" s="174">
        <f t="shared" si="17"/>
        <v>3.6878344551913522E-4</v>
      </c>
      <c r="E35" s="174">
        <f t="shared" si="17"/>
        <v>4.0532955273274321E-4</v>
      </c>
      <c r="F35" s="174">
        <f t="shared" si="17"/>
        <v>4.3523091318024073E-4</v>
      </c>
      <c r="G35" s="174">
        <f t="shared" si="17"/>
        <v>4.6180990024468293E-4</v>
      </c>
      <c r="H35" s="174">
        <f t="shared" si="17"/>
        <v>4.8506651392606976E-4</v>
      </c>
      <c r="I35" s="174">
        <f t="shared" si="17"/>
        <v>4.8838888730912502E-4</v>
      </c>
      <c r="K35" s="203"/>
    </row>
    <row r="36" spans="1:11" x14ac:dyDescent="0.2">
      <c r="A36" s="147" t="s">
        <v>29</v>
      </c>
      <c r="B36" s="175">
        <f t="shared" ref="B36:I36" si="18">B35*B3</f>
        <v>7.3607880000000003</v>
      </c>
      <c r="C36" s="175">
        <f t="shared" si="18"/>
        <v>8.6130498653963627</v>
      </c>
      <c r="D36" s="175">
        <f t="shared" si="18"/>
        <v>9.9907439624640126</v>
      </c>
      <c r="E36" s="175">
        <f t="shared" si="18"/>
        <v>12.014277345224686</v>
      </c>
      <c r="F36" s="175">
        <f t="shared" si="18"/>
        <v>14.222563069828956</v>
      </c>
      <c r="G36" s="175">
        <f t="shared" si="18"/>
        <v>16.669647329799208</v>
      </c>
      <c r="H36" s="175">
        <f t="shared" si="18"/>
        <v>19.340580549010397</v>
      </c>
      <c r="I36" s="175">
        <f t="shared" si="18"/>
        <v>21.509931337960428</v>
      </c>
      <c r="K36" s="209"/>
    </row>
    <row r="37" spans="1:11" ht="16" x14ac:dyDescent="0.2">
      <c r="A37" s="134"/>
      <c r="B37" s="176"/>
      <c r="C37" s="176"/>
      <c r="D37" s="176"/>
      <c r="E37" s="176"/>
      <c r="F37" s="176"/>
      <c r="G37" s="176"/>
      <c r="H37" s="176"/>
      <c r="I37" s="176"/>
    </row>
    <row r="38" spans="1:11" ht="30" x14ac:dyDescent="0.2">
      <c r="A38" s="152" t="s">
        <v>59</v>
      </c>
      <c r="B38" s="175">
        <f>0.224501</f>
        <v>0.22450100000000001</v>
      </c>
      <c r="C38" s="175">
        <v>0</v>
      </c>
      <c r="D38" s="167">
        <v>0</v>
      </c>
      <c r="E38" s="167">
        <v>0</v>
      </c>
      <c r="F38" s="167">
        <v>0</v>
      </c>
      <c r="G38" s="167">
        <v>0</v>
      </c>
      <c r="H38" s="167">
        <v>0</v>
      </c>
      <c r="I38" s="167">
        <v>0</v>
      </c>
      <c r="K38" s="203"/>
    </row>
    <row r="39" spans="1:11" x14ac:dyDescent="0.2">
      <c r="A39" s="152" t="s">
        <v>105</v>
      </c>
      <c r="B39" s="175">
        <f>C41/C40</f>
        <v>6.4877479579929993</v>
      </c>
      <c r="C39" s="175"/>
      <c r="D39" s="167"/>
      <c r="E39" s="167"/>
      <c r="F39" s="167"/>
      <c r="G39" s="167"/>
      <c r="H39" s="167"/>
      <c r="I39" s="167"/>
      <c r="K39" s="203"/>
    </row>
    <row r="40" spans="1:11" x14ac:dyDescent="0.2">
      <c r="A40" s="155" t="s">
        <v>83</v>
      </c>
      <c r="B40" s="167"/>
      <c r="C40" s="220">
        <v>8.5699999999999998E-2</v>
      </c>
      <c r="D40" s="219">
        <v>7.8299999999999995E-2</v>
      </c>
      <c r="E40" s="220">
        <v>6.4799999999999996E-2</v>
      </c>
      <c r="F40" s="220">
        <v>6.4799999999999996E-2</v>
      </c>
      <c r="G40" s="220">
        <v>6.4799999999999996E-2</v>
      </c>
      <c r="H40" s="220">
        <v>6.4799999999999996E-2</v>
      </c>
      <c r="I40" s="220">
        <v>6.4799999999999996E-2</v>
      </c>
      <c r="K40" s="206"/>
    </row>
    <row r="41" spans="1:11" x14ac:dyDescent="0.2">
      <c r="A41" s="155" t="s">
        <v>104</v>
      </c>
      <c r="B41" s="167"/>
      <c r="C41" s="177">
        <v>0.55600000000000005</v>
      </c>
      <c r="D41" s="177"/>
      <c r="E41" s="177"/>
      <c r="F41" s="177"/>
      <c r="G41" s="177"/>
      <c r="H41" s="177"/>
      <c r="I41" s="177"/>
      <c r="K41" s="206"/>
    </row>
    <row r="42" spans="1:11" x14ac:dyDescent="0.2">
      <c r="A42" s="155" t="s">
        <v>62</v>
      </c>
      <c r="B42" s="181">
        <f>7.297024</f>
        <v>7.2970240000000004</v>
      </c>
      <c r="C42" s="181">
        <f>B42*Assumptions!C11</f>
        <v>7.7786275840000005</v>
      </c>
      <c r="D42" s="181">
        <f>C42*Assumptions!D11</f>
        <v>7.9653146460160009</v>
      </c>
      <c r="E42" s="181">
        <f>D42*Assumptions!E11</f>
        <v>8.1803781414584318</v>
      </c>
      <c r="F42" s="181">
        <f>E42*Assumptions!F11</f>
        <v>8.4666913764094769</v>
      </c>
      <c r="G42" s="181">
        <f>F42*Assumptions!G11</f>
        <v>8.7206921177017609</v>
      </c>
      <c r="H42" s="181">
        <f>G42*Assumptions!H11</f>
        <v>8.9823128812328132</v>
      </c>
      <c r="I42" s="181">
        <f>H42*Assumptions!I11</f>
        <v>9.2517822676697978</v>
      </c>
      <c r="K42" s="206"/>
    </row>
    <row r="43" spans="1:11" x14ac:dyDescent="0.2">
      <c r="A43" s="147" t="s">
        <v>25</v>
      </c>
      <c r="B43" s="167">
        <v>0</v>
      </c>
      <c r="C43" s="167">
        <v>0</v>
      </c>
      <c r="D43" s="167">
        <v>0</v>
      </c>
      <c r="E43" s="167">
        <v>0</v>
      </c>
      <c r="F43" s="167">
        <v>0</v>
      </c>
      <c r="G43" s="167">
        <v>0</v>
      </c>
      <c r="H43" s="167">
        <v>0</v>
      </c>
      <c r="I43" s="167">
        <v>0</v>
      </c>
      <c r="K43" s="206"/>
    </row>
    <row r="44" spans="1:11" x14ac:dyDescent="0.2">
      <c r="A44" s="147" t="s">
        <v>26</v>
      </c>
      <c r="B44" s="167">
        <f>0.00006</f>
        <v>6.0000000000000002E-5</v>
      </c>
      <c r="C44" s="167">
        <v>0</v>
      </c>
      <c r="D44" s="167">
        <v>0</v>
      </c>
      <c r="E44" s="167">
        <v>0</v>
      </c>
      <c r="F44" s="167">
        <v>0</v>
      </c>
      <c r="G44" s="167">
        <v>0</v>
      </c>
      <c r="H44" s="167">
        <v>0</v>
      </c>
      <c r="I44" s="167">
        <v>0</v>
      </c>
      <c r="K44" s="206"/>
    </row>
    <row r="45" spans="1:11" ht="16" x14ac:dyDescent="0.2">
      <c r="A45" s="134"/>
      <c r="B45" s="176"/>
      <c r="C45" s="176"/>
      <c r="D45" s="176"/>
      <c r="E45" s="176"/>
      <c r="F45" s="176"/>
      <c r="G45" s="176"/>
      <c r="H45" s="176"/>
      <c r="I45" s="176"/>
    </row>
    <row r="46" spans="1:11" ht="30" x14ac:dyDescent="0.2">
      <c r="A46" s="152" t="s">
        <v>54</v>
      </c>
      <c r="B46" s="173">
        <f>32.169177/$B$3</f>
        <v>1.43747160284195E-3</v>
      </c>
      <c r="C46" s="173">
        <f t="shared" ref="C46:I46" si="19">32.169177/$B$3</f>
        <v>1.43747160284195E-3</v>
      </c>
      <c r="D46" s="173">
        <f t="shared" si="19"/>
        <v>1.43747160284195E-3</v>
      </c>
      <c r="E46" s="173">
        <f t="shared" si="19"/>
        <v>1.43747160284195E-3</v>
      </c>
      <c r="F46" s="173">
        <f t="shared" si="19"/>
        <v>1.43747160284195E-3</v>
      </c>
      <c r="G46" s="173">
        <f t="shared" si="19"/>
        <v>1.43747160284195E-3</v>
      </c>
      <c r="H46" s="173">
        <f t="shared" si="19"/>
        <v>1.43747160284195E-3</v>
      </c>
      <c r="I46" s="173">
        <f t="shared" si="19"/>
        <v>1.43747160284195E-3</v>
      </c>
    </row>
    <row r="47" spans="1:11" ht="16" x14ac:dyDescent="0.2">
      <c r="A47" s="136"/>
      <c r="B47" s="178"/>
      <c r="C47" s="178"/>
      <c r="D47" s="178"/>
      <c r="E47" s="178"/>
      <c r="F47" s="178"/>
      <c r="G47" s="178"/>
      <c r="H47" s="178"/>
      <c r="I47" s="178"/>
    </row>
    <row r="48" spans="1:11" x14ac:dyDescent="0.2">
      <c r="A48" s="152" t="s">
        <v>91</v>
      </c>
      <c r="B48" s="395">
        <v>3.9E-2</v>
      </c>
      <c r="C48" s="395">
        <v>4.2500000000000003E-2</v>
      </c>
      <c r="D48" s="395">
        <v>4.5999999999999999E-2</v>
      </c>
      <c r="E48" s="395">
        <v>4.6800000000000001E-2</v>
      </c>
      <c r="F48" s="395">
        <v>4.7600000000000003E-2</v>
      </c>
      <c r="G48" s="395">
        <v>4.8399999999999999E-2</v>
      </c>
      <c r="H48" s="395">
        <v>4.9200000000000001E-2</v>
      </c>
      <c r="I48" s="395">
        <v>0.05</v>
      </c>
    </row>
    <row r="49" spans="1:9" ht="16" x14ac:dyDescent="0.2">
      <c r="A49" s="131"/>
      <c r="B49" s="168"/>
      <c r="C49" s="168"/>
      <c r="D49" s="168"/>
      <c r="E49" s="168"/>
      <c r="F49" s="168"/>
      <c r="G49" s="168"/>
      <c r="H49" s="168"/>
      <c r="I49" s="168"/>
    </row>
    <row r="50" spans="1:9" x14ac:dyDescent="0.2">
      <c r="A50" s="396" t="s">
        <v>114</v>
      </c>
      <c r="B50" s="397">
        <v>7.9801378233282039E-2</v>
      </c>
      <c r="C50" s="397">
        <v>7.9801378233282039E-2</v>
      </c>
      <c r="D50" s="397">
        <v>7.9801378233282039E-2</v>
      </c>
      <c r="E50" s="397">
        <v>7.9801378233282039E-2</v>
      </c>
      <c r="F50" s="397">
        <v>7.9801378233282039E-2</v>
      </c>
      <c r="G50" s="397">
        <v>7.9801378233282039E-2</v>
      </c>
      <c r="H50" s="397">
        <v>7.9801378233282039E-2</v>
      </c>
      <c r="I50" s="397">
        <v>7.9801378233282039E-2</v>
      </c>
    </row>
    <row r="51" spans="1:9" x14ac:dyDescent="0.2">
      <c r="A51" s="148" t="s">
        <v>36</v>
      </c>
      <c r="B51" s="151">
        <f t="shared" ref="B51:I51" si="20">1+B50</f>
        <v>1.079801378233282</v>
      </c>
      <c r="C51" s="151">
        <f t="shared" si="20"/>
        <v>1.079801378233282</v>
      </c>
      <c r="D51" s="151">
        <f t="shared" si="20"/>
        <v>1.079801378233282</v>
      </c>
      <c r="E51" s="151">
        <f t="shared" si="20"/>
        <v>1.079801378233282</v>
      </c>
      <c r="F51" s="151">
        <f t="shared" si="20"/>
        <v>1.079801378233282</v>
      </c>
      <c r="G51" s="151">
        <f t="shared" si="20"/>
        <v>1.079801378233282</v>
      </c>
      <c r="H51" s="151">
        <f t="shared" si="20"/>
        <v>1.079801378233282</v>
      </c>
      <c r="I51" s="151">
        <f t="shared" si="20"/>
        <v>1.079801378233282</v>
      </c>
    </row>
    <row r="52" spans="1:9" x14ac:dyDescent="0.2">
      <c r="A52" s="152" t="s">
        <v>115</v>
      </c>
      <c r="B52" s="149"/>
      <c r="C52" s="392">
        <v>0.13100000000000001</v>
      </c>
      <c r="D52" s="392">
        <v>0.13100000000000001</v>
      </c>
      <c r="E52" s="392">
        <v>0.13100000000000001</v>
      </c>
      <c r="F52" s="392">
        <v>0.13100000000000001</v>
      </c>
      <c r="G52" s="392">
        <v>0.13100000000000001</v>
      </c>
      <c r="H52" s="392">
        <v>0.13100000000000001</v>
      </c>
      <c r="I52" s="392">
        <v>0.13100000000000001</v>
      </c>
    </row>
    <row r="53" spans="1:9" x14ac:dyDescent="0.2">
      <c r="A53" s="152" t="s">
        <v>116</v>
      </c>
      <c r="B53" s="149"/>
      <c r="C53" s="395">
        <v>1.49E-2</v>
      </c>
      <c r="D53" s="395">
        <v>1.49E-2</v>
      </c>
      <c r="E53" s="395">
        <v>1.49E-2</v>
      </c>
      <c r="F53" s="395">
        <v>1.49E-2</v>
      </c>
      <c r="G53" s="395">
        <v>1.49E-2</v>
      </c>
      <c r="H53" s="395">
        <v>1.49E-2</v>
      </c>
      <c r="I53" s="395">
        <v>1.49E-2</v>
      </c>
    </row>
    <row r="54" spans="1:9" x14ac:dyDescent="0.2">
      <c r="A54" s="147" t="s">
        <v>27</v>
      </c>
      <c r="B54" s="179">
        <f>18.09151</f>
        <v>18.09151</v>
      </c>
      <c r="C54" s="179">
        <f>MIN($B$54,Expenditures!B14)</f>
        <v>18.09151</v>
      </c>
      <c r="D54" s="179">
        <f>MIN($B$54,Expenditures!C14)</f>
        <v>18.09151</v>
      </c>
      <c r="E54" s="179">
        <f>MIN($B$54,Expenditures!D14)</f>
        <v>5.6169799999999981</v>
      </c>
      <c r="F54" s="179">
        <f>MIN($B$54,Expenditures!E14)</f>
        <v>0</v>
      </c>
      <c r="G54" s="179">
        <f>MIN($B$54,Expenditures!F14)</f>
        <v>0</v>
      </c>
      <c r="H54" s="179">
        <f>MIN($B$54,Expenditures!G14)</f>
        <v>0</v>
      </c>
      <c r="I54" s="179">
        <f>MIN($B$54,Expenditures!H14)</f>
        <v>0</v>
      </c>
    </row>
    <row r="55" spans="1:9" x14ac:dyDescent="0.2">
      <c r="A55" s="147" t="s">
        <v>28</v>
      </c>
      <c r="B55" s="180">
        <v>12.600419</v>
      </c>
      <c r="C55" s="180">
        <f t="shared" ref="C55:I55" si="21">B55*C11</f>
        <v>13.432046654000001</v>
      </c>
      <c r="D55" s="180">
        <f t="shared" si="21"/>
        <v>13.754415773696001</v>
      </c>
      <c r="E55" s="180">
        <f t="shared" si="21"/>
        <v>14.125784999585791</v>
      </c>
      <c r="F55" s="180">
        <f t="shared" si="21"/>
        <v>14.620187474571292</v>
      </c>
      <c r="G55" s="180">
        <f t="shared" si="21"/>
        <v>15.058793098808431</v>
      </c>
      <c r="H55" s="180">
        <f t="shared" si="21"/>
        <v>15.510556891772685</v>
      </c>
      <c r="I55" s="180">
        <f t="shared" si="21"/>
        <v>15.975873598525867</v>
      </c>
    </row>
    <row r="56" spans="1:9" ht="56" x14ac:dyDescent="0.2">
      <c r="A56" s="199" t="s">
        <v>100</v>
      </c>
      <c r="B56" s="181">
        <f>16.754165</f>
        <v>16.754165</v>
      </c>
      <c r="C56" s="181">
        <f t="shared" ref="C56:I56" si="22">B56*C11</f>
        <v>17.85993989</v>
      </c>
      <c r="D56" s="181">
        <f t="shared" si="22"/>
        <v>18.288578447359999</v>
      </c>
      <c r="E56" s="181">
        <f t="shared" si="22"/>
        <v>18.782370065438716</v>
      </c>
      <c r="F56" s="181">
        <f t="shared" si="22"/>
        <v>19.439753017729071</v>
      </c>
      <c r="G56" s="181">
        <f t="shared" si="22"/>
        <v>20.022945608260944</v>
      </c>
      <c r="H56" s="181">
        <f t="shared" si="22"/>
        <v>20.623633976508774</v>
      </c>
      <c r="I56" s="181">
        <f t="shared" si="22"/>
        <v>21.242342995804037</v>
      </c>
    </row>
    <row r="57" spans="1:9" ht="45" x14ac:dyDescent="0.2">
      <c r="A57" s="155" t="s">
        <v>92</v>
      </c>
      <c r="B57" s="278">
        <v>1.25</v>
      </c>
      <c r="C57" s="279">
        <v>1.3325</v>
      </c>
      <c r="D57" s="279">
        <v>1.3644799999999999</v>
      </c>
      <c r="E57" s="279">
        <v>1.4013209600000001</v>
      </c>
      <c r="F57" s="279">
        <v>1.4503671936</v>
      </c>
      <c r="G57" s="279">
        <v>1.4938782094080001</v>
      </c>
      <c r="H57" s="279">
        <v>1.5386945556902401</v>
      </c>
      <c r="I57" s="279">
        <v>1.5848553923609501</v>
      </c>
    </row>
    <row r="59" spans="1:9" ht="27.75" customHeight="1" x14ac:dyDescent="0.2"/>
    <row r="60" spans="1:9" ht="150" x14ac:dyDescent="0.2">
      <c r="A60" s="162" t="s">
        <v>98</v>
      </c>
    </row>
    <row r="61" spans="1:9" ht="60" x14ac:dyDescent="0.2">
      <c r="A61" s="162" t="s">
        <v>109</v>
      </c>
    </row>
  </sheetData>
  <sheetProtection password="CC1A" sheet="1" objects="1" scenarios="1"/>
  <mergeCells count="1">
    <mergeCell ref="B1:I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V59"/>
  <sheetViews>
    <sheetView workbookViewId="0"/>
  </sheetViews>
  <sheetFormatPr baseColWidth="10" defaultColWidth="9.1640625" defaultRowHeight="16" x14ac:dyDescent="0.2"/>
  <cols>
    <col min="1" max="1" width="61.1640625" style="1" customWidth="1"/>
    <col min="2" max="2" width="21.83203125" style="72" customWidth="1"/>
    <col min="3" max="4" width="12.5" style="72" customWidth="1"/>
    <col min="5" max="5" width="13" style="72" customWidth="1"/>
    <col min="6" max="6" width="13.33203125" style="72" customWidth="1"/>
    <col min="7" max="7" width="13.5" style="72" customWidth="1"/>
    <col min="8" max="8" width="12.83203125" style="72" customWidth="1"/>
    <col min="9" max="9" width="12.5" style="72" customWidth="1"/>
    <col min="10" max="10" width="15.83203125" style="1" customWidth="1"/>
    <col min="11" max="13" width="9.1640625" style="1"/>
    <col min="14" max="22" width="9.1640625" style="1" customWidth="1"/>
    <col min="23" max="26" width="9.1640625" style="1"/>
    <col min="27" max="52" width="9.1640625" style="1" customWidth="1"/>
    <col min="53" max="16384" width="9.1640625" style="1"/>
  </cols>
  <sheetData>
    <row r="1" spans="1:22" ht="21" thickBot="1" x14ac:dyDescent="0.3">
      <c r="B1" s="424" t="s">
        <v>48</v>
      </c>
      <c r="C1" s="424"/>
      <c r="D1" s="424"/>
      <c r="E1" s="424"/>
      <c r="F1" s="424"/>
      <c r="G1" s="424"/>
      <c r="H1" s="424"/>
      <c r="I1" s="424"/>
    </row>
    <row r="2" spans="1:22" ht="22" thickTop="1" thickBot="1" x14ac:dyDescent="0.3">
      <c r="A2" s="39" t="s">
        <v>0</v>
      </c>
      <c r="B2" s="104">
        <v>2013</v>
      </c>
      <c r="C2" s="104">
        <v>2014</v>
      </c>
      <c r="D2" s="104">
        <v>2015</v>
      </c>
      <c r="E2" s="104">
        <v>2016</v>
      </c>
      <c r="F2" s="104">
        <v>2017</v>
      </c>
      <c r="G2" s="104">
        <v>2018</v>
      </c>
      <c r="H2" s="104">
        <v>2019</v>
      </c>
      <c r="I2" s="104">
        <v>2020</v>
      </c>
      <c r="O2" s="7"/>
      <c r="P2" s="7"/>
      <c r="Q2" s="7"/>
      <c r="R2" s="7"/>
      <c r="S2" s="7"/>
      <c r="T2" s="7"/>
      <c r="U2" s="7"/>
      <c r="V2" s="7"/>
    </row>
    <row r="3" spans="1:22" ht="17" thickTop="1" x14ac:dyDescent="0.2">
      <c r="B3" s="54"/>
      <c r="C3" s="54"/>
      <c r="D3" s="54"/>
      <c r="E3" s="54"/>
      <c r="F3" s="54"/>
      <c r="G3" s="54"/>
      <c r="H3" s="54"/>
      <c r="I3" s="54"/>
    </row>
    <row r="4" spans="1:22" ht="18" thickBot="1" x14ac:dyDescent="0.25">
      <c r="A4" s="36" t="s">
        <v>8</v>
      </c>
      <c r="B4" s="58"/>
      <c r="C4" s="58"/>
      <c r="D4" s="58"/>
      <c r="E4" s="58"/>
      <c r="F4" s="58"/>
      <c r="G4" s="58"/>
      <c r="H4" s="58"/>
      <c r="I4" s="59"/>
    </row>
    <row r="5" spans="1:22" ht="33" thickTop="1" x14ac:dyDescent="0.2">
      <c r="A5" s="27" t="s">
        <v>57</v>
      </c>
      <c r="B5" s="56">
        <f>Assumptions!B14</f>
        <v>8.5819393946733102E-2</v>
      </c>
      <c r="C5" s="56">
        <f>Assumptions!C14</f>
        <v>8.5819393946733102E-2</v>
      </c>
      <c r="D5" s="56">
        <f>Assumptions!D14</f>
        <v>8.5819393946733102E-2</v>
      </c>
      <c r="E5" s="56">
        <f>Assumptions!E14</f>
        <v>8.5819393946733102E-2</v>
      </c>
      <c r="F5" s="56">
        <f>Assumptions!F14</f>
        <v>8.5819393946733102E-2</v>
      </c>
      <c r="G5" s="56">
        <f>Assumptions!G14</f>
        <v>8.5819393946733102E-2</v>
      </c>
      <c r="H5" s="56">
        <f>Assumptions!H14</f>
        <v>8.5819393946733102E-2</v>
      </c>
      <c r="I5" s="56">
        <f>Assumptions!I14</f>
        <v>8.5819393946733102E-2</v>
      </c>
    </row>
    <row r="6" spans="1:22" ht="29.25" customHeight="1" x14ac:dyDescent="0.2">
      <c r="A6" s="32" t="s">
        <v>31</v>
      </c>
      <c r="B6" s="60">
        <f>Assumptions!B16</f>
        <v>8.5819393946733102E-2</v>
      </c>
      <c r="C6" s="60">
        <f>Assumptions!C16</f>
        <v>9.0153706772325676E-2</v>
      </c>
      <c r="D6" s="60">
        <f>Assumptions!D16</f>
        <v>9.6221744728155284E-2</v>
      </c>
      <c r="E6" s="60">
        <f>Assumptions!E16</f>
        <v>0.10575723294445896</v>
      </c>
      <c r="F6" s="60">
        <f>Assumptions!F16</f>
        <v>0.11355899603052562</v>
      </c>
      <c r="G6" s="60">
        <f>Assumptions!G16</f>
        <v>0.12049389655147374</v>
      </c>
      <c r="H6" s="60">
        <f>Assumptions!H16</f>
        <v>0.12656193450730335</v>
      </c>
      <c r="I6" s="60">
        <f>Assumptions!I16</f>
        <v>0.12742879707242186</v>
      </c>
      <c r="O6" s="8"/>
      <c r="P6" s="8"/>
      <c r="Q6" s="8"/>
      <c r="R6" s="8"/>
      <c r="S6" s="8"/>
      <c r="T6" s="8"/>
      <c r="U6" s="8"/>
      <c r="V6" s="8"/>
    </row>
    <row r="7" spans="1:22" ht="32.25" customHeight="1" x14ac:dyDescent="0.2">
      <c r="A7" s="27" t="s">
        <v>3</v>
      </c>
      <c r="B7" s="61">
        <f>B6*Assumptions!B3</f>
        <v>1920.5522171339401</v>
      </c>
      <c r="C7" s="61">
        <f>C6*Assumptions!C3</f>
        <v>2247.2882000231725</v>
      </c>
      <c r="D7" s="61">
        <f>D6*Assumptions!D3</f>
        <v>2606.7515418088092</v>
      </c>
      <c r="E7" s="61">
        <f>E6*Assumptions!E3</f>
        <v>3134.7251126690967</v>
      </c>
      <c r="F7" s="61">
        <f>F6*Assumptions!F3</f>
        <v>3710.9036474202621</v>
      </c>
      <c r="G7" s="61">
        <f>G6*Assumptions!G3</f>
        <v>4349.3886983413631</v>
      </c>
      <c r="H7" s="61">
        <f>H6*Assumptions!H3</f>
        <v>5046.2796719671142</v>
      </c>
      <c r="I7" s="61">
        <f>I6*Assumptions!I3</f>
        <v>5612.2994333648394</v>
      </c>
      <c r="O7" s="7"/>
      <c r="P7" s="7"/>
      <c r="Q7" s="7"/>
      <c r="R7" s="7"/>
      <c r="S7" s="7"/>
      <c r="T7" s="7"/>
      <c r="U7" s="7"/>
      <c r="V7" s="7"/>
    </row>
    <row r="8" spans="1:22" ht="31.5" customHeight="1" x14ac:dyDescent="0.2">
      <c r="A8" s="27" t="s">
        <v>4</v>
      </c>
      <c r="B8" s="61">
        <f>B7-Assumptions!B17*B7</f>
        <v>1901.3466949626006</v>
      </c>
      <c r="C8" s="61">
        <f>C7-Assumptions!C17*C7</f>
        <v>2224.8153180229406</v>
      </c>
      <c r="D8" s="61">
        <f>D7-Assumptions!D17*D7</f>
        <v>2580.6840263907211</v>
      </c>
      <c r="E8" s="61">
        <f>E7-Assumptions!E17*E7</f>
        <v>3103.3778615424058</v>
      </c>
      <c r="F8" s="61">
        <f>F7-Assumptions!F17*F7</f>
        <v>3673.7946109460595</v>
      </c>
      <c r="G8" s="61">
        <f>G7-Assumptions!G17*G7</f>
        <v>4305.8948113579499</v>
      </c>
      <c r="H8" s="61">
        <f>H7-Assumptions!H17*H7</f>
        <v>4995.816875247443</v>
      </c>
      <c r="I8" s="61">
        <f>I7-Assumptions!I17*I7</f>
        <v>5556.176439031191</v>
      </c>
      <c r="O8" s="7"/>
      <c r="P8" s="7"/>
      <c r="Q8" s="7"/>
      <c r="R8" s="7"/>
      <c r="S8" s="7"/>
      <c r="T8" s="7"/>
      <c r="U8" s="7"/>
      <c r="V8" s="7"/>
    </row>
    <row r="9" spans="1:22" ht="32" x14ac:dyDescent="0.2">
      <c r="A9" s="27" t="s">
        <v>5</v>
      </c>
      <c r="B9" s="61">
        <f>B8-Assumptions!B18*B8</f>
        <v>1882.3332280129746</v>
      </c>
      <c r="C9" s="61">
        <f>C8-Assumptions!C18*C8</f>
        <v>2202.567164842711</v>
      </c>
      <c r="D9" s="61">
        <f>D8-Assumptions!D18*D8</f>
        <v>2554.8771861268137</v>
      </c>
      <c r="E9" s="61">
        <f>E8-Assumptions!E18*E8</f>
        <v>3072.3440829269816</v>
      </c>
      <c r="F9" s="61">
        <f>F8-Assumptions!F18*F8</f>
        <v>3637.0566648365989</v>
      </c>
      <c r="G9" s="61">
        <f>G8-Assumptions!G18*G8</f>
        <v>4262.8358632443706</v>
      </c>
      <c r="H9" s="61">
        <f>H8-Assumptions!H18*H8</f>
        <v>4945.8587064949688</v>
      </c>
      <c r="I9" s="61">
        <f>I8-Assumptions!I18*I8</f>
        <v>5500.6146746408795</v>
      </c>
      <c r="O9" s="7"/>
      <c r="P9" s="7"/>
      <c r="Q9" s="7"/>
      <c r="R9" s="7"/>
      <c r="S9" s="7"/>
      <c r="T9" s="7"/>
      <c r="U9" s="7"/>
      <c r="V9" s="7"/>
    </row>
    <row r="10" spans="1:22" x14ac:dyDescent="0.2">
      <c r="A10" s="27" t="s">
        <v>6</v>
      </c>
      <c r="B10" s="61">
        <f>B9*Assumptions!B19</f>
        <v>1082.3416061074604</v>
      </c>
      <c r="C10" s="61">
        <f>C9*Assumptions!C19</f>
        <v>1266.4761197845587</v>
      </c>
      <c r="D10" s="61">
        <f>D9*Assumptions!D19</f>
        <v>1469.0543820229177</v>
      </c>
      <c r="E10" s="61">
        <f>E9*Assumptions!E19</f>
        <v>1766.5978476830144</v>
      </c>
      <c r="F10" s="61">
        <f>F9*Assumptions!F19</f>
        <v>2091.3075822810442</v>
      </c>
      <c r="G10" s="61">
        <f>G9*Assumptions!G19</f>
        <v>2451.130621365513</v>
      </c>
      <c r="H10" s="61">
        <f>H9*Assumptions!H19</f>
        <v>2843.8687562346067</v>
      </c>
      <c r="I10" s="61">
        <f>I9*Assumptions!I19</f>
        <v>3162.8534379185053</v>
      </c>
      <c r="O10" s="7"/>
      <c r="P10" s="7"/>
      <c r="Q10" s="7"/>
      <c r="R10" s="7"/>
      <c r="S10" s="7"/>
      <c r="T10" s="7"/>
      <c r="U10" s="7"/>
      <c r="V10" s="7"/>
    </row>
    <row r="11" spans="1:22" ht="35.25" customHeight="1" x14ac:dyDescent="0.2">
      <c r="A11" s="27" t="s">
        <v>7</v>
      </c>
      <c r="B11" s="61">
        <f>B10*Assumptions!B20</f>
        <v>560.00354700000003</v>
      </c>
      <c r="C11" s="61">
        <f>C10*Assumptions!C20</f>
        <v>655.27474437653063</v>
      </c>
      <c r="D11" s="61">
        <f>D10*Assumptions!D20</f>
        <v>760.0887372586576</v>
      </c>
      <c r="E11" s="61">
        <f>E10*Assumptions!E20</f>
        <v>914.03772639119154</v>
      </c>
      <c r="F11" s="61">
        <f>F10*Assumptions!F20</f>
        <v>1082.0425430722123</v>
      </c>
      <c r="G11" s="61">
        <f>G10*Assumptions!G20</f>
        <v>1268.2149834945164</v>
      </c>
      <c r="H11" s="61">
        <f>H10*Assumptions!H20</f>
        <v>1471.4176944757855</v>
      </c>
      <c r="I11" s="61">
        <f>I10*Assumptions!I20</f>
        <v>1636.4603687790345</v>
      </c>
      <c r="O11" s="7"/>
      <c r="P11" s="7"/>
      <c r="Q11" s="7"/>
      <c r="R11" s="7"/>
      <c r="S11" s="7"/>
      <c r="T11" s="7"/>
      <c r="U11" s="7"/>
      <c r="V11" s="7"/>
    </row>
    <row r="12" spans="1:22" ht="34.5" customHeight="1" thickBot="1" x14ac:dyDescent="0.25">
      <c r="A12" s="105" t="s">
        <v>38</v>
      </c>
      <c r="B12" s="62">
        <f>B11-Assumptions!B21</f>
        <v>560.00354700000003</v>
      </c>
      <c r="C12" s="62">
        <f>C11-Assumptions!C21</f>
        <v>655.27474437653063</v>
      </c>
      <c r="D12" s="62">
        <f>D11-Assumptions!D21</f>
        <v>760.0887372586576</v>
      </c>
      <c r="E12" s="62">
        <f>E11-Assumptions!E21</f>
        <v>914.03772639119154</v>
      </c>
      <c r="F12" s="62">
        <f>F11-Assumptions!F21</f>
        <v>1082.0425430722123</v>
      </c>
      <c r="G12" s="62">
        <f>G11-Assumptions!G21</f>
        <v>1268.2149834945164</v>
      </c>
      <c r="H12" s="62">
        <f>H11-Assumptions!H21</f>
        <v>1471.4176944757855</v>
      </c>
      <c r="I12" s="62">
        <f>I11-Assumptions!I21</f>
        <v>1636.4603687790345</v>
      </c>
      <c r="J12" s="10"/>
      <c r="P12" s="7"/>
      <c r="Q12" s="7"/>
      <c r="R12" s="7"/>
      <c r="S12" s="7"/>
      <c r="T12" s="7"/>
      <c r="U12" s="7"/>
      <c r="V12" s="7"/>
    </row>
    <row r="13" spans="1:22" customFormat="1" thickTop="1" x14ac:dyDescent="0.2"/>
    <row r="14" spans="1:22" customFormat="1" ht="18" thickBot="1" x14ac:dyDescent="0.25">
      <c r="A14" s="38" t="s">
        <v>127</v>
      </c>
    </row>
    <row r="15" spans="1:22" ht="17" thickTop="1" x14ac:dyDescent="0.2">
      <c r="A15" s="33" t="s">
        <v>20</v>
      </c>
      <c r="B15" s="16">
        <f>Assumptions!B24</f>
        <v>6.7350194378658574E-3</v>
      </c>
      <c r="C15" s="16">
        <f>Assumptions!C24</f>
        <v>7.075171934727769E-3</v>
      </c>
      <c r="D15" s="16">
        <f>Assumptions!D24</f>
        <v>7.5513854303344459E-3</v>
      </c>
      <c r="E15" s="16">
        <f>Assumptions!E24</f>
        <v>8.2997209234306514E-3</v>
      </c>
      <c r="F15" s="16">
        <f>Assumptions!F24</f>
        <v>8.9119954177820943E-3</v>
      </c>
      <c r="G15" s="16">
        <f>Assumptions!G24</f>
        <v>9.4562394127611533E-3</v>
      </c>
      <c r="H15" s="16">
        <f>Assumptions!H24</f>
        <v>9.9324529083678285E-3</v>
      </c>
      <c r="I15" s="16">
        <f>Assumptions!I24</f>
        <v>1.0000483407740212E-2</v>
      </c>
      <c r="O15" s="6"/>
      <c r="P15" s="6"/>
      <c r="Q15" s="6"/>
      <c r="R15" s="6"/>
      <c r="S15" s="6"/>
      <c r="T15" s="6"/>
      <c r="U15" s="6"/>
      <c r="V15" s="6"/>
    </row>
    <row r="16" spans="1:22" ht="32" x14ac:dyDescent="0.2">
      <c r="A16" s="27" t="s">
        <v>63</v>
      </c>
      <c r="B16" s="55">
        <f>B15*Assumptions!B3</f>
        <v>150.72300000000001</v>
      </c>
      <c r="C16" s="55">
        <f>C15*Assumptions!C3</f>
        <v>176.36491023272728</v>
      </c>
      <c r="D16" s="55">
        <f>D15*Assumptions!D3</f>
        <v>204.57523056695337</v>
      </c>
      <c r="E16" s="55">
        <f>E15*Assumptions!E3</f>
        <v>246.01006363779263</v>
      </c>
      <c r="F16" s="55">
        <f>F15*Assumptions!F3</f>
        <v>291.22797363187607</v>
      </c>
      <c r="G16" s="55">
        <f>G15*Assumptions!G3</f>
        <v>341.3356361423975</v>
      </c>
      <c r="H16" s="55">
        <f>H15*Assumptions!H3</f>
        <v>396.02693653023209</v>
      </c>
      <c r="I16" s="55">
        <f>I15*Assumptions!I3</f>
        <v>440.44759624260473</v>
      </c>
      <c r="O16" s="6"/>
      <c r="P16" s="6"/>
      <c r="Q16" s="6"/>
      <c r="R16" s="6"/>
      <c r="S16" s="6"/>
      <c r="T16" s="6"/>
      <c r="U16" s="6"/>
      <c r="V16" s="6"/>
    </row>
    <row r="17" spans="1:22" ht="29" x14ac:dyDescent="0.2">
      <c r="A17" s="34" t="s">
        <v>132</v>
      </c>
      <c r="B17" s="55">
        <f>$B$15*Assumptions!B3</f>
        <v>150.72300000000001</v>
      </c>
      <c r="C17" s="55">
        <f>$B$15*Assumptions!C3</f>
        <v>167.88582801000001</v>
      </c>
      <c r="D17" s="55">
        <f>$B$15*Assumptions!D3</f>
        <v>182.45898942458004</v>
      </c>
      <c r="E17" s="55">
        <f>$B$15*Assumptions!E3</f>
        <v>199.63111721427438</v>
      </c>
      <c r="F17" s="55">
        <f>$B$15*Assumptions!F3</f>
        <v>220.08831595080713</v>
      </c>
      <c r="G17" s="55">
        <f>$B$15*Assumptions!G3</f>
        <v>243.10955379926153</v>
      </c>
      <c r="H17" s="55">
        <f>$B$15*Assumptions!H3</f>
        <v>268.53881312666431</v>
      </c>
      <c r="I17" s="55">
        <f>$B$15*Assumptions!I3</f>
        <v>296.62797297971338</v>
      </c>
      <c r="O17" s="6"/>
      <c r="P17" s="6"/>
      <c r="Q17" s="6"/>
      <c r="R17" s="6"/>
      <c r="S17" s="6"/>
      <c r="T17" s="6"/>
      <c r="U17" s="6"/>
      <c r="V17" s="6"/>
    </row>
    <row r="18" spans="1:22" ht="43" x14ac:dyDescent="0.2">
      <c r="A18" s="34" t="s">
        <v>133</v>
      </c>
      <c r="B18" s="55">
        <f t="shared" ref="B18:I18" si="0">B16-B17</f>
        <v>0</v>
      </c>
      <c r="C18" s="55">
        <f t="shared" si="0"/>
        <v>8.4790822227272713</v>
      </c>
      <c r="D18" s="55">
        <f t="shared" si="0"/>
        <v>22.116241142373326</v>
      </c>
      <c r="E18" s="55">
        <f t="shared" si="0"/>
        <v>46.378946423518244</v>
      </c>
      <c r="F18" s="55">
        <f t="shared" si="0"/>
        <v>71.13965768106894</v>
      </c>
      <c r="G18" s="55">
        <f t="shared" si="0"/>
        <v>98.226082343135971</v>
      </c>
      <c r="H18" s="55">
        <f t="shared" si="0"/>
        <v>127.48812340356778</v>
      </c>
      <c r="I18" s="55">
        <f t="shared" si="0"/>
        <v>143.81962326289135</v>
      </c>
      <c r="O18" s="6"/>
      <c r="P18" s="6"/>
      <c r="Q18" s="6"/>
      <c r="R18" s="6"/>
      <c r="S18" s="6"/>
      <c r="T18" s="6"/>
      <c r="U18" s="6"/>
      <c r="V18" s="6"/>
    </row>
    <row r="19" spans="1:22" ht="29" x14ac:dyDescent="0.2">
      <c r="A19" s="34" t="s">
        <v>134</v>
      </c>
      <c r="B19" s="18">
        <f>Assumptions!B25</f>
        <v>0.53293797548181399</v>
      </c>
      <c r="C19" s="18">
        <f>Assumptions!C25</f>
        <v>0.53293797548181399</v>
      </c>
      <c r="D19" s="18">
        <f>Assumptions!D25</f>
        <v>0.53293797548181399</v>
      </c>
      <c r="E19" s="18">
        <f>Assumptions!E25</f>
        <v>0.53293797548181399</v>
      </c>
      <c r="F19" s="18">
        <f>Assumptions!F25</f>
        <v>0.53293797548181399</v>
      </c>
      <c r="G19" s="18">
        <f>Assumptions!G25</f>
        <v>0.53293797548181399</v>
      </c>
      <c r="H19" s="18">
        <f>Assumptions!H25</f>
        <v>0.53293797548181399</v>
      </c>
      <c r="I19" s="18">
        <f>Assumptions!I25</f>
        <v>0.53293797548181399</v>
      </c>
      <c r="K19" s="6"/>
      <c r="O19" s="6"/>
      <c r="P19" s="6"/>
      <c r="Q19" s="6"/>
      <c r="R19" s="6"/>
      <c r="S19" s="6"/>
      <c r="T19" s="6"/>
      <c r="U19" s="6"/>
      <c r="V19" s="6"/>
    </row>
    <row r="20" spans="1:22" ht="29" x14ac:dyDescent="0.2">
      <c r="A20" s="34" t="s">
        <v>64</v>
      </c>
      <c r="B20" s="18">
        <f>B19*B18</f>
        <v>0</v>
      </c>
      <c r="C20" s="18">
        <f>C19*C18</f>
        <v>4.518824913724111</v>
      </c>
      <c r="D20" s="18">
        <f t="shared" ref="D20:I20" si="1">D19*D18</f>
        <v>11.786584779684041</v>
      </c>
      <c r="E20" s="18">
        <f t="shared" si="1"/>
        <v>24.717101811929329</v>
      </c>
      <c r="F20" s="18">
        <f t="shared" si="1"/>
        <v>37.91302514101816</v>
      </c>
      <c r="G20" s="18">
        <f t="shared" si="1"/>
        <v>52.34840946346084</v>
      </c>
      <c r="H20" s="18">
        <f t="shared" si="1"/>
        <v>67.943262384673076</v>
      </c>
      <c r="I20" s="18">
        <f t="shared" si="1"/>
        <v>76.646938856282517</v>
      </c>
      <c r="O20" s="6"/>
      <c r="P20" s="6"/>
      <c r="Q20" s="6"/>
      <c r="R20" s="6"/>
      <c r="S20" s="6"/>
      <c r="T20" s="6"/>
      <c r="U20" s="6"/>
      <c r="V20" s="6"/>
    </row>
    <row r="21" spans="1:22" x14ac:dyDescent="0.2">
      <c r="A21" s="27" t="s">
        <v>37</v>
      </c>
      <c r="B21" s="56">
        <v>0.52007079199999995</v>
      </c>
      <c r="C21" s="56">
        <v>0.52007079199999995</v>
      </c>
      <c r="D21" s="56">
        <v>0.52007079199999995</v>
      </c>
      <c r="E21" s="56">
        <v>0.52007079199999995</v>
      </c>
      <c r="F21" s="56">
        <v>0.52007079199999995</v>
      </c>
      <c r="G21" s="56">
        <v>0.52007079199999995</v>
      </c>
      <c r="H21" s="56">
        <v>0.52007079199999995</v>
      </c>
      <c r="I21" s="56">
        <v>0.52007079199999995</v>
      </c>
      <c r="P21" s="6"/>
      <c r="Q21" s="6"/>
      <c r="R21" s="6"/>
      <c r="S21" s="6"/>
      <c r="T21" s="6"/>
      <c r="U21" s="6"/>
      <c r="V21" s="6"/>
    </row>
    <row r="22" spans="1:22" ht="43" x14ac:dyDescent="0.2">
      <c r="A22" s="34" t="s">
        <v>65</v>
      </c>
      <c r="B22" s="57">
        <f>B21*$B$15*Assumptions!B3</f>
        <v>78.386629982616014</v>
      </c>
      <c r="C22" s="57">
        <f>C21*$B$15*Assumptions!C3</f>
        <v>87.312515538736491</v>
      </c>
      <c r="D22" s="57">
        <f>D21*$B$15*Assumptions!D3</f>
        <v>94.891591137560951</v>
      </c>
      <c r="E22" s="57">
        <f>E21*$B$15*Assumptions!E3</f>
        <v>103.8223132374725</v>
      </c>
      <c r="F22" s="57">
        <f>F21*$B$15*Assumptions!F3</f>
        <v>114.46150478648248</v>
      </c>
      <c r="G22" s="57">
        <f>G21*$B$15*Assumptions!G3</f>
        <v>126.43417818714855</v>
      </c>
      <c r="H22" s="57">
        <f>H21*$B$15*Assumptions!H3</f>
        <v>139.65919322552429</v>
      </c>
      <c r="I22" s="57">
        <f>I21*$B$15*Assumptions!I3</f>
        <v>154.26754483691414</v>
      </c>
      <c r="P22" s="6"/>
      <c r="Q22" s="6"/>
      <c r="R22" s="6"/>
      <c r="S22" s="6"/>
      <c r="T22" s="6"/>
      <c r="U22" s="6"/>
      <c r="V22" s="6"/>
    </row>
    <row r="23" spans="1:22" ht="17" thickBot="1" x14ac:dyDescent="0.25">
      <c r="A23" s="107" t="s">
        <v>21</v>
      </c>
      <c r="B23" s="109">
        <f t="shared" ref="B23:I23" si="2">B22+B20</f>
        <v>78.386629982616014</v>
      </c>
      <c r="C23" s="109">
        <f t="shared" si="2"/>
        <v>91.831340452460609</v>
      </c>
      <c r="D23" s="109">
        <f t="shared" si="2"/>
        <v>106.678175917245</v>
      </c>
      <c r="E23" s="109">
        <f t="shared" si="2"/>
        <v>128.53941504940184</v>
      </c>
      <c r="F23" s="109">
        <f t="shared" si="2"/>
        <v>152.37452992750065</v>
      </c>
      <c r="G23" s="109">
        <f t="shared" si="2"/>
        <v>178.7825876506094</v>
      </c>
      <c r="H23" s="109">
        <f t="shared" si="2"/>
        <v>207.60245561019735</v>
      </c>
      <c r="I23" s="109">
        <f t="shared" si="2"/>
        <v>230.91448369319664</v>
      </c>
      <c r="O23" s="7"/>
      <c r="P23" s="7"/>
      <c r="Q23" s="7"/>
      <c r="R23" s="7"/>
      <c r="S23" s="7"/>
      <c r="T23" s="7"/>
      <c r="U23" s="7"/>
      <c r="V23" s="7"/>
    </row>
    <row r="24" spans="1:22" ht="21" customHeight="1" thickTop="1" x14ac:dyDescent="0.2">
      <c r="A24" s="30"/>
      <c r="B24" s="63"/>
      <c r="C24" s="45"/>
      <c r="D24" s="45"/>
      <c r="E24" s="45"/>
      <c r="F24" s="45"/>
      <c r="G24" s="45"/>
      <c r="H24" s="45"/>
      <c r="I24" s="31"/>
      <c r="P24" s="7"/>
      <c r="Q24" s="7"/>
      <c r="R24" s="7"/>
      <c r="S24" s="7"/>
      <c r="T24" s="7"/>
      <c r="U24" s="7"/>
      <c r="V24" s="7"/>
    </row>
    <row r="25" spans="1:22" ht="35" thickBot="1" x14ac:dyDescent="0.25">
      <c r="A25" s="37" t="s">
        <v>128</v>
      </c>
      <c r="B25" s="44"/>
      <c r="C25" s="44"/>
      <c r="D25" s="44"/>
      <c r="E25" s="44"/>
      <c r="F25" s="44"/>
      <c r="G25" s="44"/>
      <c r="H25" s="44"/>
      <c r="I25" s="46"/>
      <c r="O25" s="7"/>
      <c r="P25" s="7"/>
      <c r="Q25" s="7"/>
      <c r="R25" s="7"/>
      <c r="S25" s="7"/>
      <c r="T25" s="7"/>
      <c r="U25" s="7"/>
      <c r="V25" s="7"/>
    </row>
    <row r="26" spans="1:22" ht="17" thickTop="1" x14ac:dyDescent="0.2">
      <c r="A26" s="27" t="s">
        <v>53</v>
      </c>
      <c r="B26" s="16">
        <f>Assumptions!B27</f>
        <v>2.2131182687954663E-4</v>
      </c>
      <c r="C26" s="16">
        <f>Assumptions!C27</f>
        <v>2.2131182687954663E-4</v>
      </c>
      <c r="D26" s="16">
        <f>Assumptions!D27</f>
        <v>2.2131182687954663E-4</v>
      </c>
      <c r="E26" s="16">
        <f>Assumptions!E27</f>
        <v>2.2131182687954663E-4</v>
      </c>
      <c r="F26" s="16">
        <f>Assumptions!F27</f>
        <v>2.2131182687954663E-4</v>
      </c>
      <c r="G26" s="16">
        <f>Assumptions!G27</f>
        <v>2.2131182687954663E-4</v>
      </c>
      <c r="H26" s="16">
        <f>Assumptions!H27</f>
        <v>2.2131182687954663E-4</v>
      </c>
      <c r="I26" s="16">
        <f>Assumptions!I27</f>
        <v>2.2131182687954663E-4</v>
      </c>
      <c r="O26" s="6"/>
      <c r="P26" s="6"/>
      <c r="Q26" s="6"/>
      <c r="R26" s="6"/>
      <c r="S26" s="6"/>
      <c r="T26" s="6"/>
      <c r="U26" s="6"/>
      <c r="V26" s="6"/>
    </row>
    <row r="27" spans="1:22" x14ac:dyDescent="0.2">
      <c r="A27" s="27" t="s">
        <v>32</v>
      </c>
      <c r="B27" s="16">
        <f>Assumptions!B28</f>
        <v>2.1909870861075117E-5</v>
      </c>
      <c r="C27" s="16">
        <f>Assumptions!C28</f>
        <v>2.3016429995472847E-5</v>
      </c>
      <c r="D27" s="16">
        <f>Assumptions!D28</f>
        <v>2.4565612783629675E-5</v>
      </c>
      <c r="E27" s="16">
        <f>Assumptions!E28</f>
        <v>2.7000042879304686E-5</v>
      </c>
      <c r="F27" s="16">
        <f>Assumptions!F28</f>
        <v>2.8991849321220609E-5</v>
      </c>
      <c r="G27" s="16">
        <f>Assumptions!G28</f>
        <v>3.0762343936256985E-5</v>
      </c>
      <c r="H27" s="16">
        <f>Assumptions!H28</f>
        <v>3.2311526724413803E-5</v>
      </c>
      <c r="I27" s="16">
        <f>Assumptions!I28</f>
        <v>3.2532838551293351E-5</v>
      </c>
      <c r="O27" s="6"/>
      <c r="P27" s="6"/>
      <c r="Q27" s="6"/>
      <c r="R27" s="6"/>
      <c r="S27" s="6"/>
      <c r="T27" s="6"/>
      <c r="U27" s="6"/>
      <c r="V27" s="6"/>
    </row>
    <row r="28" spans="1:22" x14ac:dyDescent="0.2">
      <c r="A28" s="27" t="s">
        <v>42</v>
      </c>
      <c r="B28" s="64">
        <f>Assumptions!B29</f>
        <v>0.49032100000000006</v>
      </c>
      <c r="C28" s="64">
        <f>Assumptions!C29</f>
        <v>0.57373738016242415</v>
      </c>
      <c r="D28" s="64">
        <f>Assumptions!D29</f>
        <v>0.66550912353668079</v>
      </c>
      <c r="E28" s="64">
        <f>Assumptions!E29</f>
        <v>0.80030188101979205</v>
      </c>
      <c r="F28" s="64">
        <f>Assumptions!F29</f>
        <v>0.94740146665840719</v>
      </c>
      <c r="G28" s="64">
        <f>Assumptions!G29</f>
        <v>1.110408036258411</v>
      </c>
      <c r="H28" s="64">
        <f>Assumptions!H29</f>
        <v>1.2883257601456972</v>
      </c>
      <c r="I28" s="64">
        <f>Assumptions!I29</f>
        <v>1.4328317896888341</v>
      </c>
    </row>
    <row r="29" spans="1:22" x14ac:dyDescent="0.2">
      <c r="A29" s="27" t="s">
        <v>43</v>
      </c>
      <c r="B29" s="17">
        <f>Assumptions!B30</f>
        <v>0</v>
      </c>
      <c r="C29" s="17">
        <f>Assumptions!C30</f>
        <v>0</v>
      </c>
      <c r="D29" s="17">
        <f>Assumptions!D30</f>
        <v>0</v>
      </c>
      <c r="E29" s="17">
        <f>Assumptions!E30</f>
        <v>0</v>
      </c>
      <c r="F29" s="17">
        <f>Assumptions!F30</f>
        <v>0</v>
      </c>
      <c r="G29" s="17">
        <f>Assumptions!G30</f>
        <v>0</v>
      </c>
      <c r="H29" s="17">
        <f>Assumptions!H30</f>
        <v>0</v>
      </c>
      <c r="I29" s="17">
        <f>Assumptions!I30</f>
        <v>0</v>
      </c>
    </row>
    <row r="30" spans="1:22" x14ac:dyDescent="0.2">
      <c r="A30" s="27" t="s">
        <v>89</v>
      </c>
      <c r="B30" s="65">
        <f>Assumptions!B33</f>
        <v>5.117</v>
      </c>
      <c r="C30" s="65">
        <f>Assumptions!C33</f>
        <v>0</v>
      </c>
      <c r="D30" s="65">
        <f>Assumptions!D33</f>
        <v>0</v>
      </c>
      <c r="E30" s="65">
        <f>Assumptions!E33</f>
        <v>0</v>
      </c>
      <c r="F30" s="65">
        <f>Assumptions!F33</f>
        <v>10.766550555311879</v>
      </c>
      <c r="G30" s="65">
        <f>Assumptions!G33</f>
        <v>11.086967065899774</v>
      </c>
      <c r="H30" s="65">
        <f>Assumptions!H33</f>
        <v>11.423404402017063</v>
      </c>
      <c r="I30" s="65">
        <f>Assumptions!I33</f>
        <v>11.776663604940214</v>
      </c>
      <c r="O30" s="9"/>
      <c r="P30" s="9"/>
      <c r="Q30" s="9"/>
      <c r="R30" s="9"/>
      <c r="S30" s="9"/>
      <c r="T30" s="9"/>
      <c r="U30" s="9"/>
      <c r="V30" s="9"/>
    </row>
    <row r="31" spans="1:22" ht="32" x14ac:dyDescent="0.2">
      <c r="A31" s="27" t="s">
        <v>55</v>
      </c>
      <c r="B31" s="16">
        <f>Assumptions!B34</f>
        <v>3.3223733830552724E-3</v>
      </c>
      <c r="C31" s="16">
        <f>Assumptions!C34</f>
        <v>3.3223733830552724E-3</v>
      </c>
      <c r="D31" s="16">
        <f>Assumptions!D34</f>
        <v>3.3223733830552724E-3</v>
      </c>
      <c r="E31" s="16">
        <f>Assumptions!E34</f>
        <v>3.3223733830552724E-3</v>
      </c>
      <c r="F31" s="16">
        <f>Assumptions!F34</f>
        <v>3.3223733830552724E-3</v>
      </c>
      <c r="G31" s="16">
        <f>Assumptions!G34</f>
        <v>3.3223733830552724E-3</v>
      </c>
      <c r="H31" s="16">
        <f>Assumptions!H34</f>
        <v>3.3223733830552724E-3</v>
      </c>
      <c r="I31" s="16">
        <f>Assumptions!I34</f>
        <v>3.3223733830552724E-3</v>
      </c>
    </row>
    <row r="32" spans="1:22" x14ac:dyDescent="0.2">
      <c r="A32" s="27" t="s">
        <v>19</v>
      </c>
      <c r="B32" s="16">
        <f>B31*Assumptions!B7</f>
        <v>3.2891496492247198E-4</v>
      </c>
      <c r="C32" s="16">
        <f>C31*Assumptions!C7</f>
        <v>3.4552683183774834E-4</v>
      </c>
      <c r="D32" s="16">
        <f>D31*Assumptions!D7</f>
        <v>3.6878344551913522E-4</v>
      </c>
      <c r="E32" s="16">
        <f>E31*Assumptions!E7</f>
        <v>4.0532955273274321E-4</v>
      </c>
      <c r="F32" s="16">
        <f>F31*Assumptions!F7</f>
        <v>4.3523091318024073E-4</v>
      </c>
      <c r="G32" s="16">
        <f>G31*Assumptions!G7</f>
        <v>4.6180990024468293E-4</v>
      </c>
      <c r="H32" s="16">
        <f>H31*Assumptions!H7</f>
        <v>4.8506651392606976E-4</v>
      </c>
      <c r="I32" s="16">
        <f>I31*Assumptions!I7</f>
        <v>4.8838888730912502E-4</v>
      </c>
      <c r="O32" s="6"/>
      <c r="P32" s="6"/>
      <c r="Q32" s="6"/>
      <c r="R32" s="6"/>
      <c r="S32" s="6"/>
      <c r="T32" s="6"/>
      <c r="U32" s="6"/>
      <c r="V32" s="6"/>
    </row>
    <row r="33" spans="1:22" x14ac:dyDescent="0.2">
      <c r="A33" s="27" t="s">
        <v>29</v>
      </c>
      <c r="B33" s="65">
        <f>B32*Assumptions!B3</f>
        <v>7.3607880000000003</v>
      </c>
      <c r="C33" s="65">
        <f>C32*Assumptions!C3</f>
        <v>8.6130498653963627</v>
      </c>
      <c r="D33" s="65">
        <f>D32*Assumptions!D3</f>
        <v>9.9907439624640126</v>
      </c>
      <c r="E33" s="65">
        <f>E32*Assumptions!E3</f>
        <v>12.014277345224686</v>
      </c>
      <c r="F33" s="65">
        <f>F32*Assumptions!F3</f>
        <v>14.222563069828956</v>
      </c>
      <c r="G33" s="65">
        <f>G32*Assumptions!G3</f>
        <v>16.669647329799208</v>
      </c>
      <c r="H33" s="65">
        <f>H32*Assumptions!H3</f>
        <v>19.340580549010397</v>
      </c>
      <c r="I33" s="65">
        <f>I32*Assumptions!I3</f>
        <v>21.509931337960428</v>
      </c>
      <c r="O33" s="9"/>
      <c r="P33" s="9"/>
      <c r="Q33" s="9"/>
      <c r="R33" s="9"/>
      <c r="S33" s="9"/>
      <c r="T33" s="9"/>
      <c r="U33" s="9"/>
      <c r="V33" s="9"/>
    </row>
    <row r="34" spans="1:22" ht="33" thickBot="1" x14ac:dyDescent="0.25">
      <c r="A34" s="107" t="s">
        <v>58</v>
      </c>
      <c r="B34" s="108">
        <f t="shared" ref="B34:I34" si="3">B28+B29+B30+B33</f>
        <v>12.968109</v>
      </c>
      <c r="C34" s="108">
        <f t="shared" si="3"/>
        <v>9.1867872455587865</v>
      </c>
      <c r="D34" s="108">
        <f t="shared" si="3"/>
        <v>10.656253086000694</v>
      </c>
      <c r="E34" s="108">
        <f t="shared" si="3"/>
        <v>12.814579226244478</v>
      </c>
      <c r="F34" s="108">
        <f t="shared" si="3"/>
        <v>25.936515091799244</v>
      </c>
      <c r="G34" s="108">
        <f t="shared" si="3"/>
        <v>28.867022431957395</v>
      </c>
      <c r="H34" s="108">
        <f t="shared" si="3"/>
        <v>32.052310711173156</v>
      </c>
      <c r="I34" s="108">
        <f t="shared" si="3"/>
        <v>34.719426732589476</v>
      </c>
      <c r="O34" s="7"/>
      <c r="P34" s="7"/>
      <c r="Q34" s="7"/>
      <c r="R34" s="7"/>
      <c r="S34" s="7"/>
      <c r="T34" s="7"/>
      <c r="U34" s="7"/>
      <c r="V34" s="7"/>
    </row>
    <row r="35" spans="1:22" ht="17" thickTop="1" x14ac:dyDescent="0.2">
      <c r="A35" s="29"/>
      <c r="B35" s="66"/>
      <c r="C35" s="66"/>
      <c r="D35" s="67"/>
      <c r="E35" s="66"/>
      <c r="F35" s="66"/>
      <c r="G35" s="66"/>
      <c r="H35" s="67"/>
      <c r="I35" s="66"/>
    </row>
    <row r="36" spans="1:22" ht="18" thickBot="1" x14ac:dyDescent="0.25">
      <c r="A36" s="36" t="s">
        <v>9</v>
      </c>
      <c r="B36" s="68"/>
      <c r="C36" s="68"/>
      <c r="D36" s="68"/>
      <c r="E36" s="68"/>
      <c r="F36" s="68"/>
      <c r="G36" s="68"/>
      <c r="H36" s="68"/>
      <c r="I36" s="69"/>
    </row>
    <row r="37" spans="1:22" ht="33" thickTop="1" x14ac:dyDescent="0.2">
      <c r="A37" s="27" t="s">
        <v>59</v>
      </c>
      <c r="B37" s="18">
        <f>Assumptions!B38</f>
        <v>0.22450100000000001</v>
      </c>
      <c r="C37" s="18">
        <f>Assumptions!C38</f>
        <v>0</v>
      </c>
      <c r="D37" s="18">
        <f>Assumptions!D38</f>
        <v>0</v>
      </c>
      <c r="E37" s="18">
        <f>Assumptions!E38</f>
        <v>0</v>
      </c>
      <c r="F37" s="18">
        <f>Assumptions!F38</f>
        <v>0</v>
      </c>
      <c r="G37" s="18">
        <f>Assumptions!G38</f>
        <v>0</v>
      </c>
      <c r="H37" s="18">
        <f>Assumptions!H38</f>
        <v>0</v>
      </c>
      <c r="I37" s="18">
        <f>Assumptions!I38</f>
        <v>0</v>
      </c>
      <c r="O37" s="9"/>
      <c r="P37" s="9"/>
    </row>
    <row r="38" spans="1:22" x14ac:dyDescent="0.2">
      <c r="A38" s="26" t="s">
        <v>60</v>
      </c>
      <c r="B38" s="18">
        <f t="shared" ref="B38:I38" si="4">B41</f>
        <v>0</v>
      </c>
      <c r="C38" s="18">
        <f t="shared" si="4"/>
        <v>0.55600000000000005</v>
      </c>
      <c r="D38" s="18">
        <f t="shared" si="4"/>
        <v>0</v>
      </c>
      <c r="E38" s="18">
        <f t="shared" si="4"/>
        <v>0.56556491573909895</v>
      </c>
      <c r="F38" s="18">
        <f t="shared" si="4"/>
        <v>6.5872684570718345</v>
      </c>
      <c r="G38" s="18">
        <f t="shared" si="4"/>
        <v>18.18055265018555</v>
      </c>
      <c r="H38" s="18">
        <f t="shared" si="4"/>
        <v>35.10060836480897</v>
      </c>
      <c r="I38" s="18">
        <f t="shared" si="4"/>
        <v>57.729867810915621</v>
      </c>
      <c r="O38" s="9"/>
      <c r="P38" s="9"/>
      <c r="Q38" s="9"/>
      <c r="R38" s="9"/>
      <c r="S38" s="9"/>
      <c r="T38" s="9"/>
      <c r="U38" s="9"/>
      <c r="V38" s="9"/>
    </row>
    <row r="39" spans="1:22" x14ac:dyDescent="0.2">
      <c r="A39" s="94" t="s">
        <v>102</v>
      </c>
      <c r="B39" s="95">
        <f>Assumptions!B39</f>
        <v>6.4877479579929993</v>
      </c>
      <c r="C39" s="95">
        <f>Deficit!D18</f>
        <v>0</v>
      </c>
      <c r="D39" s="95">
        <f>Deficit!E18</f>
        <v>8.7278536379490586</v>
      </c>
      <c r="E39" s="95">
        <f>Deficit!F18</f>
        <v>101.65537742394807</v>
      </c>
      <c r="F39" s="95">
        <f>Deficit!G18</f>
        <v>280.5640841078017</v>
      </c>
      <c r="G39" s="95">
        <f>Deficit!H18</f>
        <v>541.67605501248408</v>
      </c>
      <c r="H39" s="95">
        <f>Deficit!I18</f>
        <v>890.89302177338925</v>
      </c>
      <c r="I39" s="95">
        <f>Deficit!J18</f>
        <v>1268.1006167207549</v>
      </c>
      <c r="O39" s="9"/>
      <c r="P39" s="9"/>
      <c r="Q39" s="9"/>
      <c r="R39" s="9"/>
      <c r="S39" s="9"/>
      <c r="T39" s="9"/>
      <c r="U39" s="9"/>
      <c r="V39" s="9"/>
    </row>
    <row r="40" spans="1:22" x14ac:dyDescent="0.2">
      <c r="A40" s="97" t="s">
        <v>119</v>
      </c>
      <c r="B40" s="97"/>
      <c r="C40" s="412">
        <f>Assumptions!C40</f>
        <v>8.5699999999999998E-2</v>
      </c>
      <c r="D40" s="412">
        <f>Assumptions!D40</f>
        <v>7.8299999999999995E-2</v>
      </c>
      <c r="E40" s="412">
        <f>Assumptions!E40</f>
        <v>6.4799999999999996E-2</v>
      </c>
      <c r="F40" s="412">
        <f>Assumptions!F40</f>
        <v>6.4799999999999996E-2</v>
      </c>
      <c r="G40" s="412">
        <f>Assumptions!G40</f>
        <v>6.4799999999999996E-2</v>
      </c>
      <c r="H40" s="412">
        <f>Assumptions!H40</f>
        <v>6.4799999999999996E-2</v>
      </c>
      <c r="I40" s="412">
        <f>Assumptions!I40</f>
        <v>6.4799999999999996E-2</v>
      </c>
      <c r="O40" s="9"/>
      <c r="P40" s="9"/>
      <c r="Q40" s="9"/>
      <c r="R40" s="9"/>
      <c r="S40" s="9"/>
      <c r="T40" s="9"/>
      <c r="U40" s="9"/>
      <c r="V40" s="9"/>
    </row>
    <row r="41" spans="1:22" x14ac:dyDescent="0.2">
      <c r="A41" s="97" t="s">
        <v>60</v>
      </c>
      <c r="B41" s="97"/>
      <c r="C41" s="192">
        <f>Assumptions!C41</f>
        <v>0.55600000000000005</v>
      </c>
      <c r="D41" s="98">
        <f t="shared" ref="D41:I41" si="5">D40*C39</f>
        <v>0</v>
      </c>
      <c r="E41" s="98">
        <f t="shared" si="5"/>
        <v>0.56556491573909895</v>
      </c>
      <c r="F41" s="98">
        <f t="shared" si="5"/>
        <v>6.5872684570718345</v>
      </c>
      <c r="G41" s="98">
        <f t="shared" si="5"/>
        <v>18.18055265018555</v>
      </c>
      <c r="H41" s="98">
        <f t="shared" si="5"/>
        <v>35.10060836480897</v>
      </c>
      <c r="I41" s="98">
        <f t="shared" si="5"/>
        <v>57.729867810915621</v>
      </c>
      <c r="O41" s="9"/>
      <c r="P41" s="9"/>
      <c r="Q41" s="9"/>
      <c r="R41" s="9"/>
      <c r="S41" s="9"/>
      <c r="T41" s="9"/>
      <c r="U41" s="9"/>
      <c r="V41" s="9"/>
    </row>
    <row r="42" spans="1:22" ht="29" x14ac:dyDescent="0.2">
      <c r="A42" s="413" t="s">
        <v>61</v>
      </c>
      <c r="B42" s="93">
        <f t="shared" ref="B42:I42" si="6">B37+B38</f>
        <v>0.22450100000000001</v>
      </c>
      <c r="C42" s="93">
        <f t="shared" si="6"/>
        <v>0.55600000000000005</v>
      </c>
      <c r="D42" s="93">
        <f t="shared" si="6"/>
        <v>0</v>
      </c>
      <c r="E42" s="93">
        <f t="shared" si="6"/>
        <v>0.56556491573909895</v>
      </c>
      <c r="F42" s="93">
        <f t="shared" si="6"/>
        <v>6.5872684570718345</v>
      </c>
      <c r="G42" s="93">
        <f t="shared" si="6"/>
        <v>18.18055265018555</v>
      </c>
      <c r="H42" s="93">
        <f t="shared" si="6"/>
        <v>35.10060836480897</v>
      </c>
      <c r="I42" s="93">
        <f t="shared" si="6"/>
        <v>57.729867810915621</v>
      </c>
      <c r="O42" s="9"/>
      <c r="P42" s="9"/>
      <c r="Q42" s="9"/>
      <c r="R42" s="9"/>
      <c r="S42" s="9"/>
      <c r="T42" s="9"/>
      <c r="U42" s="9"/>
      <c r="V42" s="9"/>
    </row>
    <row r="43" spans="1:22" ht="15.75" customHeight="1" x14ac:dyDescent="0.2">
      <c r="A43" s="96" t="s">
        <v>62</v>
      </c>
      <c r="B43" s="18">
        <f>Assumptions!B42</f>
        <v>7.2970240000000004</v>
      </c>
      <c r="C43" s="18">
        <f>Assumptions!C42</f>
        <v>7.7786275840000005</v>
      </c>
      <c r="D43" s="18">
        <f>Assumptions!D42</f>
        <v>7.9653146460160009</v>
      </c>
      <c r="E43" s="18">
        <f>Assumptions!E42</f>
        <v>8.1803781414584318</v>
      </c>
      <c r="F43" s="18">
        <f>Assumptions!F42</f>
        <v>8.4666913764094769</v>
      </c>
      <c r="G43" s="18">
        <f>Assumptions!G42</f>
        <v>8.7206921177017609</v>
      </c>
      <c r="H43" s="18">
        <f>Assumptions!H42</f>
        <v>8.9823128812328132</v>
      </c>
      <c r="I43" s="18">
        <f>Assumptions!I42</f>
        <v>9.2517822676697978</v>
      </c>
      <c r="O43" s="9"/>
      <c r="P43" s="8"/>
      <c r="Q43" s="8"/>
      <c r="R43" s="8"/>
      <c r="S43" s="8"/>
      <c r="T43" s="8"/>
      <c r="U43" s="8"/>
      <c r="V43" s="8"/>
    </row>
    <row r="44" spans="1:22" x14ac:dyDescent="0.2">
      <c r="A44" s="27" t="s">
        <v>25</v>
      </c>
      <c r="B44" s="17">
        <f>Assumptions!B43</f>
        <v>0</v>
      </c>
      <c r="C44" s="17">
        <f>Assumptions!C43</f>
        <v>0</v>
      </c>
      <c r="D44" s="17">
        <f>Assumptions!D43</f>
        <v>0</v>
      </c>
      <c r="E44" s="17">
        <f>Assumptions!E43</f>
        <v>0</v>
      </c>
      <c r="F44" s="17">
        <f>Assumptions!F43</f>
        <v>0</v>
      </c>
      <c r="G44" s="17">
        <f>Assumptions!G43</f>
        <v>0</v>
      </c>
      <c r="H44" s="17">
        <f>Assumptions!H43</f>
        <v>0</v>
      </c>
      <c r="I44" s="17">
        <f>Assumptions!I43</f>
        <v>0</v>
      </c>
    </row>
    <row r="45" spans="1:22" x14ac:dyDescent="0.2">
      <c r="A45" s="27" t="s">
        <v>26</v>
      </c>
      <c r="B45" s="17">
        <f>Assumptions!B44</f>
        <v>6.0000000000000002E-5</v>
      </c>
      <c r="C45" s="17">
        <f>Assumptions!C44</f>
        <v>0</v>
      </c>
      <c r="D45" s="17">
        <f>Assumptions!D44</f>
        <v>0</v>
      </c>
      <c r="E45" s="17">
        <f>Assumptions!E44</f>
        <v>0</v>
      </c>
      <c r="F45" s="17">
        <f>Assumptions!F44</f>
        <v>0</v>
      </c>
      <c r="G45" s="17">
        <f>Assumptions!G44</f>
        <v>0</v>
      </c>
      <c r="H45" s="17">
        <f>Assumptions!H44</f>
        <v>0</v>
      </c>
      <c r="I45" s="17">
        <f>Assumptions!I44</f>
        <v>0</v>
      </c>
    </row>
    <row r="46" spans="1:22" ht="17" thickBot="1" x14ac:dyDescent="0.25">
      <c r="A46" s="107" t="s">
        <v>86</v>
      </c>
      <c r="B46" s="110">
        <f t="shared" ref="B46:I46" si="7">B43+B44+B45+B42</f>
        <v>7.5215850000000009</v>
      </c>
      <c r="C46" s="110">
        <f t="shared" si="7"/>
        <v>8.3346275839999997</v>
      </c>
      <c r="D46" s="110">
        <f t="shared" si="7"/>
        <v>7.9653146460160009</v>
      </c>
      <c r="E46" s="110">
        <f t="shared" si="7"/>
        <v>8.7459430571975307</v>
      </c>
      <c r="F46" s="110">
        <f t="shared" si="7"/>
        <v>15.053959833481311</v>
      </c>
      <c r="G46" s="110">
        <f t="shared" si="7"/>
        <v>26.901244767887313</v>
      </c>
      <c r="H46" s="110">
        <f t="shared" si="7"/>
        <v>44.082921246041785</v>
      </c>
      <c r="I46" s="110">
        <f t="shared" si="7"/>
        <v>66.981650078585417</v>
      </c>
      <c r="O46" s="9"/>
      <c r="P46" s="9"/>
      <c r="Q46" s="9"/>
      <c r="R46" s="9"/>
      <c r="S46" s="9"/>
      <c r="T46" s="9"/>
      <c r="U46" s="9"/>
      <c r="V46" s="9"/>
    </row>
    <row r="47" spans="1:22" ht="17" thickTop="1" x14ac:dyDescent="0.2">
      <c r="A47" s="47"/>
      <c r="B47" s="70"/>
      <c r="C47" s="70"/>
      <c r="D47" s="70"/>
      <c r="E47" s="70"/>
      <c r="F47" s="70"/>
      <c r="G47" s="70"/>
      <c r="H47" s="70"/>
      <c r="I47" s="70"/>
    </row>
    <row r="48" spans="1:22" ht="18" thickBot="1" x14ac:dyDescent="0.25">
      <c r="A48" s="35" t="s">
        <v>129</v>
      </c>
      <c r="B48" s="71"/>
      <c r="C48" s="71"/>
      <c r="D48" s="71"/>
      <c r="E48" s="71"/>
      <c r="F48" s="71"/>
      <c r="G48" s="71"/>
      <c r="H48" s="71"/>
      <c r="I48" s="71"/>
    </row>
    <row r="49" spans="1:22" ht="17" thickTop="1" x14ac:dyDescent="0.2">
      <c r="A49" s="115" t="s">
        <v>66</v>
      </c>
      <c r="B49" s="106">
        <f>Assumptions!B46</f>
        <v>1.43747160284195E-3</v>
      </c>
      <c r="C49" s="106">
        <f>Assumptions!C46</f>
        <v>1.43747160284195E-3</v>
      </c>
      <c r="D49" s="106">
        <f>Assumptions!D46</f>
        <v>1.43747160284195E-3</v>
      </c>
      <c r="E49" s="106">
        <f>Assumptions!E46</f>
        <v>1.43747160284195E-3</v>
      </c>
      <c r="F49" s="106">
        <f>Assumptions!F46</f>
        <v>1.43747160284195E-3</v>
      </c>
      <c r="G49" s="106">
        <f>Assumptions!G46</f>
        <v>1.43747160284195E-3</v>
      </c>
      <c r="H49" s="106">
        <f>Assumptions!H46</f>
        <v>1.43747160284195E-3</v>
      </c>
      <c r="I49" s="106">
        <f>Assumptions!I46</f>
        <v>1.43747160284195E-3</v>
      </c>
    </row>
    <row r="50" spans="1:22" ht="33" thickBot="1" x14ac:dyDescent="0.25">
      <c r="A50" s="107" t="s">
        <v>67</v>
      </c>
      <c r="B50" s="128">
        <f>B49*Assumptions!B3</f>
        <v>32.169176999999998</v>
      </c>
      <c r="C50" s="128">
        <f>C49*Assumptions!C3</f>
        <v>35.832281184989995</v>
      </c>
      <c r="D50" s="128">
        <f>D49*Assumptions!D3</f>
        <v>38.942666520971862</v>
      </c>
      <c r="E50" s="128">
        <f>E49*Assumptions!E3</f>
        <v>42.607755580593128</v>
      </c>
      <c r="F50" s="128">
        <f>F49*Assumptions!F3</f>
        <v>46.973985333714403</v>
      </c>
      <c r="G50" s="128">
        <f>G49*Assumptions!G3</f>
        <v>51.887464199620929</v>
      </c>
      <c r="H50" s="128">
        <f>H49*Assumptions!H3</f>
        <v>57.314892954901275</v>
      </c>
      <c r="I50" s="128">
        <f>I49*Assumptions!I3</f>
        <v>63.310030757983952</v>
      </c>
      <c r="O50" s="7"/>
      <c r="P50" s="7"/>
      <c r="Q50" s="7"/>
      <c r="R50" s="7"/>
      <c r="S50" s="7"/>
      <c r="T50" s="7"/>
      <c r="U50" s="7"/>
      <c r="V50" s="7"/>
    </row>
    <row r="51" spans="1:22" ht="34" thickTop="1" thickBot="1" x14ac:dyDescent="0.25">
      <c r="A51" s="156" t="s">
        <v>73</v>
      </c>
      <c r="B51" s="116">
        <f t="shared" ref="B51:I51" si="8">B50+B46+B34+B12+B23</f>
        <v>691.049047982616</v>
      </c>
      <c r="C51" s="116">
        <f t="shared" si="8"/>
        <v>800.45978084353999</v>
      </c>
      <c r="D51" s="116">
        <f t="shared" si="8"/>
        <v>924.33114742889109</v>
      </c>
      <c r="E51" s="161">
        <f t="shared" si="8"/>
        <v>1106.7454193046285</v>
      </c>
      <c r="F51" s="161">
        <f t="shared" si="8"/>
        <v>1322.3815332587078</v>
      </c>
      <c r="G51" s="161">
        <f t="shared" si="8"/>
        <v>1554.6533025445915</v>
      </c>
      <c r="H51" s="161">
        <f t="shared" si="8"/>
        <v>1812.4702749980993</v>
      </c>
      <c r="I51" s="161">
        <f t="shared" si="8"/>
        <v>2032.38596004139</v>
      </c>
      <c r="O51" s="7"/>
      <c r="V51" s="19"/>
    </row>
    <row r="52" spans="1:22" ht="17" thickTop="1" x14ac:dyDescent="0.2"/>
    <row r="54" spans="1:22" x14ac:dyDescent="0.2">
      <c r="A54" s="194" t="s">
        <v>85</v>
      </c>
    </row>
    <row r="55" spans="1:22" x14ac:dyDescent="0.2">
      <c r="A55" s="193"/>
    </row>
    <row r="56" spans="1:22" ht="194.25" customHeight="1" x14ac:dyDescent="0.2">
      <c r="A56" s="345" t="s">
        <v>131</v>
      </c>
    </row>
    <row r="57" spans="1:22" ht="159.75" customHeight="1" x14ac:dyDescent="0.2">
      <c r="A57" s="196" t="s">
        <v>88</v>
      </c>
    </row>
    <row r="58" spans="1:22" ht="272" x14ac:dyDescent="0.2">
      <c r="A58" s="196" t="s">
        <v>96</v>
      </c>
    </row>
    <row r="59" spans="1:22" ht="128" x14ac:dyDescent="0.2">
      <c r="A59" s="195" t="s">
        <v>101</v>
      </c>
    </row>
  </sheetData>
  <sheetProtection password="CC1A" sheet="1" objects="1" scenarios="1"/>
  <mergeCells count="1">
    <mergeCell ref="B1:I1"/>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J23"/>
  <sheetViews>
    <sheetView workbookViewId="0"/>
  </sheetViews>
  <sheetFormatPr baseColWidth="10" defaultColWidth="9.1640625" defaultRowHeight="16" x14ac:dyDescent="0.2"/>
  <cols>
    <col min="1" max="1" width="60.1640625" style="12" customWidth="1"/>
    <col min="2" max="2" width="11.83203125" style="12" customWidth="1"/>
    <col min="3" max="3" width="11.1640625" style="12" customWidth="1"/>
    <col min="4" max="4" width="9.6640625" style="12" customWidth="1"/>
    <col min="5" max="5" width="10.83203125" style="12" customWidth="1"/>
    <col min="6" max="6" width="12.5" style="12" customWidth="1"/>
    <col min="7" max="7" width="10.83203125" style="12" customWidth="1"/>
    <col min="8" max="8" width="11.33203125" style="12" customWidth="1"/>
    <col min="9" max="9" width="11.6640625" style="12" customWidth="1"/>
    <col min="10" max="14" width="9.1640625" style="12"/>
    <col min="15" max="15" width="9.1640625" style="12" customWidth="1"/>
    <col min="16" max="16" width="8.5" style="12" customWidth="1"/>
    <col min="17" max="43" width="9.1640625" style="12" customWidth="1"/>
    <col min="44" max="16384" width="9.1640625" style="12"/>
  </cols>
  <sheetData>
    <row r="1" spans="1:10" ht="21" thickBot="1" x14ac:dyDescent="0.3">
      <c r="B1" s="425" t="s">
        <v>47</v>
      </c>
      <c r="C1" s="425"/>
      <c r="D1" s="425"/>
      <c r="E1" s="425"/>
      <c r="F1" s="425"/>
      <c r="G1" s="425"/>
      <c r="H1" s="425"/>
      <c r="I1" s="425"/>
    </row>
    <row r="2" spans="1:10" s="11" customFormat="1" ht="22" thickTop="1" thickBot="1" x14ac:dyDescent="0.3">
      <c r="A2" s="102" t="s">
        <v>41</v>
      </c>
      <c r="B2" s="103">
        <v>2013</v>
      </c>
      <c r="C2" s="103">
        <v>2014</v>
      </c>
      <c r="D2" s="103">
        <v>2015</v>
      </c>
      <c r="E2" s="103">
        <v>2016</v>
      </c>
      <c r="F2" s="103">
        <v>2017</v>
      </c>
      <c r="G2" s="103">
        <v>2018</v>
      </c>
      <c r="H2" s="103">
        <v>2019</v>
      </c>
      <c r="I2" s="103">
        <v>2020</v>
      </c>
    </row>
    <row r="3" spans="1:10" ht="19" thickTop="1" thickBot="1" x14ac:dyDescent="0.25">
      <c r="A3" s="40" t="s">
        <v>122</v>
      </c>
      <c r="B3" s="73"/>
      <c r="C3" s="73"/>
      <c r="D3" s="73"/>
      <c r="E3" s="73"/>
      <c r="F3" s="73"/>
      <c r="G3" s="73"/>
      <c r="H3" s="73"/>
      <c r="I3" s="74"/>
    </row>
    <row r="4" spans="1:10" ht="17" thickTop="1" x14ac:dyDescent="0.2">
      <c r="A4" s="26" t="s">
        <v>130</v>
      </c>
      <c r="B4" s="404">
        <f>Assumptions!B48</f>
        <v>3.9E-2</v>
      </c>
      <c r="C4" s="404">
        <f>Assumptions!C48</f>
        <v>4.2500000000000003E-2</v>
      </c>
      <c r="D4" s="404">
        <f>Assumptions!D48</f>
        <v>4.5999999999999999E-2</v>
      </c>
      <c r="E4" s="404">
        <f>Assumptions!E48</f>
        <v>4.6800000000000001E-2</v>
      </c>
      <c r="F4" s="404">
        <f>Assumptions!F48</f>
        <v>4.7600000000000003E-2</v>
      </c>
      <c r="G4" s="404">
        <f>Assumptions!G48</f>
        <v>4.8399999999999999E-2</v>
      </c>
      <c r="H4" s="404">
        <f>Assumptions!H48</f>
        <v>4.9200000000000001E-2</v>
      </c>
      <c r="I4" s="405">
        <f>Assumptions!I48</f>
        <v>0.05</v>
      </c>
    </row>
    <row r="5" spans="1:10" ht="48" x14ac:dyDescent="0.2">
      <c r="A5" s="27" t="s">
        <v>10</v>
      </c>
      <c r="B5" s="75"/>
      <c r="C5" s="16">
        <f>C4/B4</f>
        <v>1.0897435897435899</v>
      </c>
      <c r="D5" s="16">
        <f t="shared" ref="D5:I5" si="0">D4/C4</f>
        <v>1.0823529411764705</v>
      </c>
      <c r="E5" s="16">
        <f t="shared" si="0"/>
        <v>1.0173913043478262</v>
      </c>
      <c r="F5" s="16">
        <f t="shared" si="0"/>
        <v>1.017094017094017</v>
      </c>
      <c r="G5" s="16">
        <f t="shared" si="0"/>
        <v>1.0168067226890756</v>
      </c>
      <c r="H5" s="16">
        <f t="shared" si="0"/>
        <v>1.0165289256198347</v>
      </c>
      <c r="I5" s="16">
        <f t="shared" si="0"/>
        <v>1.0162601626016261</v>
      </c>
    </row>
    <row r="6" spans="1:10" x14ac:dyDescent="0.2">
      <c r="A6" s="26" t="s">
        <v>11</v>
      </c>
      <c r="B6" s="17"/>
      <c r="C6" s="18">
        <f>Assumptions!C5</f>
        <v>1.1138699999999999</v>
      </c>
      <c r="D6" s="18">
        <f>Assumptions!D5</f>
        <v>1.0868039999999999</v>
      </c>
      <c r="E6" s="18">
        <f>Assumptions!E5</f>
        <v>1.0941149999999999</v>
      </c>
      <c r="F6" s="18">
        <f>Assumptions!F5</f>
        <v>1.1024749999999999</v>
      </c>
      <c r="G6" s="18">
        <f>Assumptions!G5</f>
        <v>1.1046</v>
      </c>
      <c r="H6" s="18">
        <f>Assumptions!H5</f>
        <v>1.1046</v>
      </c>
      <c r="I6" s="28">
        <f>Assumptions!I5</f>
        <v>1.1046</v>
      </c>
    </row>
    <row r="7" spans="1:10" ht="17" thickBot="1" x14ac:dyDescent="0.25">
      <c r="A7" s="111" t="s">
        <v>12</v>
      </c>
      <c r="B7" s="108">
        <f>145.42-11072.795/1000</f>
        <v>134.34720499999997</v>
      </c>
      <c r="C7" s="108">
        <f t="shared" ref="C7:I7" si="1">B7*C6*C5</f>
        <v>163.07502954916345</v>
      </c>
      <c r="D7" s="108">
        <f t="shared" si="1"/>
        <v>191.82605513060832</v>
      </c>
      <c r="E7" s="108">
        <f t="shared" si="1"/>
        <v>213.5298471667773</v>
      </c>
      <c r="F7" s="108">
        <f t="shared" si="1"/>
        <v>239.43544335357214</v>
      </c>
      <c r="G7" s="108">
        <f t="shared" si="1"/>
        <v>268.92543931202562</v>
      </c>
      <c r="H7" s="108">
        <f t="shared" si="1"/>
        <v>301.9650409295852</v>
      </c>
      <c r="I7" s="108">
        <f t="shared" si="1"/>
        <v>338.97417094595511</v>
      </c>
    </row>
    <row r="8" spans="1:10" ht="17" thickTop="1" x14ac:dyDescent="0.2">
      <c r="A8" s="13"/>
      <c r="B8" s="14"/>
      <c r="C8" s="43"/>
      <c r="D8" s="43"/>
      <c r="E8" s="14"/>
      <c r="F8" s="43"/>
      <c r="G8" s="14"/>
      <c r="H8" s="14"/>
      <c r="I8" s="43"/>
    </row>
    <row r="9" spans="1:10" ht="18" thickBot="1" x14ac:dyDescent="0.25">
      <c r="A9" s="40" t="s">
        <v>121</v>
      </c>
      <c r="B9" s="76"/>
      <c r="C9" s="76"/>
      <c r="D9" s="76"/>
      <c r="E9" s="76"/>
      <c r="F9" s="76"/>
      <c r="G9" s="76"/>
      <c r="H9" s="76"/>
      <c r="I9" s="76"/>
      <c r="J9" s="25"/>
    </row>
    <row r="10" spans="1:10" ht="17" thickTop="1" x14ac:dyDescent="0.2">
      <c r="A10" s="99" t="s">
        <v>117</v>
      </c>
      <c r="B10" s="406">
        <f>Assumptions!B50</f>
        <v>7.9801378233281997E-2</v>
      </c>
      <c r="C10" s="406">
        <f>Assumptions!C50</f>
        <v>7.9801378233281997E-2</v>
      </c>
      <c r="D10" s="406">
        <f>Assumptions!D50</f>
        <v>7.9801378233281997E-2</v>
      </c>
      <c r="E10" s="406">
        <f>Assumptions!E50</f>
        <v>7.9801378233281997E-2</v>
      </c>
      <c r="F10" s="406">
        <f>Assumptions!F50</f>
        <v>7.9801378233281997E-2</v>
      </c>
      <c r="G10" s="406">
        <f>Assumptions!G50</f>
        <v>7.9801378233281997E-2</v>
      </c>
      <c r="H10" s="406">
        <f>Assumptions!H50</f>
        <v>7.9801378233281997E-2</v>
      </c>
      <c r="I10" s="406">
        <f>Assumptions!I50</f>
        <v>7.9801378233281997E-2</v>
      </c>
      <c r="J10" s="25"/>
    </row>
    <row r="11" spans="1:10" x14ac:dyDescent="0.2">
      <c r="A11" s="117" t="s">
        <v>39</v>
      </c>
      <c r="B11" s="118">
        <f>Assumptions!B51</f>
        <v>1.079801378233282</v>
      </c>
      <c r="C11" s="118">
        <f>Assumptions!C51</f>
        <v>1.079801378233282</v>
      </c>
      <c r="D11" s="118">
        <f>Assumptions!D51</f>
        <v>1.079801378233282</v>
      </c>
      <c r="E11" s="118">
        <f>Assumptions!E51</f>
        <v>1.079801378233282</v>
      </c>
      <c r="F11" s="118">
        <f>Assumptions!F51</f>
        <v>1.079801378233282</v>
      </c>
      <c r="G11" s="118">
        <f>Assumptions!G51</f>
        <v>1.079801378233282</v>
      </c>
      <c r="H11" s="118">
        <f>Assumptions!H51</f>
        <v>1.079801378233282</v>
      </c>
      <c r="I11" s="118">
        <f>Assumptions!I51</f>
        <v>1.079801378233282</v>
      </c>
    </row>
    <row r="12" spans="1:10" x14ac:dyDescent="0.2">
      <c r="A12" s="117" t="s">
        <v>13</v>
      </c>
      <c r="B12" s="17"/>
      <c r="C12" s="64">
        <f>Assumptions!C12</f>
        <v>1.0860000000000001</v>
      </c>
      <c r="D12" s="64">
        <f>Assumptions!D12</f>
        <v>1.044</v>
      </c>
      <c r="E12" s="64">
        <f>Assumptions!E12</f>
        <v>1.0469999999999999</v>
      </c>
      <c r="F12" s="64">
        <f>Assumptions!F12</f>
        <v>1.0549999999999999</v>
      </c>
      <c r="G12" s="64">
        <f>Assumptions!G12</f>
        <v>1.05</v>
      </c>
      <c r="H12" s="64">
        <f>Assumptions!H12</f>
        <v>1.05</v>
      </c>
      <c r="I12" s="64">
        <f>Assumptions!I12</f>
        <v>1.05</v>
      </c>
    </row>
    <row r="13" spans="1:10" s="15" customFormat="1" ht="17" thickBot="1" x14ac:dyDescent="0.25">
      <c r="A13" s="145" t="s">
        <v>111</v>
      </c>
      <c r="B13" s="146">
        <f>534.206-((4.028+(1.148+3.292+1.319)))</f>
        <v>524.41899999999998</v>
      </c>
      <c r="C13" s="146">
        <f t="shared" ref="C13:I13" si="2">B13*C12*C11</f>
        <v>614.96743784328748</v>
      </c>
      <c r="D13" s="146">
        <f t="shared" si="2"/>
        <v>693.26056517765005</v>
      </c>
      <c r="E13" s="146">
        <f t="shared" si="2"/>
        <v>783.76714830003016</v>
      </c>
      <c r="F13" s="146">
        <f t="shared" si="2"/>
        <v>892.86005353050041</v>
      </c>
      <c r="G13" s="146">
        <f t="shared" si="2"/>
        <v>1012.3170921902602</v>
      </c>
      <c r="H13" s="146">
        <f t="shared" si="2"/>
        <v>1147.7564609239589</v>
      </c>
      <c r="I13" s="146">
        <f t="shared" si="2"/>
        <v>1301.3164588009372</v>
      </c>
    </row>
    <row r="14" spans="1:10" ht="17" thickTop="1" x14ac:dyDescent="0.2">
      <c r="A14" s="141" t="s">
        <v>68</v>
      </c>
      <c r="B14" s="142">
        <v>41.8</v>
      </c>
      <c r="C14" s="142">
        <f>B14-Assumptions!C54+Deficit!D21</f>
        <v>23.708489999999998</v>
      </c>
      <c r="D14" s="142">
        <f>C14-Assumptions!D54+Deficit!E21</f>
        <v>5.6169799999999981</v>
      </c>
      <c r="E14" s="142">
        <f>D14-Assumptions!E54+Deficit!F21</f>
        <v>0</v>
      </c>
      <c r="F14" s="142">
        <f>E14-Assumptions!F54+Deficit!G21</f>
        <v>0</v>
      </c>
      <c r="G14" s="142">
        <f>F14-Assumptions!G54+Deficit!H21</f>
        <v>0</v>
      </c>
      <c r="H14" s="142">
        <f>G14-Assumptions!H54+Deficit!I21</f>
        <v>0</v>
      </c>
      <c r="I14" s="142">
        <f>H14-Assumptions!I54+Deficit!J21</f>
        <v>0</v>
      </c>
    </row>
    <row r="15" spans="1:10" ht="16.5" customHeight="1" x14ac:dyDescent="0.2">
      <c r="A15" s="143" t="s">
        <v>115</v>
      </c>
      <c r="B15" s="144"/>
      <c r="C15" s="391">
        <f>Assumptions!C52</f>
        <v>0.13100000000000001</v>
      </c>
      <c r="D15" s="391">
        <f>Assumptions!D52</f>
        <v>0.13100000000000001</v>
      </c>
      <c r="E15" s="391">
        <f>Assumptions!E52</f>
        <v>0.13100000000000001</v>
      </c>
      <c r="F15" s="391">
        <f>Assumptions!F52</f>
        <v>0.13100000000000001</v>
      </c>
      <c r="G15" s="391">
        <f>Assumptions!G52</f>
        <v>0.13100000000000001</v>
      </c>
      <c r="H15" s="391">
        <f>Assumptions!H52</f>
        <v>0.13100000000000001</v>
      </c>
      <c r="I15" s="391">
        <f>Assumptions!I52</f>
        <v>0.13100000000000001</v>
      </c>
    </row>
    <row r="16" spans="1:10" x14ac:dyDescent="0.2">
      <c r="A16" s="117" t="s">
        <v>69</v>
      </c>
      <c r="B16" s="119"/>
      <c r="C16" s="56">
        <f t="shared" ref="C16:I16" si="3">C15*B14</f>
        <v>5.4757999999999996</v>
      </c>
      <c r="D16" s="56">
        <f t="shared" si="3"/>
        <v>3.10581219</v>
      </c>
      <c r="E16" s="56">
        <f t="shared" si="3"/>
        <v>0.73582437999999983</v>
      </c>
      <c r="F16" s="56">
        <f t="shared" si="3"/>
        <v>0</v>
      </c>
      <c r="G16" s="56">
        <f t="shared" si="3"/>
        <v>0</v>
      </c>
      <c r="H16" s="56">
        <f t="shared" si="3"/>
        <v>0</v>
      </c>
      <c r="I16" s="56">
        <f t="shared" si="3"/>
        <v>0</v>
      </c>
    </row>
    <row r="17" spans="1:9" x14ac:dyDescent="0.2">
      <c r="A17" s="141" t="s">
        <v>70</v>
      </c>
      <c r="B17" s="142">
        <v>403.3</v>
      </c>
      <c r="C17" s="142">
        <f>B17*Assumptions!C11-Assumptions!C55+Deficit!D22</f>
        <v>437.55320345572795</v>
      </c>
      <c r="D17" s="142">
        <f>C17*Assumptions!D11-Assumptions!D55+Deficit!E22</f>
        <v>452.58864301232944</v>
      </c>
      <c r="E17" s="142">
        <f>D17*Assumptions!E11-Assumptions!E55+Deficit!F22</f>
        <v>469.46512143951526</v>
      </c>
      <c r="F17" s="142">
        <f>E17*Assumptions!F11-Assumptions!F55+Deficit!G22</f>
        <v>490.71596623305601</v>
      </c>
      <c r="G17" s="142">
        <f>F17*Assumptions!G11-Assumptions!G55+Deficit!H22</f>
        <v>510.40159772950022</v>
      </c>
      <c r="H17" s="142">
        <f>G17*Assumptions!H11-Assumptions!H55+Deficit!I22</f>
        <v>530.82672274612139</v>
      </c>
      <c r="I17" s="142">
        <f>H17*Assumptions!I11-Assumptions!I55+Deficit!J22</f>
        <v>552.01799382578326</v>
      </c>
    </row>
    <row r="18" spans="1:9" x14ac:dyDescent="0.2">
      <c r="A18" s="141" t="s">
        <v>116</v>
      </c>
      <c r="B18" s="144"/>
      <c r="C18" s="407">
        <f>Assumptions!C53</f>
        <v>1.49E-2</v>
      </c>
      <c r="D18" s="407">
        <f>Assumptions!D53</f>
        <v>1.49E-2</v>
      </c>
      <c r="E18" s="407">
        <f>Assumptions!E53</f>
        <v>1.49E-2</v>
      </c>
      <c r="F18" s="407">
        <f>Assumptions!F53</f>
        <v>1.49E-2</v>
      </c>
      <c r="G18" s="407">
        <f>Assumptions!G53</f>
        <v>1.49E-2</v>
      </c>
      <c r="H18" s="407">
        <f>Assumptions!H53</f>
        <v>1.49E-2</v>
      </c>
      <c r="I18" s="407">
        <f>Assumptions!I53</f>
        <v>1.49E-2</v>
      </c>
    </row>
    <row r="19" spans="1:9" x14ac:dyDescent="0.2">
      <c r="A19" s="117" t="s">
        <v>71</v>
      </c>
      <c r="B19" s="17"/>
      <c r="C19" s="65">
        <f>C18*B17*Assumptions!C11</f>
        <v>6.4057752200000007</v>
      </c>
      <c r="D19" s="65">
        <f>D18*C17*Assumptions!D11</f>
        <v>6.6760117570461155</v>
      </c>
      <c r="E19" s="65">
        <f>E18*D17*Assumptions!E11</f>
        <v>6.9256471919675686</v>
      </c>
      <c r="F19" s="65">
        <f>F18*E17*Assumptions!F11</f>
        <v>7.239856370279484</v>
      </c>
      <c r="G19" s="65">
        <f>G18*F17*Assumptions!G11</f>
        <v>7.5310179337787106</v>
      </c>
      <c r="H19" s="65">
        <f>H18*G17*Assumptions!H11</f>
        <v>7.8331333203546398</v>
      </c>
      <c r="I19" s="65">
        <f>I18*H17*Assumptions!I11</f>
        <v>8.1465977139847254</v>
      </c>
    </row>
    <row r="20" spans="1:9" ht="18.75" customHeight="1" x14ac:dyDescent="0.2">
      <c r="A20" s="125" t="s">
        <v>14</v>
      </c>
      <c r="B20" s="126">
        <f>4.028+(1.148+3.292+1.319)</f>
        <v>9.786999999999999</v>
      </c>
      <c r="C20" s="126">
        <f t="shared" ref="C20:I20" si="4">C19+C16</f>
        <v>11.88157522</v>
      </c>
      <c r="D20" s="126">
        <f t="shared" si="4"/>
        <v>9.7818239470461155</v>
      </c>
      <c r="E20" s="126">
        <f t="shared" si="4"/>
        <v>7.6614715719675681</v>
      </c>
      <c r="F20" s="126">
        <f t="shared" si="4"/>
        <v>7.239856370279484</v>
      </c>
      <c r="G20" s="126">
        <f t="shared" si="4"/>
        <v>7.5310179337787106</v>
      </c>
      <c r="H20" s="126">
        <f t="shared" si="4"/>
        <v>7.8331333203546398</v>
      </c>
      <c r="I20" s="127">
        <f t="shared" si="4"/>
        <v>8.1465977139847254</v>
      </c>
    </row>
    <row r="21" spans="1:9" ht="17" thickBot="1" x14ac:dyDescent="0.25">
      <c r="A21" s="107" t="s">
        <v>112</v>
      </c>
      <c r="B21" s="159">
        <f t="shared" ref="B21:I21" si="5">B20+B13</f>
        <v>534.20600000000002</v>
      </c>
      <c r="C21" s="159">
        <f t="shared" si="5"/>
        <v>626.84901306328743</v>
      </c>
      <c r="D21" s="159">
        <f t="shared" si="5"/>
        <v>703.04238912469611</v>
      </c>
      <c r="E21" s="159">
        <f t="shared" si="5"/>
        <v>791.42861987199774</v>
      </c>
      <c r="F21" s="159">
        <f t="shared" si="5"/>
        <v>900.09990990077995</v>
      </c>
      <c r="G21" s="159">
        <f t="shared" si="5"/>
        <v>1019.8481101240388</v>
      </c>
      <c r="H21" s="159">
        <f t="shared" si="5"/>
        <v>1155.5895942443135</v>
      </c>
      <c r="I21" s="159">
        <f t="shared" si="5"/>
        <v>1309.4630565149218</v>
      </c>
    </row>
    <row r="22" spans="1:9" ht="18" thickTop="1" thickBot="1" x14ac:dyDescent="0.25">
      <c r="A22" s="112" t="s">
        <v>72</v>
      </c>
      <c r="B22" s="415">
        <f t="shared" ref="B22:I22" si="6">B21+B7</f>
        <v>668.55320499999993</v>
      </c>
      <c r="C22" s="415">
        <f t="shared" si="6"/>
        <v>789.92404261245088</v>
      </c>
      <c r="D22" s="415">
        <f t="shared" si="6"/>
        <v>894.86844425530444</v>
      </c>
      <c r="E22" s="415">
        <f t="shared" si="6"/>
        <v>1004.9584670387751</v>
      </c>
      <c r="F22" s="415">
        <f t="shared" si="6"/>
        <v>1139.535353254352</v>
      </c>
      <c r="G22" s="415">
        <f t="shared" si="6"/>
        <v>1288.7735494360645</v>
      </c>
      <c r="H22" s="415">
        <f t="shared" si="6"/>
        <v>1457.5546351738988</v>
      </c>
      <c r="I22" s="415">
        <f t="shared" si="6"/>
        <v>1648.437227460877</v>
      </c>
    </row>
    <row r="23" spans="1:9" ht="17" thickTop="1" x14ac:dyDescent="0.2"/>
  </sheetData>
  <sheetProtection password="CC1A" sheet="1" objects="1" scenarios="1"/>
  <mergeCells count="1">
    <mergeCell ref="B1:I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V29"/>
  <sheetViews>
    <sheetView workbookViewId="0">
      <selection activeCell="E34" sqref="E34"/>
    </sheetView>
  </sheetViews>
  <sheetFormatPr baseColWidth="10" defaultColWidth="9.1640625" defaultRowHeight="14" x14ac:dyDescent="0.15"/>
  <cols>
    <col min="1" max="1" width="49.33203125" style="3" customWidth="1"/>
    <col min="2" max="2" width="13" style="92" customWidth="1"/>
    <col min="3" max="3" width="13.6640625" style="92" customWidth="1"/>
    <col min="4" max="4" width="12.6640625" style="92" customWidth="1"/>
    <col min="5" max="5" width="13.33203125" style="92" customWidth="1"/>
    <col min="6" max="6" width="13.5" style="92" customWidth="1"/>
    <col min="7" max="7" width="14.5" style="92" customWidth="1"/>
    <col min="8" max="8" width="13.6640625" style="92" customWidth="1"/>
    <col min="9" max="9" width="12" style="92" customWidth="1"/>
    <col min="10" max="10" width="12.1640625" style="92" customWidth="1"/>
    <col min="11" max="12" width="9.1640625" style="3"/>
    <col min="13" max="13" width="39.1640625" style="3" customWidth="1"/>
    <col min="14" max="22" width="9.1640625" style="23" customWidth="1"/>
    <col min="23" max="26" width="9.1640625" style="3"/>
    <col min="27" max="52" width="9.1640625" style="3" customWidth="1"/>
    <col min="53" max="16384" width="9.1640625" style="3"/>
  </cols>
  <sheetData>
    <row r="1" spans="1:22" ht="21" thickBot="1" x14ac:dyDescent="0.3">
      <c r="B1" s="426" t="s">
        <v>49</v>
      </c>
      <c r="C1" s="426"/>
      <c r="D1" s="426"/>
      <c r="E1" s="426"/>
      <c r="F1" s="426"/>
      <c r="G1" s="426"/>
      <c r="H1" s="426"/>
      <c r="I1" s="426"/>
      <c r="J1" s="426"/>
    </row>
    <row r="2" spans="1:22" s="2" customFormat="1" ht="19" thickTop="1" thickBot="1" x14ac:dyDescent="0.25">
      <c r="A2" s="41" t="s">
        <v>16</v>
      </c>
      <c r="B2" s="77"/>
      <c r="C2" s="77">
        <v>2013</v>
      </c>
      <c r="D2" s="77">
        <v>2014</v>
      </c>
      <c r="E2" s="77">
        <v>2015</v>
      </c>
      <c r="F2" s="77">
        <v>2016</v>
      </c>
      <c r="G2" s="77">
        <v>2017</v>
      </c>
      <c r="H2" s="77">
        <v>2018</v>
      </c>
      <c r="I2" s="77">
        <v>2019</v>
      </c>
      <c r="J2" s="77">
        <v>2020</v>
      </c>
      <c r="N2" s="22"/>
      <c r="O2" s="22"/>
      <c r="P2" s="22"/>
      <c r="Q2" s="22"/>
      <c r="R2" s="22"/>
      <c r="S2" s="22"/>
      <c r="T2" s="22"/>
      <c r="U2" s="22"/>
      <c r="V2" s="22"/>
    </row>
    <row r="3" spans="1:22" ht="29" thickTop="1" x14ac:dyDescent="0.15">
      <c r="A3" s="24" t="s">
        <v>74</v>
      </c>
      <c r="B3" s="78"/>
      <c r="C3" s="79">
        <f>Revenues!B51</f>
        <v>691.049047982616</v>
      </c>
      <c r="D3" s="79">
        <f>Revenues!C51</f>
        <v>800.45978084353999</v>
      </c>
      <c r="E3" s="79">
        <f>Revenues!D51</f>
        <v>924.33114742889109</v>
      </c>
      <c r="F3" s="79">
        <f>Revenues!E51</f>
        <v>1106.7454193046285</v>
      </c>
      <c r="G3" s="79">
        <f>Revenues!F51</f>
        <v>1322.3815332587078</v>
      </c>
      <c r="H3" s="79">
        <f>Revenues!G51</f>
        <v>1554.6533025445915</v>
      </c>
      <c r="I3" s="79">
        <f>Revenues!H51</f>
        <v>1812.4702749980993</v>
      </c>
      <c r="J3" s="81">
        <f>Revenues!I51</f>
        <v>2032.38596004139</v>
      </c>
      <c r="V3" s="48"/>
    </row>
    <row r="4" spans="1:22" x14ac:dyDescent="0.15">
      <c r="A4" s="21" t="s">
        <v>15</v>
      </c>
      <c r="B4" s="80"/>
      <c r="C4" s="81">
        <f>Expenditures!B21</f>
        <v>534.20600000000002</v>
      </c>
      <c r="D4" s="82">
        <f>Expenditures!C21</f>
        <v>626.84901306328743</v>
      </c>
      <c r="E4" s="82">
        <f>Expenditures!D21</f>
        <v>703.04238912469611</v>
      </c>
      <c r="F4" s="82">
        <f>Expenditures!E21</f>
        <v>791.42861987199774</v>
      </c>
      <c r="G4" s="82">
        <f>Expenditures!F21</f>
        <v>900.09990990077995</v>
      </c>
      <c r="H4" s="82">
        <f>Expenditures!G21</f>
        <v>1019.8481101240388</v>
      </c>
      <c r="I4" s="82">
        <f>Expenditures!H21</f>
        <v>1155.5895942443135</v>
      </c>
      <c r="J4" s="82">
        <f>Expenditures!I21</f>
        <v>1309.4630565149218</v>
      </c>
    </row>
    <row r="5" spans="1:22" ht="24.75" customHeight="1" x14ac:dyDescent="0.15">
      <c r="A5" s="21" t="s">
        <v>75</v>
      </c>
      <c r="B5" s="80"/>
      <c r="C5" s="81">
        <f t="shared" ref="C5:J5" si="0">C3-C4</f>
        <v>156.84304798261599</v>
      </c>
      <c r="D5" s="82">
        <f t="shared" si="0"/>
        <v>173.61076778025256</v>
      </c>
      <c r="E5" s="82">
        <f t="shared" si="0"/>
        <v>221.28875830419497</v>
      </c>
      <c r="F5" s="82">
        <f t="shared" si="0"/>
        <v>315.31679943263077</v>
      </c>
      <c r="G5" s="82">
        <f t="shared" si="0"/>
        <v>422.28162335792786</v>
      </c>
      <c r="H5" s="82">
        <f t="shared" si="0"/>
        <v>534.80519242055266</v>
      </c>
      <c r="I5" s="82">
        <f t="shared" si="0"/>
        <v>656.88068075378578</v>
      </c>
      <c r="J5" s="82">
        <f t="shared" si="0"/>
        <v>722.92290352646819</v>
      </c>
    </row>
    <row r="6" spans="1:22" x14ac:dyDescent="0.15">
      <c r="A6" s="21" t="s">
        <v>118</v>
      </c>
      <c r="B6" s="80"/>
      <c r="C6" s="81">
        <f>Expenditures!B7</f>
        <v>134.34720499999997</v>
      </c>
      <c r="D6" s="82">
        <f>Expenditures!C7</f>
        <v>163.07502954916345</v>
      </c>
      <c r="E6" s="82">
        <f>Expenditures!D7</f>
        <v>191.82605513060832</v>
      </c>
      <c r="F6" s="82">
        <f>Expenditures!E7</f>
        <v>213.5298471667773</v>
      </c>
      <c r="G6" s="82">
        <f>Expenditures!F7</f>
        <v>239.43544335357214</v>
      </c>
      <c r="H6" s="82">
        <f>Expenditures!G7</f>
        <v>268.92543931202562</v>
      </c>
      <c r="I6" s="82">
        <f>Expenditures!H7</f>
        <v>301.9650409295852</v>
      </c>
      <c r="J6" s="82">
        <f>Expenditures!I7</f>
        <v>338.97417094595511</v>
      </c>
    </row>
    <row r="7" spans="1:22" x14ac:dyDescent="0.15">
      <c r="A7" s="21" t="s">
        <v>76</v>
      </c>
      <c r="B7" s="80"/>
      <c r="C7" s="83">
        <f>7.16715</f>
        <v>7.1671500000000004</v>
      </c>
      <c r="D7" s="83">
        <f>C7*Assumptions!C5</f>
        <v>7.9832733705000001</v>
      </c>
      <c r="E7" s="83">
        <f>D7*Assumptions!D5</f>
        <v>8.6762534321528815</v>
      </c>
      <c r="F7" s="83">
        <f>E7*Assumptions!E5</f>
        <v>9.4928190239199495</v>
      </c>
      <c r="G7" s="83">
        <f>F7*Assumptions!F5</f>
        <v>10.465595653396145</v>
      </c>
      <c r="H7" s="83">
        <f>G7*Assumptions!G5</f>
        <v>11.560296958741382</v>
      </c>
      <c r="I7" s="83">
        <f>H7*Assumptions!H5</f>
        <v>12.769504020625732</v>
      </c>
      <c r="J7" s="83">
        <f>I7*Assumptions!I5</f>
        <v>14.105194141183183</v>
      </c>
    </row>
    <row r="8" spans="1:22" s="4" customFormat="1" x14ac:dyDescent="0.15">
      <c r="A8" s="20" t="s">
        <v>79</v>
      </c>
      <c r="B8" s="53"/>
      <c r="C8" s="90">
        <f>0.431187</f>
        <v>0.43118699999999999</v>
      </c>
      <c r="D8" s="90">
        <f>C8*Assumptions!C5</f>
        <v>0.48028626368999994</v>
      </c>
      <c r="E8" s="90">
        <f>D8*Assumptions!D5</f>
        <v>0.5219770325233466</v>
      </c>
      <c r="F8" s="90">
        <f>E8*Assumptions!E5</f>
        <v>0.57110290093928129</v>
      </c>
      <c r="G8" s="90">
        <f>F8*Assumptions!F5</f>
        <v>0.62962667071303402</v>
      </c>
      <c r="H8" s="90">
        <f>G8*Assumptions!G5</f>
        <v>0.69548562046961737</v>
      </c>
      <c r="I8" s="90">
        <f>H8*Assumptions!H5</f>
        <v>0.76823341637073939</v>
      </c>
      <c r="J8" s="90">
        <f>I8*Assumptions!I5</f>
        <v>0.84859063172311877</v>
      </c>
      <c r="N8" s="49"/>
      <c r="O8" s="50"/>
      <c r="P8" s="50"/>
      <c r="Q8" s="50"/>
      <c r="R8" s="50"/>
      <c r="S8" s="50"/>
      <c r="T8" s="50"/>
      <c r="U8" s="50"/>
      <c r="V8" s="50"/>
    </row>
    <row r="9" spans="1:22" x14ac:dyDescent="0.15">
      <c r="A9" s="21" t="s">
        <v>77</v>
      </c>
      <c r="B9" s="80"/>
      <c r="C9" s="84">
        <f>0.861517</f>
        <v>0.86151699999999998</v>
      </c>
      <c r="D9" s="85">
        <f>C9*Assumptions!C12</f>
        <v>0.935607462</v>
      </c>
      <c r="E9" s="85">
        <f>D9*Assumptions!D12</f>
        <v>0.97677419032800006</v>
      </c>
      <c r="F9" s="85">
        <f>E9*Assumptions!E12</f>
        <v>1.022682577273416</v>
      </c>
      <c r="G9" s="85">
        <f>F9*Assumptions!F12</f>
        <v>1.0789301190234539</v>
      </c>
      <c r="H9" s="85">
        <f>G9*Assumptions!G12</f>
        <v>1.1328766249746267</v>
      </c>
      <c r="I9" s="85">
        <f>H9*Assumptions!H12</f>
        <v>1.1895204562233581</v>
      </c>
      <c r="J9" s="85">
        <f>I9*Assumptions!I12</f>
        <v>1.248996479034526</v>
      </c>
    </row>
    <row r="10" spans="1:22" ht="17" thickBot="1" x14ac:dyDescent="0.2">
      <c r="A10" s="107" t="s">
        <v>78</v>
      </c>
      <c r="B10" s="113"/>
      <c r="C10" s="159">
        <f>C3+C8+C9-C4-C6-C7</f>
        <v>16.621396982616083</v>
      </c>
      <c r="D10" s="159">
        <f t="shared" ref="D10:J10" si="1">D3+D8+D9-D4-D6-D7</f>
        <v>3.9683585862791242</v>
      </c>
      <c r="E10" s="159">
        <f t="shared" si="1"/>
        <v>22.28520096428506</v>
      </c>
      <c r="F10" s="159">
        <f t="shared" si="1"/>
        <v>93.887918720146089</v>
      </c>
      <c r="G10" s="159">
        <f t="shared" si="1"/>
        <v>174.08914114069592</v>
      </c>
      <c r="H10" s="159">
        <f t="shared" si="1"/>
        <v>256.14781839522982</v>
      </c>
      <c r="I10" s="159">
        <f t="shared" si="1"/>
        <v>344.10388967616899</v>
      </c>
      <c r="J10" s="159">
        <f t="shared" si="1"/>
        <v>371.94112555008746</v>
      </c>
    </row>
    <row r="11" spans="1:22" ht="18" thickTop="1" thickBot="1" x14ac:dyDescent="0.2">
      <c r="A11" s="107"/>
      <c r="B11" s="113"/>
      <c r="C11" s="159"/>
      <c r="D11" s="159"/>
      <c r="E11" s="159"/>
      <c r="F11" s="159"/>
      <c r="G11" s="159"/>
      <c r="H11" s="159"/>
      <c r="I11" s="159"/>
      <c r="J11" s="159"/>
    </row>
    <row r="12" spans="1:22" ht="19" thickTop="1" thickBot="1" x14ac:dyDescent="0.25">
      <c r="A12" s="42" t="s">
        <v>30</v>
      </c>
      <c r="B12" s="86"/>
      <c r="C12" s="87"/>
      <c r="D12" s="87"/>
      <c r="E12" s="87"/>
      <c r="F12" s="87"/>
      <c r="G12" s="87"/>
      <c r="H12" s="87"/>
      <c r="I12" s="87"/>
      <c r="J12" s="88"/>
    </row>
    <row r="13" spans="1:22" s="4" customFormat="1" ht="15" thickTop="1" x14ac:dyDescent="0.15">
      <c r="A13" s="20" t="s">
        <v>78</v>
      </c>
      <c r="B13" s="53"/>
      <c r="C13" s="89">
        <f t="shared" ref="C13:J13" si="2">C10</f>
        <v>16.621396982616083</v>
      </c>
      <c r="D13" s="89">
        <f t="shared" si="2"/>
        <v>3.9683585862791242</v>
      </c>
      <c r="E13" s="89">
        <f t="shared" si="2"/>
        <v>22.28520096428506</v>
      </c>
      <c r="F13" s="89">
        <f t="shared" si="2"/>
        <v>93.887918720146089</v>
      </c>
      <c r="G13" s="89">
        <f t="shared" si="2"/>
        <v>174.08914114069592</v>
      </c>
      <c r="H13" s="89">
        <f t="shared" si="2"/>
        <v>256.14781839522982</v>
      </c>
      <c r="I13" s="89">
        <f t="shared" si="2"/>
        <v>344.10388967616899</v>
      </c>
      <c r="J13" s="89">
        <f t="shared" si="2"/>
        <v>371.94112555008746</v>
      </c>
      <c r="N13" s="49"/>
      <c r="O13" s="49"/>
      <c r="P13" s="49"/>
      <c r="Q13" s="49"/>
      <c r="R13" s="49"/>
      <c r="S13" s="49"/>
      <c r="T13" s="49"/>
      <c r="U13" s="49"/>
      <c r="V13" s="49"/>
    </row>
    <row r="14" spans="1:22" s="4" customFormat="1" x14ac:dyDescent="0.15">
      <c r="A14" s="20" t="s">
        <v>27</v>
      </c>
      <c r="B14" s="53"/>
      <c r="C14" s="90">
        <f>Assumptions!B54</f>
        <v>18.09151</v>
      </c>
      <c r="D14" s="90">
        <f>Assumptions!C54</f>
        <v>18.09151</v>
      </c>
      <c r="E14" s="90">
        <f>Assumptions!D54</f>
        <v>18.09151</v>
      </c>
      <c r="F14" s="90">
        <f>Assumptions!E54</f>
        <v>5.6169799999999981</v>
      </c>
      <c r="G14" s="90">
        <f>Assumptions!F54</f>
        <v>0</v>
      </c>
      <c r="H14" s="90">
        <f>Assumptions!G54</f>
        <v>0</v>
      </c>
      <c r="I14" s="90">
        <f>Assumptions!H54</f>
        <v>0</v>
      </c>
      <c r="J14" s="90">
        <f>Assumptions!I54</f>
        <v>0</v>
      </c>
      <c r="N14" s="49"/>
      <c r="O14" s="49"/>
      <c r="P14" s="49"/>
      <c r="Q14" s="49"/>
      <c r="R14" s="49"/>
      <c r="S14" s="49"/>
      <c r="T14" s="49"/>
      <c r="U14" s="49"/>
      <c r="V14" s="49"/>
    </row>
    <row r="15" spans="1:22" s="4" customFormat="1" ht="25.5" customHeight="1" x14ac:dyDescent="0.15">
      <c r="A15" s="20" t="s">
        <v>17</v>
      </c>
      <c r="B15" s="53"/>
      <c r="C15" s="90"/>
      <c r="D15" s="91">
        <f>Assumptions!C11</f>
        <v>1.0660000000000001</v>
      </c>
      <c r="E15" s="91">
        <f>Assumptions!D11</f>
        <v>1.024</v>
      </c>
      <c r="F15" s="91">
        <f>Assumptions!E11</f>
        <v>1.0269999999999999</v>
      </c>
      <c r="G15" s="91">
        <f>Assumptions!F11</f>
        <v>1.0349999999999999</v>
      </c>
      <c r="H15" s="91">
        <f>Assumptions!G11</f>
        <v>1.03</v>
      </c>
      <c r="I15" s="91">
        <f>Assumptions!H11</f>
        <v>1.03</v>
      </c>
      <c r="J15" s="91">
        <f>Assumptions!I11</f>
        <v>1.03</v>
      </c>
      <c r="M15" s="5"/>
      <c r="N15" s="49"/>
      <c r="O15" s="49"/>
      <c r="P15" s="49"/>
      <c r="Q15" s="49"/>
      <c r="R15" s="49"/>
      <c r="S15" s="49"/>
      <c r="T15" s="49"/>
      <c r="U15" s="49"/>
      <c r="V15" s="49"/>
    </row>
    <row r="16" spans="1:22" s="4" customFormat="1" x14ac:dyDescent="0.15">
      <c r="A16" s="20" t="s">
        <v>28</v>
      </c>
      <c r="B16" s="53"/>
      <c r="C16" s="89">
        <f>Assumptions!B55</f>
        <v>12.600419</v>
      </c>
      <c r="D16" s="89">
        <f>Assumptions!C55</f>
        <v>13.432046654000001</v>
      </c>
      <c r="E16" s="89">
        <f>Assumptions!D55</f>
        <v>13.754415773696001</v>
      </c>
      <c r="F16" s="89">
        <f>Assumptions!E55</f>
        <v>14.125784999585791</v>
      </c>
      <c r="G16" s="89">
        <f>Assumptions!F55</f>
        <v>14.620187474571292</v>
      </c>
      <c r="H16" s="89">
        <f>Assumptions!G55</f>
        <v>15.058793098808431</v>
      </c>
      <c r="I16" s="89">
        <f>Assumptions!H55</f>
        <v>15.510556891772685</v>
      </c>
      <c r="J16" s="89">
        <f>Assumptions!I55</f>
        <v>15.975873598525867</v>
      </c>
      <c r="N16" s="49"/>
      <c r="O16" s="49"/>
      <c r="P16" s="49"/>
      <c r="Q16" s="49"/>
      <c r="R16" s="49"/>
      <c r="S16" s="49"/>
      <c r="T16" s="49"/>
      <c r="U16" s="49"/>
      <c r="V16" s="49"/>
    </row>
    <row r="17" spans="1:22" s="4" customFormat="1" ht="42" x14ac:dyDescent="0.15">
      <c r="A17" s="214" t="s">
        <v>110</v>
      </c>
      <c r="B17" s="53"/>
      <c r="C17" s="89">
        <f>Assumptions!B56</f>
        <v>16.754165</v>
      </c>
      <c r="D17" s="89">
        <f>Assumptions!C56</f>
        <v>17.85993989</v>
      </c>
      <c r="E17" s="89">
        <f>Assumptions!D56</f>
        <v>18.288578447359999</v>
      </c>
      <c r="F17" s="89">
        <f>Assumptions!E56</f>
        <v>18.782370065438716</v>
      </c>
      <c r="G17" s="89">
        <f>Assumptions!F56</f>
        <v>19.439753017729071</v>
      </c>
      <c r="H17" s="89">
        <f>Assumptions!G56</f>
        <v>20.022945608260944</v>
      </c>
      <c r="I17" s="89">
        <f>Assumptions!H56</f>
        <v>20.623633976508774</v>
      </c>
      <c r="J17" s="89">
        <f>Assumptions!I56</f>
        <v>21.242342995804037</v>
      </c>
      <c r="N17" s="49"/>
      <c r="O17" s="49"/>
      <c r="P17" s="49"/>
      <c r="Q17" s="49"/>
      <c r="R17" s="49"/>
      <c r="S17" s="49"/>
      <c r="T17" s="49"/>
      <c r="U17" s="49"/>
      <c r="V17" s="49"/>
    </row>
    <row r="18" spans="1:22" s="4" customFormat="1" ht="17" thickBot="1" x14ac:dyDescent="0.2">
      <c r="A18" s="114" t="s">
        <v>80</v>
      </c>
      <c r="B18" s="160"/>
      <c r="C18" s="157">
        <f>Assumptions!B39</f>
        <v>6.4877479579929993</v>
      </c>
      <c r="D18" s="157">
        <f>IF(D25&gt;=0,D25,0)</f>
        <v>0</v>
      </c>
      <c r="E18" s="157">
        <f t="shared" ref="E18:J18" si="3">IF(E25&gt;=0,E25,0)</f>
        <v>8.7278536379490586</v>
      </c>
      <c r="F18" s="157">
        <f t="shared" si="3"/>
        <v>101.65537742394807</v>
      </c>
      <c r="G18" s="157">
        <f t="shared" si="3"/>
        <v>280.5640841078017</v>
      </c>
      <c r="H18" s="157">
        <f t="shared" si="3"/>
        <v>541.67605501248408</v>
      </c>
      <c r="I18" s="157">
        <f t="shared" si="3"/>
        <v>890.89302177338925</v>
      </c>
      <c r="J18" s="157">
        <f t="shared" si="3"/>
        <v>1268.1006167207549</v>
      </c>
      <c r="N18" s="49"/>
      <c r="O18" s="49"/>
      <c r="P18" s="49"/>
      <c r="Q18" s="49"/>
      <c r="R18" s="49"/>
      <c r="S18" s="49"/>
      <c r="T18" s="49"/>
      <c r="U18" s="49"/>
      <c r="V18" s="49"/>
    </row>
    <row r="19" spans="1:22" ht="15" thickTop="1" x14ac:dyDescent="0.15"/>
    <row r="20" spans="1:22" ht="18" thickBot="1" x14ac:dyDescent="0.25">
      <c r="A20" s="42" t="s">
        <v>40</v>
      </c>
      <c r="B20"/>
      <c r="C20"/>
      <c r="D20"/>
      <c r="E20"/>
      <c r="F20"/>
      <c r="G20"/>
      <c r="H20"/>
      <c r="I20"/>
      <c r="J20"/>
    </row>
    <row r="21" spans="1:22" ht="15" thickTop="1" x14ac:dyDescent="0.15">
      <c r="A21" s="121" t="s">
        <v>93</v>
      </c>
      <c r="B21" s="122"/>
      <c r="C21" s="122">
        <f>0</f>
        <v>0</v>
      </c>
      <c r="D21" s="122">
        <f>IF(D25&gt;=0,0,IF(D27&lt;D26,0,D27-D26))</f>
        <v>0</v>
      </c>
      <c r="E21" s="122">
        <f t="shared" ref="E21:J21" si="4">IF(E25&gt;=0,0,IF(E27&lt;E26,0,E27-E26))</f>
        <v>0</v>
      </c>
      <c r="F21" s="122">
        <f t="shared" si="4"/>
        <v>0</v>
      </c>
      <c r="G21" s="122">
        <f t="shared" si="4"/>
        <v>0</v>
      </c>
      <c r="H21" s="122">
        <f t="shared" si="4"/>
        <v>0</v>
      </c>
      <c r="I21" s="122">
        <f t="shared" si="4"/>
        <v>0</v>
      </c>
      <c r="J21" s="122">
        <f t="shared" si="4"/>
        <v>0</v>
      </c>
    </row>
    <row r="22" spans="1:22" x14ac:dyDescent="0.15">
      <c r="A22" s="123" t="s">
        <v>81</v>
      </c>
      <c r="B22" s="122"/>
      <c r="C22" s="124">
        <f>Assumptions!B56</f>
        <v>16.754165</v>
      </c>
      <c r="D22" s="124">
        <f>IF(D25&gt;=0,D17,IF(D27&lt;=D26,D27,D26))</f>
        <v>21.067450109727876</v>
      </c>
      <c r="E22" s="124">
        <f t="shared" ref="E22:J22" si="5">IF(E25&gt;=0,E17,IF(E27&lt;=E26,E27,E26))</f>
        <v>18.288578447359999</v>
      </c>
      <c r="F22" s="124">
        <f t="shared" si="5"/>
        <v>18.782370065438716</v>
      </c>
      <c r="G22" s="124">
        <f t="shared" si="5"/>
        <v>19.439753017729071</v>
      </c>
      <c r="H22" s="124">
        <f t="shared" si="5"/>
        <v>20.022945608260944</v>
      </c>
      <c r="I22" s="124">
        <f t="shared" si="5"/>
        <v>20.623633976508774</v>
      </c>
      <c r="J22" s="124">
        <f t="shared" si="5"/>
        <v>21.242342995804037</v>
      </c>
    </row>
    <row r="23" spans="1:22" x14ac:dyDescent="0.15">
      <c r="A23" s="22"/>
      <c r="B23" s="86"/>
      <c r="C23" s="189"/>
      <c r="D23" s="189"/>
      <c r="E23" s="189"/>
      <c r="F23" s="189"/>
      <c r="G23" s="189"/>
      <c r="H23" s="189"/>
      <c r="I23" s="189"/>
      <c r="J23" s="189"/>
    </row>
    <row r="24" spans="1:22" ht="42.75" customHeight="1" thickBot="1" x14ac:dyDescent="0.25">
      <c r="A24" s="101" t="s">
        <v>123</v>
      </c>
      <c r="B24"/>
      <c r="C24"/>
      <c r="D24"/>
      <c r="E24"/>
      <c r="F24"/>
      <c r="G24"/>
      <c r="H24"/>
      <c r="I24"/>
      <c r="J24"/>
    </row>
    <row r="25" spans="1:22" ht="17" thickTop="1" x14ac:dyDescent="0.2">
      <c r="A25" s="200" t="s">
        <v>124</v>
      </c>
      <c r="B25" s="100"/>
      <c r="C25" s="120">
        <f>C18</f>
        <v>6.4877479579929993</v>
      </c>
      <c r="D25" s="120">
        <f>C18+D13-D14-(D16-D17)</f>
        <v>-3.207510219727876</v>
      </c>
      <c r="E25" s="120">
        <f t="shared" ref="E25:J25" si="6">D18+E13-E14-(E16-E17)</f>
        <v>8.7278536379490586</v>
      </c>
      <c r="F25" s="120">
        <f t="shared" si="6"/>
        <v>101.65537742394807</v>
      </c>
      <c r="G25" s="120">
        <f t="shared" si="6"/>
        <v>280.5640841078017</v>
      </c>
      <c r="H25" s="120">
        <f t="shared" si="6"/>
        <v>541.67605501248408</v>
      </c>
      <c r="I25" s="120">
        <f t="shared" si="6"/>
        <v>890.89302177338925</v>
      </c>
      <c r="J25" s="120">
        <f t="shared" si="6"/>
        <v>1268.1006167207549</v>
      </c>
    </row>
    <row r="26" spans="1:22" ht="16" x14ac:dyDescent="0.2">
      <c r="A26" s="200" t="s">
        <v>125</v>
      </c>
      <c r="B26" s="100"/>
      <c r="C26" s="120">
        <f>Assumptions!$B$56*Assumptions!B57</f>
        <v>20.942706250000001</v>
      </c>
      <c r="D26" s="120">
        <f>Assumptions!$B$56*Assumptions!C57</f>
        <v>22.324924862500001</v>
      </c>
      <c r="E26" s="120">
        <f>Assumptions!$B$56*Assumptions!D57</f>
        <v>22.860723059199998</v>
      </c>
      <c r="F26" s="120">
        <f>Assumptions!$B$56*Assumptions!E57</f>
        <v>23.477962581798401</v>
      </c>
      <c r="G26" s="120">
        <f>Assumptions!$B$56*Assumptions!F57</f>
        <v>24.299691272161343</v>
      </c>
      <c r="H26" s="120">
        <f>Assumptions!$B$56*Assumptions!G57</f>
        <v>25.028682010326186</v>
      </c>
      <c r="I26" s="120">
        <f>Assumptions!$B$56*Assumptions!H57</f>
        <v>25.77954247063597</v>
      </c>
      <c r="J26" s="120">
        <f>Assumptions!$B$56*Assumptions!I57</f>
        <v>26.552928744755096</v>
      </c>
    </row>
    <row r="27" spans="1:22" ht="16" x14ac:dyDescent="0.2">
      <c r="A27" s="200" t="s">
        <v>126</v>
      </c>
      <c r="B27" s="100"/>
      <c r="C27" s="158"/>
      <c r="D27" s="158">
        <f t="shared" ref="D27:J27" si="7">D14+D16-(C18+D13)</f>
        <v>21.067450109727876</v>
      </c>
      <c r="E27" s="158">
        <f t="shared" si="7"/>
        <v>9.5607248094109423</v>
      </c>
      <c r="F27" s="158">
        <f t="shared" si="7"/>
        <v>-82.873007358509355</v>
      </c>
      <c r="G27" s="158">
        <f t="shared" si="7"/>
        <v>-261.12433109007264</v>
      </c>
      <c r="H27" s="158">
        <f t="shared" si="7"/>
        <v>-521.65310940422307</v>
      </c>
      <c r="I27" s="158">
        <f t="shared" si="7"/>
        <v>-870.26938779688044</v>
      </c>
      <c r="J27" s="158">
        <f t="shared" si="7"/>
        <v>-1246.858273724951</v>
      </c>
    </row>
    <row r="29" spans="1:22" x14ac:dyDescent="0.15">
      <c r="E29" s="140"/>
    </row>
  </sheetData>
  <sheetProtection password="CC1A" sheet="1" objects="1" scenarios="1"/>
  <mergeCells count="1">
    <mergeCell ref="B1:J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6" tint="0.39997558519241921"/>
  </sheetPr>
  <dimension ref="A1:AZ99"/>
  <sheetViews>
    <sheetView topLeftCell="A8" zoomScaleNormal="100" workbookViewId="0">
      <selection activeCell="B32" sqref="B32"/>
    </sheetView>
  </sheetViews>
  <sheetFormatPr baseColWidth="10" defaultColWidth="9.1640625" defaultRowHeight="25.5" customHeight="1" x14ac:dyDescent="0.2"/>
  <cols>
    <col min="1" max="1" width="54.33203125" style="138" customWidth="1"/>
    <col min="2" max="2" width="9.33203125" style="139" customWidth="1"/>
    <col min="3" max="3" width="12.33203125" style="139" customWidth="1"/>
    <col min="4" max="4" width="12.1640625" style="139" customWidth="1"/>
    <col min="5" max="5" width="11.5" style="139" customWidth="1"/>
    <col min="6" max="6" width="9" style="139" customWidth="1"/>
    <col min="7" max="7" width="10.5" style="139" customWidth="1"/>
    <col min="8" max="8" width="11.33203125" style="139" customWidth="1"/>
    <col min="9" max="9" width="11.5" style="139" customWidth="1"/>
    <col min="10" max="26" width="9.1640625" style="51"/>
    <col min="27" max="52" width="9.1640625" style="51" hidden="1" customWidth="1"/>
    <col min="53" max="16384" width="9.1640625" style="51"/>
  </cols>
  <sheetData>
    <row r="1" spans="1:35" s="183" customFormat="1" ht="25.5" customHeight="1" thickBot="1" x14ac:dyDescent="0.25">
      <c r="A1" s="182"/>
      <c r="B1" s="427" t="s">
        <v>50</v>
      </c>
      <c r="C1" s="427"/>
      <c r="D1" s="427"/>
      <c r="E1" s="427"/>
      <c r="F1" s="427"/>
      <c r="G1" s="427"/>
      <c r="H1" s="427"/>
      <c r="I1" s="427"/>
      <c r="AB1" s="183" t="s">
        <v>50</v>
      </c>
    </row>
    <row r="2" spans="1:35" s="183" customFormat="1" ht="16.5" customHeight="1" thickTop="1" thickBot="1" x14ac:dyDescent="0.25">
      <c r="A2" s="184"/>
      <c r="B2" s="215">
        <v>2013</v>
      </c>
      <c r="C2" s="215">
        <v>2014</v>
      </c>
      <c r="D2" s="215">
        <v>2015</v>
      </c>
      <c r="E2" s="215">
        <v>2016</v>
      </c>
      <c r="F2" s="215">
        <v>2017</v>
      </c>
      <c r="G2" s="215">
        <v>2018</v>
      </c>
      <c r="H2" s="215">
        <v>2019</v>
      </c>
      <c r="I2" s="215">
        <v>2020</v>
      </c>
      <c r="AB2" s="183">
        <v>2013</v>
      </c>
      <c r="AC2" s="183">
        <v>2014</v>
      </c>
      <c r="AD2" s="183">
        <v>2015</v>
      </c>
      <c r="AE2" s="183">
        <v>2016</v>
      </c>
      <c r="AF2" s="183">
        <v>2017</v>
      </c>
      <c r="AG2" s="183">
        <v>2018</v>
      </c>
      <c r="AH2" s="183">
        <v>2019</v>
      </c>
      <c r="AI2" s="183">
        <v>2020</v>
      </c>
    </row>
    <row r="3" spans="1:35" s="183" customFormat="1" ht="25.5" customHeight="1" thickTop="1" x14ac:dyDescent="0.2">
      <c r="A3" s="352" t="s">
        <v>2</v>
      </c>
      <c r="B3" s="353">
        <v>22379</v>
      </c>
      <c r="C3" s="353">
        <f t="shared" ref="C3:I3" si="0">B3*C5</f>
        <v>24927.296729999998</v>
      </c>
      <c r="D3" s="353">
        <f t="shared" si="0"/>
        <v>27091.085795350915</v>
      </c>
      <c r="E3" s="353">
        <f t="shared" si="0"/>
        <v>29640.763334980365</v>
      </c>
      <c r="F3" s="353">
        <f t="shared" si="0"/>
        <v>32678.200557732474</v>
      </c>
      <c r="G3" s="353">
        <f t="shared" si="0"/>
        <v>36096.340336071291</v>
      </c>
      <c r="H3" s="353">
        <f t="shared" si="0"/>
        <v>39872.017535224346</v>
      </c>
      <c r="I3" s="353">
        <f t="shared" si="0"/>
        <v>44042.630569408815</v>
      </c>
      <c r="AA3" s="183" t="s">
        <v>2</v>
      </c>
      <c r="AB3" s="183">
        <v>22379</v>
      </c>
      <c r="AC3" s="183">
        <v>24927.296729999998</v>
      </c>
      <c r="AD3" s="183">
        <v>27091.085795350915</v>
      </c>
      <c r="AE3" s="183">
        <v>29640.763334980365</v>
      </c>
      <c r="AF3" s="183">
        <v>32678.200557732474</v>
      </c>
      <c r="AG3" s="183">
        <v>36096.340336071291</v>
      </c>
      <c r="AH3" s="183">
        <v>39872.017535224346</v>
      </c>
      <c r="AI3" s="183">
        <v>44042.630569408815</v>
      </c>
    </row>
    <row r="4" spans="1:35" s="52" customFormat="1" ht="29.25" customHeight="1" x14ac:dyDescent="0.2">
      <c r="A4" s="354" t="s">
        <v>1</v>
      </c>
      <c r="B4" s="355"/>
      <c r="C4" s="398">
        <v>4.1000000000000002E-2</v>
      </c>
      <c r="D4" s="398">
        <v>4.1000000000000002E-2</v>
      </c>
      <c r="E4" s="398">
        <v>4.4999999999999998E-2</v>
      </c>
      <c r="F4" s="398">
        <v>4.4999999999999998E-2</v>
      </c>
      <c r="G4" s="398">
        <v>5.1999999999999998E-2</v>
      </c>
      <c r="H4" s="398">
        <v>5.1999999999999998E-2</v>
      </c>
      <c r="I4" s="398">
        <v>5.1999999999999998E-2</v>
      </c>
      <c r="Z4" s="216"/>
      <c r="AA4" s="52" t="s">
        <v>1</v>
      </c>
      <c r="AC4" s="52">
        <v>4.1000000000000002E-2</v>
      </c>
      <c r="AD4" s="52">
        <v>4.1000000000000002E-2</v>
      </c>
      <c r="AE4" s="52">
        <v>4.4999999999999998E-2</v>
      </c>
      <c r="AF4" s="52">
        <v>4.4999999999999998E-2</v>
      </c>
      <c r="AG4" s="52">
        <v>5.1999999999999998E-2</v>
      </c>
      <c r="AH4" s="52">
        <v>5.1999999999999998E-2</v>
      </c>
      <c r="AI4" s="52">
        <v>5.1999999999999998E-2</v>
      </c>
    </row>
    <row r="5" spans="1:35" s="185" customFormat="1" ht="30.75" customHeight="1" x14ac:dyDescent="0.2">
      <c r="A5" s="356" t="s">
        <v>11</v>
      </c>
      <c r="B5" s="357"/>
      <c r="C5" s="358">
        <f t="shared" ref="C5:I5" si="1">(1+C4)*(1+C6)</f>
        <v>1.1138699999999999</v>
      </c>
      <c r="D5" s="358">
        <f t="shared" si="1"/>
        <v>1.0868039999999999</v>
      </c>
      <c r="E5" s="358">
        <f t="shared" si="1"/>
        <v>1.0941149999999999</v>
      </c>
      <c r="F5" s="358">
        <f t="shared" si="1"/>
        <v>1.1024749999999999</v>
      </c>
      <c r="G5" s="358">
        <f t="shared" si="1"/>
        <v>1.1046</v>
      </c>
      <c r="H5" s="358">
        <f t="shared" si="1"/>
        <v>1.1046</v>
      </c>
      <c r="I5" s="358">
        <f t="shared" si="1"/>
        <v>1.1046</v>
      </c>
      <c r="Z5" s="183"/>
      <c r="AA5" s="185" t="s">
        <v>11</v>
      </c>
      <c r="AC5" s="185">
        <v>1.1138699999999999</v>
      </c>
      <c r="AD5" s="185">
        <v>1.0868039999999999</v>
      </c>
      <c r="AE5" s="185">
        <v>1.0941149999999999</v>
      </c>
      <c r="AF5" s="185">
        <v>1.1024749999999999</v>
      </c>
      <c r="AG5" s="185">
        <v>1.1046</v>
      </c>
      <c r="AH5" s="185">
        <v>1.1046</v>
      </c>
      <c r="AI5" s="185">
        <v>1.1046</v>
      </c>
    </row>
    <row r="6" spans="1:35" s="52" customFormat="1" ht="26.25" customHeight="1" x14ac:dyDescent="0.2">
      <c r="A6" s="354" t="s">
        <v>113</v>
      </c>
      <c r="B6" s="399">
        <v>7.5999999999999998E-2</v>
      </c>
      <c r="C6" s="399">
        <v>7.0000000000000007E-2</v>
      </c>
      <c r="D6" s="399">
        <v>4.3999999999999997E-2</v>
      </c>
      <c r="E6" s="399">
        <v>4.7E-2</v>
      </c>
      <c r="F6" s="399">
        <v>5.5E-2</v>
      </c>
      <c r="G6" s="399">
        <v>0.05</v>
      </c>
      <c r="H6" s="399">
        <v>0.05</v>
      </c>
      <c r="I6" s="399">
        <v>0.05</v>
      </c>
      <c r="Z6" s="216"/>
      <c r="AA6" s="52" t="s">
        <v>113</v>
      </c>
      <c r="AB6" s="52">
        <v>7.5999999999999998E-2</v>
      </c>
      <c r="AC6" s="52">
        <v>7.0000000000000007E-2</v>
      </c>
      <c r="AD6" s="52">
        <v>4.3999999999999997E-2</v>
      </c>
      <c r="AE6" s="52">
        <v>4.7E-2</v>
      </c>
      <c r="AF6" s="52">
        <v>5.5E-2</v>
      </c>
      <c r="AG6" s="52">
        <v>0.05</v>
      </c>
      <c r="AH6" s="52">
        <v>0.05</v>
      </c>
      <c r="AI6" s="52">
        <v>0.05</v>
      </c>
    </row>
    <row r="7" spans="1:35" ht="25.5" customHeight="1" x14ac:dyDescent="0.2">
      <c r="A7" s="359" t="s">
        <v>22</v>
      </c>
      <c r="B7" s="360">
        <v>9.9000000000000005E-2</v>
      </c>
      <c r="C7" s="360">
        <v>0.104</v>
      </c>
      <c r="D7" s="360">
        <v>0.111</v>
      </c>
      <c r="E7" s="360">
        <v>0.122</v>
      </c>
      <c r="F7" s="360">
        <v>0.13100000000000001</v>
      </c>
      <c r="G7" s="360">
        <v>0.13900000000000001</v>
      </c>
      <c r="H7" s="360">
        <v>0.14599999999999999</v>
      </c>
      <c r="I7" s="360">
        <v>0.14699999999999999</v>
      </c>
      <c r="J7" s="216"/>
      <c r="K7" s="216"/>
      <c r="L7" s="216"/>
      <c r="M7" s="216"/>
      <c r="N7" s="216"/>
      <c r="O7" s="216"/>
      <c r="P7" s="216"/>
      <c r="Q7" s="216"/>
      <c r="R7" s="216"/>
      <c r="S7" s="216"/>
      <c r="T7" s="216"/>
      <c r="U7" s="216"/>
      <c r="V7" s="216"/>
      <c r="W7" s="216"/>
      <c r="X7" s="216"/>
      <c r="Y7" s="216"/>
      <c r="Z7" s="216"/>
      <c r="AA7" s="51" t="s">
        <v>22</v>
      </c>
      <c r="AB7" s="51">
        <v>9.9000000000000005E-2</v>
      </c>
      <c r="AC7" s="51">
        <v>0.104</v>
      </c>
      <c r="AD7" s="51">
        <v>0.111</v>
      </c>
      <c r="AE7" s="51">
        <v>0.122</v>
      </c>
      <c r="AF7" s="51">
        <v>0.13100000000000001</v>
      </c>
      <c r="AG7" s="51">
        <v>0.13900000000000001</v>
      </c>
      <c r="AH7" s="51">
        <v>0.14599999999999999</v>
      </c>
      <c r="AI7" s="51">
        <v>0.14699999999999999</v>
      </c>
    </row>
    <row r="8" spans="1:35" ht="25.5" customHeight="1" x14ac:dyDescent="0.2">
      <c r="A8" s="359" t="s">
        <v>33</v>
      </c>
      <c r="B8" s="401">
        <v>7.3999999999999996E-2</v>
      </c>
      <c r="C8" s="401">
        <v>8.5999999999999993E-2</v>
      </c>
      <c r="D8" s="401">
        <v>4.3999999999999997E-2</v>
      </c>
      <c r="E8" s="401">
        <v>4.7E-2</v>
      </c>
      <c r="F8" s="401">
        <v>5.5E-2</v>
      </c>
      <c r="G8" s="401">
        <v>0.05</v>
      </c>
      <c r="H8" s="401">
        <v>0.05</v>
      </c>
      <c r="I8" s="401">
        <v>0.05</v>
      </c>
      <c r="J8" s="216"/>
      <c r="K8" s="216"/>
      <c r="L8" s="216"/>
      <c r="M8" s="216"/>
      <c r="N8" s="216"/>
      <c r="O8" s="216"/>
      <c r="P8" s="216"/>
      <c r="Q8" s="216"/>
      <c r="R8" s="216"/>
      <c r="S8" s="216"/>
      <c r="T8" s="216"/>
      <c r="U8" s="216"/>
      <c r="V8" s="216"/>
      <c r="W8" s="216"/>
      <c r="X8" s="216"/>
      <c r="Y8" s="216"/>
      <c r="Z8" s="216"/>
      <c r="AA8" s="51" t="s">
        <v>33</v>
      </c>
      <c r="AB8" s="51">
        <v>7.3999999999999996E-2</v>
      </c>
      <c r="AC8" s="51">
        <v>8.5999999999999993E-2</v>
      </c>
      <c r="AD8" s="51">
        <v>4.3999999999999997E-2</v>
      </c>
      <c r="AE8" s="51">
        <v>4.7E-2</v>
      </c>
      <c r="AF8" s="51">
        <v>5.5E-2</v>
      </c>
      <c r="AG8" s="51">
        <v>0.05</v>
      </c>
      <c r="AH8" s="51">
        <v>0.05</v>
      </c>
      <c r="AI8" s="51">
        <v>0.05</v>
      </c>
    </row>
    <row r="9" spans="1:35" ht="25.5" customHeight="1" x14ac:dyDescent="0.2">
      <c r="A9" s="359" t="s">
        <v>24</v>
      </c>
      <c r="B9" s="361"/>
      <c r="C9" s="400">
        <v>0.02</v>
      </c>
      <c r="D9" s="400">
        <v>0.02</v>
      </c>
      <c r="E9" s="400">
        <v>0.02</v>
      </c>
      <c r="F9" s="400">
        <v>0.02</v>
      </c>
      <c r="G9" s="400">
        <v>0.02</v>
      </c>
      <c r="H9" s="400">
        <v>0.02</v>
      </c>
      <c r="I9" s="400">
        <v>0.02</v>
      </c>
      <c r="J9" s="216"/>
      <c r="K9" s="216"/>
      <c r="L9" s="216"/>
      <c r="M9" s="216"/>
      <c r="N9" s="216"/>
      <c r="O9" s="216"/>
      <c r="P9" s="216"/>
      <c r="Q9" s="216"/>
      <c r="R9" s="216"/>
      <c r="S9" s="216"/>
      <c r="T9" s="216"/>
      <c r="U9" s="216"/>
      <c r="V9" s="216"/>
      <c r="W9" s="216"/>
      <c r="X9" s="216"/>
      <c r="Y9" s="216"/>
      <c r="Z9" s="216"/>
      <c r="AA9" s="51" t="s">
        <v>24</v>
      </c>
      <c r="AC9" s="51">
        <v>0.02</v>
      </c>
      <c r="AD9" s="51">
        <v>0.02</v>
      </c>
      <c r="AE9" s="51">
        <v>0.02</v>
      </c>
      <c r="AF9" s="51">
        <v>0.02</v>
      </c>
      <c r="AG9" s="51">
        <v>0.02</v>
      </c>
      <c r="AH9" s="51">
        <v>0.02</v>
      </c>
      <c r="AI9" s="51">
        <v>0.02</v>
      </c>
    </row>
    <row r="10" spans="1:35" s="183" customFormat="1" ht="25.5" customHeight="1" x14ac:dyDescent="0.2">
      <c r="A10" s="352" t="s">
        <v>44</v>
      </c>
      <c r="B10" s="362"/>
      <c r="C10" s="402">
        <f t="shared" ref="C10:I10" si="2">C8-C9</f>
        <v>6.5999999999999989E-2</v>
      </c>
      <c r="D10" s="402">
        <f t="shared" si="2"/>
        <v>2.3999999999999997E-2</v>
      </c>
      <c r="E10" s="402">
        <f t="shared" si="2"/>
        <v>2.7E-2</v>
      </c>
      <c r="F10" s="402">
        <f t="shared" si="2"/>
        <v>3.5000000000000003E-2</v>
      </c>
      <c r="G10" s="402">
        <f t="shared" si="2"/>
        <v>3.0000000000000002E-2</v>
      </c>
      <c r="H10" s="402">
        <f t="shared" si="2"/>
        <v>3.0000000000000002E-2</v>
      </c>
      <c r="I10" s="402">
        <f t="shared" si="2"/>
        <v>3.0000000000000002E-2</v>
      </c>
      <c r="J10" s="186"/>
      <c r="AA10" s="183" t="s">
        <v>44</v>
      </c>
      <c r="AC10" s="183">
        <v>6.5999999999999989E-2</v>
      </c>
      <c r="AD10" s="183">
        <v>2.3999999999999997E-2</v>
      </c>
      <c r="AE10" s="183">
        <v>2.7E-2</v>
      </c>
      <c r="AF10" s="183">
        <v>3.5000000000000003E-2</v>
      </c>
      <c r="AG10" s="183">
        <v>3.0000000000000002E-2</v>
      </c>
      <c r="AH10" s="183">
        <v>3.0000000000000002E-2</v>
      </c>
      <c r="AI10" s="183">
        <v>3.0000000000000002E-2</v>
      </c>
    </row>
    <row r="11" spans="1:35" s="183" customFormat="1" ht="25.5" customHeight="1" x14ac:dyDescent="0.2">
      <c r="A11" s="352" t="s">
        <v>45</v>
      </c>
      <c r="B11" s="362"/>
      <c r="C11" s="418">
        <f t="shared" ref="C11:I11" si="3">1+C10</f>
        <v>1.0660000000000001</v>
      </c>
      <c r="D11" s="418">
        <f t="shared" si="3"/>
        <v>1.024</v>
      </c>
      <c r="E11" s="418">
        <f t="shared" si="3"/>
        <v>1.0269999999999999</v>
      </c>
      <c r="F11" s="418">
        <f t="shared" si="3"/>
        <v>1.0349999999999999</v>
      </c>
      <c r="G11" s="418">
        <f t="shared" si="3"/>
        <v>1.03</v>
      </c>
      <c r="H11" s="418">
        <f t="shared" si="3"/>
        <v>1.03</v>
      </c>
      <c r="I11" s="418">
        <f t="shared" si="3"/>
        <v>1.03</v>
      </c>
      <c r="J11" s="186"/>
      <c r="AA11" s="183" t="s">
        <v>45</v>
      </c>
      <c r="AC11" s="183">
        <v>1.0660000000000001</v>
      </c>
      <c r="AD11" s="183">
        <v>1.024</v>
      </c>
      <c r="AE11" s="183">
        <v>1.0269999999999999</v>
      </c>
      <c r="AF11" s="183">
        <v>1.0349999999999999</v>
      </c>
      <c r="AG11" s="183">
        <v>1.03</v>
      </c>
      <c r="AH11" s="183">
        <v>1.03</v>
      </c>
      <c r="AI11" s="183">
        <v>1.03</v>
      </c>
    </row>
    <row r="12" spans="1:35" s="185" customFormat="1" ht="27" customHeight="1" x14ac:dyDescent="0.2">
      <c r="A12" s="356" t="s">
        <v>46</v>
      </c>
      <c r="B12" s="419">
        <f t="shared" ref="B12:I12" si="4">1+B8</f>
        <v>1.0740000000000001</v>
      </c>
      <c r="C12" s="419">
        <f t="shared" si="4"/>
        <v>1.0860000000000001</v>
      </c>
      <c r="D12" s="419">
        <f t="shared" si="4"/>
        <v>1.044</v>
      </c>
      <c r="E12" s="419">
        <f t="shared" si="4"/>
        <v>1.0469999999999999</v>
      </c>
      <c r="F12" s="419">
        <f t="shared" si="4"/>
        <v>1.0549999999999999</v>
      </c>
      <c r="G12" s="419">
        <f t="shared" si="4"/>
        <v>1.05</v>
      </c>
      <c r="H12" s="419">
        <f t="shared" si="4"/>
        <v>1.05</v>
      </c>
      <c r="I12" s="419">
        <f t="shared" si="4"/>
        <v>1.05</v>
      </c>
      <c r="Z12" s="183"/>
      <c r="AA12" s="185" t="s">
        <v>46</v>
      </c>
      <c r="AB12" s="185">
        <v>1.0740000000000001</v>
      </c>
      <c r="AC12" s="185">
        <v>1.0860000000000001</v>
      </c>
      <c r="AD12" s="185">
        <v>1.044</v>
      </c>
      <c r="AE12" s="185">
        <v>1.0469999999999999</v>
      </c>
      <c r="AF12" s="185">
        <v>1.0549999999999999</v>
      </c>
      <c r="AG12" s="185">
        <v>1.05</v>
      </c>
      <c r="AH12" s="185">
        <v>1.05</v>
      </c>
      <c r="AI12" s="185">
        <v>1.05</v>
      </c>
    </row>
    <row r="13" spans="1:35" s="183" customFormat="1" ht="25.5" customHeight="1" x14ac:dyDescent="0.2">
      <c r="A13" s="187"/>
      <c r="B13" s="188"/>
      <c r="C13" s="188"/>
      <c r="D13" s="188"/>
      <c r="E13" s="188"/>
      <c r="F13" s="188"/>
      <c r="G13" s="188"/>
      <c r="H13" s="188"/>
      <c r="I13" s="188"/>
    </row>
    <row r="14" spans="1:35" ht="43.5" customHeight="1" x14ac:dyDescent="0.2">
      <c r="A14" s="354" t="s">
        <v>103</v>
      </c>
      <c r="B14" s="360">
        <v>8.5819393946733102E-2</v>
      </c>
      <c r="C14" s="360">
        <v>8.5819393946733102E-2</v>
      </c>
      <c r="D14" s="360">
        <v>8.5819393946733102E-2</v>
      </c>
      <c r="E14" s="360">
        <v>8.5819393946733102E-2</v>
      </c>
      <c r="F14" s="360">
        <v>8.5819393946733102E-2</v>
      </c>
      <c r="G14" s="360">
        <v>8.5819393946733102E-2</v>
      </c>
      <c r="H14" s="360">
        <v>8.5819393946733102E-2</v>
      </c>
      <c r="I14" s="360">
        <v>8.5819393946733102E-2</v>
      </c>
      <c r="J14" s="216"/>
      <c r="K14" s="216"/>
      <c r="L14" s="216"/>
      <c r="M14" s="216"/>
      <c r="N14" s="216"/>
      <c r="O14" s="216"/>
      <c r="P14" s="216"/>
      <c r="Q14" s="216"/>
      <c r="R14" s="216"/>
      <c r="S14" s="216"/>
      <c r="T14" s="216"/>
      <c r="U14" s="216"/>
      <c r="V14" s="216"/>
      <c r="W14" s="216"/>
      <c r="X14" s="216"/>
      <c r="Y14" s="216"/>
      <c r="Z14" s="216"/>
      <c r="AA14" s="51" t="s">
        <v>103</v>
      </c>
      <c r="AB14" s="51">
        <v>8.5819393946733102E-2</v>
      </c>
      <c r="AC14" s="51">
        <v>8.5819393946733102E-2</v>
      </c>
      <c r="AD14" s="51">
        <v>8.5819393946733102E-2</v>
      </c>
      <c r="AE14" s="51">
        <v>8.5819393946733102E-2</v>
      </c>
      <c r="AF14" s="51">
        <v>8.5819393946733102E-2</v>
      </c>
      <c r="AG14" s="51">
        <v>8.5819393946733102E-2</v>
      </c>
      <c r="AH14" s="51">
        <v>8.5819393946733102E-2</v>
      </c>
      <c r="AI14" s="51">
        <v>8.5819393946733102E-2</v>
      </c>
    </row>
    <row r="15" spans="1:35" s="183" customFormat="1" ht="31.5" customHeight="1" x14ac:dyDescent="0.2">
      <c r="A15" s="363" t="s">
        <v>52</v>
      </c>
      <c r="B15" s="360">
        <f t="shared" ref="B15:I15" si="5">B14/$B$7</f>
        <v>0.86686256511851612</v>
      </c>
      <c r="C15" s="360">
        <f t="shared" si="5"/>
        <v>0.86686256511851612</v>
      </c>
      <c r="D15" s="360">
        <f t="shared" si="5"/>
        <v>0.86686256511851612</v>
      </c>
      <c r="E15" s="360">
        <f t="shared" si="5"/>
        <v>0.86686256511851612</v>
      </c>
      <c r="F15" s="360">
        <f t="shared" si="5"/>
        <v>0.86686256511851612</v>
      </c>
      <c r="G15" s="360">
        <f t="shared" si="5"/>
        <v>0.86686256511851612</v>
      </c>
      <c r="H15" s="360">
        <f t="shared" si="5"/>
        <v>0.86686256511851612</v>
      </c>
      <c r="I15" s="360">
        <f t="shared" si="5"/>
        <v>0.86686256511851612</v>
      </c>
      <c r="J15" s="216"/>
      <c r="K15" s="216"/>
      <c r="L15" s="216"/>
      <c r="M15" s="216"/>
      <c r="N15" s="216"/>
      <c r="O15" s="216"/>
      <c r="P15" s="216"/>
      <c r="Q15" s="216"/>
      <c r="R15" s="216"/>
      <c r="S15" s="216"/>
      <c r="T15" s="216"/>
      <c r="U15" s="216"/>
      <c r="V15" s="216"/>
      <c r="W15" s="216"/>
      <c r="X15" s="216"/>
      <c r="Y15" s="216"/>
      <c r="Z15" s="216"/>
      <c r="AA15" s="183" t="s">
        <v>52</v>
      </c>
      <c r="AB15" s="183">
        <v>0.86686256511851612</v>
      </c>
      <c r="AC15" s="183">
        <v>0.86686256511851612</v>
      </c>
      <c r="AD15" s="183">
        <v>0.86686256511851612</v>
      </c>
      <c r="AE15" s="183">
        <v>0.86686256511851612</v>
      </c>
      <c r="AF15" s="183">
        <v>0.86686256511851612</v>
      </c>
      <c r="AG15" s="183">
        <v>0.86686256511851612</v>
      </c>
      <c r="AH15" s="183">
        <v>0.86686256511851612</v>
      </c>
      <c r="AI15" s="183">
        <v>0.86686256511851612</v>
      </c>
    </row>
    <row r="16" spans="1:35" s="183" customFormat="1" ht="25.5" customHeight="1" x14ac:dyDescent="0.2">
      <c r="A16" s="364" t="s">
        <v>31</v>
      </c>
      <c r="B16" s="365">
        <f t="shared" ref="B16:I16" si="6">B15*B7</f>
        <v>8.5819393946733102E-2</v>
      </c>
      <c r="C16" s="365">
        <f t="shared" si="6"/>
        <v>9.0153706772325676E-2</v>
      </c>
      <c r="D16" s="365">
        <f t="shared" si="6"/>
        <v>9.6221744728155284E-2</v>
      </c>
      <c r="E16" s="365">
        <f t="shared" si="6"/>
        <v>0.10575723294445896</v>
      </c>
      <c r="F16" s="365">
        <f t="shared" si="6"/>
        <v>0.11355899603052562</v>
      </c>
      <c r="G16" s="365">
        <f t="shared" si="6"/>
        <v>0.12049389655147374</v>
      </c>
      <c r="H16" s="365">
        <f t="shared" si="6"/>
        <v>0.12656193450730335</v>
      </c>
      <c r="I16" s="365">
        <f t="shared" si="6"/>
        <v>0.12742879707242186</v>
      </c>
      <c r="AA16" s="183" t="s">
        <v>31</v>
      </c>
      <c r="AB16" s="183">
        <v>8.5819393946733102E-2</v>
      </c>
      <c r="AC16" s="183">
        <v>9.0153706772325676E-2</v>
      </c>
      <c r="AD16" s="183">
        <v>9.6221744728155284E-2</v>
      </c>
      <c r="AE16" s="183">
        <v>0.10575723294445896</v>
      </c>
      <c r="AF16" s="183">
        <v>0.11355899603052562</v>
      </c>
      <c r="AG16" s="183">
        <v>0.12049389655147374</v>
      </c>
      <c r="AH16" s="183">
        <v>0.12656193450730335</v>
      </c>
      <c r="AI16" s="183">
        <v>0.12742879707242186</v>
      </c>
    </row>
    <row r="17" spans="1:35" s="216" customFormat="1" ht="24.75" customHeight="1" x14ac:dyDescent="0.2">
      <c r="A17" s="359" t="s">
        <v>23</v>
      </c>
      <c r="B17" s="366">
        <v>0.01</v>
      </c>
      <c r="C17" s="366">
        <v>0.01</v>
      </c>
      <c r="D17" s="366">
        <v>0.01</v>
      </c>
      <c r="E17" s="366">
        <v>0.01</v>
      </c>
      <c r="F17" s="366">
        <v>0.01</v>
      </c>
      <c r="G17" s="366">
        <v>0.01</v>
      </c>
      <c r="H17" s="366">
        <v>0.01</v>
      </c>
      <c r="I17" s="366">
        <v>0.01</v>
      </c>
      <c r="J17" s="217"/>
      <c r="AA17" s="216" t="s">
        <v>23</v>
      </c>
      <c r="AB17" s="216">
        <v>0.01</v>
      </c>
      <c r="AC17" s="216">
        <v>0.01</v>
      </c>
      <c r="AD17" s="216">
        <v>0.01</v>
      </c>
      <c r="AE17" s="216">
        <v>0.01</v>
      </c>
      <c r="AF17" s="216">
        <v>0.01</v>
      </c>
      <c r="AG17" s="216">
        <v>0.01</v>
      </c>
      <c r="AH17" s="216">
        <v>0.01</v>
      </c>
      <c r="AI17" s="216">
        <v>0.01</v>
      </c>
    </row>
    <row r="18" spans="1:35" s="216" customFormat="1" ht="30" customHeight="1" x14ac:dyDescent="0.2">
      <c r="A18" s="359" t="s">
        <v>90</v>
      </c>
      <c r="B18" s="367">
        <v>0.01</v>
      </c>
      <c r="C18" s="367">
        <v>0.01</v>
      </c>
      <c r="D18" s="367">
        <v>0.01</v>
      </c>
      <c r="E18" s="367">
        <v>0.01</v>
      </c>
      <c r="F18" s="367">
        <v>0.01</v>
      </c>
      <c r="G18" s="367">
        <v>0.01</v>
      </c>
      <c r="H18" s="367">
        <v>0.01</v>
      </c>
      <c r="I18" s="367">
        <v>0.01</v>
      </c>
      <c r="AA18" s="216" t="s">
        <v>90</v>
      </c>
      <c r="AB18" s="216">
        <v>0.01</v>
      </c>
      <c r="AC18" s="216">
        <v>0.01</v>
      </c>
      <c r="AD18" s="216">
        <v>0.01</v>
      </c>
      <c r="AE18" s="216">
        <v>0.01</v>
      </c>
      <c r="AF18" s="216">
        <v>0.01</v>
      </c>
      <c r="AG18" s="216">
        <v>0.01</v>
      </c>
      <c r="AH18" s="216">
        <v>0.01</v>
      </c>
      <c r="AI18" s="216">
        <v>0.01</v>
      </c>
    </row>
    <row r="19" spans="1:35" s="216" customFormat="1" ht="29.25" customHeight="1" x14ac:dyDescent="0.2">
      <c r="A19" s="359" t="s">
        <v>18</v>
      </c>
      <c r="B19" s="368">
        <v>0.57499999999999996</v>
      </c>
      <c r="C19" s="368">
        <v>0.57499999999999996</v>
      </c>
      <c r="D19" s="368">
        <v>0.57499999999999996</v>
      </c>
      <c r="E19" s="368">
        <v>0.57499999999999996</v>
      </c>
      <c r="F19" s="368">
        <v>0.57499999999999996</v>
      </c>
      <c r="G19" s="368">
        <v>0.57499999999999996</v>
      </c>
      <c r="H19" s="368">
        <v>0.57499999999999996</v>
      </c>
      <c r="I19" s="368">
        <v>0.57499999999999996</v>
      </c>
      <c r="AA19" s="216" t="s">
        <v>18</v>
      </c>
      <c r="AB19" s="216">
        <v>0.57499999999999996</v>
      </c>
      <c r="AC19" s="216">
        <v>0.57499999999999996</v>
      </c>
      <c r="AD19" s="216">
        <v>0.57499999999999996</v>
      </c>
      <c r="AE19" s="216">
        <v>0.57499999999999996</v>
      </c>
      <c r="AF19" s="216">
        <v>0.57499999999999996</v>
      </c>
      <c r="AG19" s="216">
        <v>0.57499999999999996</v>
      </c>
      <c r="AH19" s="216">
        <v>0.57499999999999996</v>
      </c>
      <c r="AI19" s="216">
        <v>0.57499999999999996</v>
      </c>
    </row>
    <row r="20" spans="1:35" s="216" customFormat="1" ht="31.5" customHeight="1" x14ac:dyDescent="0.2">
      <c r="A20" s="359" t="s">
        <v>51</v>
      </c>
      <c r="B20" s="369">
        <v>0.51739999999999997</v>
      </c>
      <c r="C20" s="369">
        <v>0.51739999999999997</v>
      </c>
      <c r="D20" s="369">
        <v>0.51739999999999997</v>
      </c>
      <c r="E20" s="369">
        <v>0.51739999999999997</v>
      </c>
      <c r="F20" s="369">
        <v>0.51739999999999997</v>
      </c>
      <c r="G20" s="369">
        <v>0.51739999999999997</v>
      </c>
      <c r="H20" s="369">
        <v>0.51739999999999997</v>
      </c>
      <c r="I20" s="369">
        <v>0.51739999999999997</v>
      </c>
      <c r="AA20" s="216" t="s">
        <v>51</v>
      </c>
      <c r="AB20" s="216">
        <v>0.51739999999999997</v>
      </c>
      <c r="AC20" s="216">
        <v>0.51739999999999997</v>
      </c>
      <c r="AD20" s="216">
        <v>0.51739999999999997</v>
      </c>
      <c r="AE20" s="216">
        <v>0.51739999999999997</v>
      </c>
      <c r="AF20" s="216">
        <v>0.51739999999999997</v>
      </c>
      <c r="AG20" s="216">
        <v>0.51739999999999997</v>
      </c>
      <c r="AH20" s="216">
        <v>0.51739999999999997</v>
      </c>
      <c r="AI20" s="216">
        <v>0.51739999999999997</v>
      </c>
    </row>
    <row r="21" spans="1:35" s="216" customFormat="1" ht="25.5" customHeight="1" x14ac:dyDescent="0.2">
      <c r="A21" s="359" t="s">
        <v>56</v>
      </c>
      <c r="B21" s="361">
        <v>0</v>
      </c>
      <c r="C21" s="361">
        <v>0</v>
      </c>
      <c r="D21" s="361">
        <v>0</v>
      </c>
      <c r="E21" s="361">
        <v>0</v>
      </c>
      <c r="F21" s="361">
        <v>0</v>
      </c>
      <c r="G21" s="361">
        <v>0</v>
      </c>
      <c r="H21" s="361">
        <v>0</v>
      </c>
      <c r="I21" s="361">
        <v>0</v>
      </c>
      <c r="AA21" s="216" t="s">
        <v>56</v>
      </c>
      <c r="AB21" s="216">
        <v>0</v>
      </c>
      <c r="AC21" s="216">
        <v>0</v>
      </c>
      <c r="AD21" s="216">
        <v>0</v>
      </c>
      <c r="AE21" s="216">
        <v>0</v>
      </c>
      <c r="AF21" s="216">
        <v>0</v>
      </c>
      <c r="AG21" s="216">
        <v>0</v>
      </c>
      <c r="AH21" s="216">
        <v>0</v>
      </c>
      <c r="AI21" s="216">
        <v>0</v>
      </c>
    </row>
    <row r="22" spans="1:35" ht="25.5" customHeight="1" x14ac:dyDescent="0.2">
      <c r="A22" s="129"/>
      <c r="B22" s="133"/>
      <c r="C22" s="133"/>
      <c r="D22" s="133"/>
      <c r="E22" s="133"/>
      <c r="F22" s="133"/>
      <c r="G22" s="133"/>
      <c r="H22" s="133"/>
      <c r="I22" s="133"/>
      <c r="Z22" s="183"/>
    </row>
    <row r="23" spans="1:35" ht="29.25" customHeight="1" x14ac:dyDescent="0.2">
      <c r="A23" s="359" t="s">
        <v>34</v>
      </c>
      <c r="B23" s="360">
        <f t="shared" ref="B23:I23" si="7">(150.723/$B$3)/$B$7</f>
        <v>6.8030499372382397E-2</v>
      </c>
      <c r="C23" s="360">
        <f t="shared" si="7"/>
        <v>6.8030499372382397E-2</v>
      </c>
      <c r="D23" s="360">
        <f t="shared" si="7"/>
        <v>6.8030499372382397E-2</v>
      </c>
      <c r="E23" s="360">
        <f t="shared" si="7"/>
        <v>6.8030499372382397E-2</v>
      </c>
      <c r="F23" s="360">
        <f t="shared" si="7"/>
        <v>6.8030499372382397E-2</v>
      </c>
      <c r="G23" s="360">
        <f t="shared" si="7"/>
        <v>6.8030499372382397E-2</v>
      </c>
      <c r="H23" s="360">
        <f t="shared" si="7"/>
        <v>6.8030499372382397E-2</v>
      </c>
      <c r="I23" s="360">
        <f t="shared" si="7"/>
        <v>6.8030499372382397E-2</v>
      </c>
      <c r="J23" s="216"/>
      <c r="K23" s="216"/>
      <c r="L23" s="216"/>
      <c r="M23" s="216"/>
      <c r="N23" s="216"/>
      <c r="O23" s="216"/>
      <c r="P23" s="216"/>
      <c r="Q23" s="216"/>
      <c r="R23" s="216"/>
      <c r="S23" s="216"/>
      <c r="T23" s="216"/>
      <c r="U23" s="216"/>
      <c r="V23" s="216"/>
      <c r="W23" s="216"/>
      <c r="X23" s="216"/>
      <c r="Y23" s="216"/>
      <c r="Z23" s="216"/>
      <c r="AA23" s="51" t="s">
        <v>34</v>
      </c>
      <c r="AB23" s="51">
        <v>6.8030499372382397E-2</v>
      </c>
      <c r="AC23" s="51">
        <v>6.8030499372382397E-2</v>
      </c>
      <c r="AD23" s="51">
        <v>6.8030499372382397E-2</v>
      </c>
      <c r="AE23" s="51">
        <v>6.8030499372382397E-2</v>
      </c>
      <c r="AF23" s="51">
        <v>6.8030499372382397E-2</v>
      </c>
      <c r="AG23" s="51">
        <v>6.8030499372382397E-2</v>
      </c>
      <c r="AH23" s="51">
        <v>6.8030499372382397E-2</v>
      </c>
      <c r="AI23" s="51">
        <v>6.8030499372382397E-2</v>
      </c>
    </row>
    <row r="24" spans="1:35" s="183" customFormat="1" ht="25.5" customHeight="1" x14ac:dyDescent="0.2">
      <c r="A24" s="352" t="s">
        <v>20</v>
      </c>
      <c r="B24" s="365">
        <f t="shared" ref="B24:I24" si="8">B7*B23</f>
        <v>6.7350194378658574E-3</v>
      </c>
      <c r="C24" s="365">
        <f t="shared" si="8"/>
        <v>7.075171934727769E-3</v>
      </c>
      <c r="D24" s="365">
        <f t="shared" si="8"/>
        <v>7.5513854303344459E-3</v>
      </c>
      <c r="E24" s="365">
        <f t="shared" si="8"/>
        <v>8.2997209234306514E-3</v>
      </c>
      <c r="F24" s="365">
        <f t="shared" si="8"/>
        <v>8.9119954177820943E-3</v>
      </c>
      <c r="G24" s="365">
        <f t="shared" si="8"/>
        <v>9.4562394127611533E-3</v>
      </c>
      <c r="H24" s="365">
        <f t="shared" si="8"/>
        <v>9.9324529083678285E-3</v>
      </c>
      <c r="I24" s="365">
        <f t="shared" si="8"/>
        <v>1.0000483407740212E-2</v>
      </c>
      <c r="AA24" s="183" t="s">
        <v>20</v>
      </c>
      <c r="AB24" s="183">
        <v>6.7350194378658574E-3</v>
      </c>
      <c r="AC24" s="183">
        <v>7.075171934727769E-3</v>
      </c>
      <c r="AD24" s="183">
        <v>7.5513854303344459E-3</v>
      </c>
      <c r="AE24" s="183">
        <v>8.2997209234306514E-3</v>
      </c>
      <c r="AF24" s="183">
        <v>8.9119954177820943E-3</v>
      </c>
      <c r="AG24" s="183">
        <v>9.4562394127611533E-3</v>
      </c>
      <c r="AH24" s="183">
        <v>9.9324529083678285E-3</v>
      </c>
      <c r="AI24" s="183">
        <v>1.0000483407740212E-2</v>
      </c>
    </row>
    <row r="25" spans="1:35" ht="45" customHeight="1" x14ac:dyDescent="0.2">
      <c r="A25" s="359" t="s">
        <v>108</v>
      </c>
      <c r="B25" s="360">
        <f t="shared" ref="B25:I25" si="9">78.38663/(78.38663+68.697334)</f>
        <v>0.53293797548181399</v>
      </c>
      <c r="C25" s="360">
        <f t="shared" si="9"/>
        <v>0.53293797548181399</v>
      </c>
      <c r="D25" s="360">
        <f t="shared" si="9"/>
        <v>0.53293797548181399</v>
      </c>
      <c r="E25" s="360">
        <f t="shared" si="9"/>
        <v>0.53293797548181399</v>
      </c>
      <c r="F25" s="360">
        <f t="shared" si="9"/>
        <v>0.53293797548181399</v>
      </c>
      <c r="G25" s="360">
        <f t="shared" si="9"/>
        <v>0.53293797548181399</v>
      </c>
      <c r="H25" s="360">
        <f t="shared" si="9"/>
        <v>0.53293797548181399</v>
      </c>
      <c r="I25" s="360">
        <f t="shared" si="9"/>
        <v>0.53293797548181399</v>
      </c>
      <c r="J25" s="216"/>
      <c r="K25" s="216"/>
      <c r="L25" s="216"/>
      <c r="M25" s="216"/>
      <c r="N25" s="216"/>
      <c r="O25" s="216"/>
      <c r="P25" s="216"/>
      <c r="Q25" s="216"/>
      <c r="R25" s="216"/>
      <c r="S25" s="216"/>
      <c r="T25" s="216"/>
      <c r="U25" s="216"/>
      <c r="V25" s="216"/>
      <c r="W25" s="216"/>
      <c r="X25" s="216"/>
      <c r="Y25" s="216"/>
      <c r="Z25" s="216"/>
      <c r="AA25" s="51" t="s">
        <v>108</v>
      </c>
      <c r="AB25" s="51">
        <v>0.53293797548181399</v>
      </c>
      <c r="AC25" s="51">
        <v>0.53293797548181399</v>
      </c>
      <c r="AD25" s="51">
        <v>0.53293797548181399</v>
      </c>
      <c r="AE25" s="51">
        <v>0.53293797548181399</v>
      </c>
      <c r="AF25" s="51">
        <v>0.53293797548181399</v>
      </c>
      <c r="AG25" s="51">
        <v>0.53293797548181399</v>
      </c>
      <c r="AH25" s="51">
        <v>0.53293797548181399</v>
      </c>
      <c r="AI25" s="51">
        <v>0.53293797548181399</v>
      </c>
    </row>
    <row r="26" spans="1:35" ht="25.5" customHeight="1" x14ac:dyDescent="0.2">
      <c r="A26" s="129"/>
      <c r="B26" s="133"/>
      <c r="C26" s="133"/>
      <c r="D26" s="133"/>
      <c r="E26" s="133"/>
      <c r="F26" s="133"/>
      <c r="G26" s="133"/>
      <c r="H26" s="133"/>
      <c r="I26" s="133"/>
      <c r="Z26" s="183"/>
    </row>
    <row r="27" spans="1:35" ht="28.5" customHeight="1" x14ac:dyDescent="0.2">
      <c r="A27" s="359" t="s">
        <v>53</v>
      </c>
      <c r="B27" s="370">
        <f t="shared" ref="B27:I27" si="10">(0.490321/$B$3)/$B$7</f>
        <v>2.2131182687954663E-4</v>
      </c>
      <c r="C27" s="370">
        <f t="shared" si="10"/>
        <v>2.2131182687954663E-4</v>
      </c>
      <c r="D27" s="370">
        <f t="shared" si="10"/>
        <v>2.2131182687954663E-4</v>
      </c>
      <c r="E27" s="370">
        <f t="shared" si="10"/>
        <v>2.2131182687954663E-4</v>
      </c>
      <c r="F27" s="370">
        <f t="shared" si="10"/>
        <v>2.2131182687954663E-4</v>
      </c>
      <c r="G27" s="370">
        <f t="shared" si="10"/>
        <v>2.2131182687954663E-4</v>
      </c>
      <c r="H27" s="370">
        <f t="shared" si="10"/>
        <v>2.2131182687954663E-4</v>
      </c>
      <c r="I27" s="370">
        <f t="shared" si="10"/>
        <v>2.2131182687954663E-4</v>
      </c>
      <c r="J27" s="216"/>
      <c r="K27" s="216"/>
      <c r="L27" s="216"/>
      <c r="M27" s="216"/>
      <c r="N27" s="216"/>
      <c r="O27" s="216"/>
      <c r="P27" s="216"/>
      <c r="Q27" s="216"/>
      <c r="R27" s="216"/>
      <c r="S27" s="216"/>
      <c r="T27" s="216"/>
      <c r="U27" s="216"/>
      <c r="V27" s="216"/>
      <c r="W27" s="216"/>
      <c r="X27" s="216"/>
      <c r="Y27" s="216"/>
      <c r="Z27" s="216"/>
      <c r="AA27" s="51" t="s">
        <v>53</v>
      </c>
      <c r="AB27" s="51">
        <v>2.2131182687954663E-4</v>
      </c>
      <c r="AC27" s="51">
        <v>2.2131182687954663E-4</v>
      </c>
      <c r="AD27" s="51">
        <v>2.2131182687954663E-4</v>
      </c>
      <c r="AE27" s="51">
        <v>2.2131182687954663E-4</v>
      </c>
      <c r="AF27" s="51">
        <v>2.2131182687954663E-4</v>
      </c>
      <c r="AG27" s="51">
        <v>2.2131182687954663E-4</v>
      </c>
      <c r="AH27" s="51">
        <v>2.2131182687954663E-4</v>
      </c>
      <c r="AI27" s="51">
        <v>2.2131182687954663E-4</v>
      </c>
    </row>
    <row r="28" spans="1:35" s="183" customFormat="1" ht="25.5" customHeight="1" x14ac:dyDescent="0.2">
      <c r="A28" s="352" t="s">
        <v>35</v>
      </c>
      <c r="B28" s="371">
        <f t="shared" ref="B28:I28" si="11">B27*B7</f>
        <v>2.1909870861075117E-5</v>
      </c>
      <c r="C28" s="371">
        <f t="shared" si="11"/>
        <v>2.3016429995472847E-5</v>
      </c>
      <c r="D28" s="371">
        <f t="shared" si="11"/>
        <v>2.4565612783629675E-5</v>
      </c>
      <c r="E28" s="371">
        <f t="shared" si="11"/>
        <v>2.7000042879304686E-5</v>
      </c>
      <c r="F28" s="371">
        <f t="shared" si="11"/>
        <v>2.8991849321220609E-5</v>
      </c>
      <c r="G28" s="371">
        <f t="shared" si="11"/>
        <v>3.0762343936256985E-5</v>
      </c>
      <c r="H28" s="371">
        <f t="shared" si="11"/>
        <v>3.2311526724413803E-5</v>
      </c>
      <c r="I28" s="371">
        <f t="shared" si="11"/>
        <v>3.2532838551293351E-5</v>
      </c>
      <c r="AA28" s="183" t="s">
        <v>35</v>
      </c>
      <c r="AB28" s="183">
        <v>2.1909870861075117E-5</v>
      </c>
      <c r="AC28" s="183">
        <v>2.3016429995472847E-5</v>
      </c>
      <c r="AD28" s="183">
        <v>2.4565612783629675E-5</v>
      </c>
      <c r="AE28" s="183">
        <v>2.7000042879304686E-5</v>
      </c>
      <c r="AF28" s="183">
        <v>2.8991849321220609E-5</v>
      </c>
      <c r="AG28" s="183">
        <v>3.0762343936256985E-5</v>
      </c>
      <c r="AH28" s="183">
        <v>3.2311526724413803E-5</v>
      </c>
      <c r="AI28" s="183">
        <v>3.2532838551293351E-5</v>
      </c>
    </row>
    <row r="29" spans="1:35" ht="32.25" customHeight="1" x14ac:dyDescent="0.2">
      <c r="A29" s="354" t="s">
        <v>42</v>
      </c>
      <c r="B29" s="360">
        <f t="shared" ref="B29:I29" si="12">B28*B3</f>
        <v>0.49032100000000006</v>
      </c>
      <c r="C29" s="360">
        <f t="shared" si="12"/>
        <v>0.57373738016242415</v>
      </c>
      <c r="D29" s="360">
        <f t="shared" si="12"/>
        <v>0.66550912353668079</v>
      </c>
      <c r="E29" s="360">
        <f t="shared" si="12"/>
        <v>0.80030188101979205</v>
      </c>
      <c r="F29" s="360">
        <f t="shared" si="12"/>
        <v>0.94740146665840719</v>
      </c>
      <c r="G29" s="360">
        <f t="shared" si="12"/>
        <v>1.110408036258411</v>
      </c>
      <c r="H29" s="360">
        <f t="shared" si="12"/>
        <v>1.2883257601456972</v>
      </c>
      <c r="I29" s="360">
        <f t="shared" si="12"/>
        <v>1.4328317896888341</v>
      </c>
      <c r="J29" s="216"/>
      <c r="K29" s="216"/>
      <c r="L29" s="216"/>
      <c r="M29" s="216"/>
      <c r="N29" s="216"/>
      <c r="O29" s="216"/>
      <c r="P29" s="216"/>
      <c r="Q29" s="216"/>
      <c r="R29" s="216"/>
      <c r="S29" s="216"/>
      <c r="T29" s="216"/>
      <c r="U29" s="216"/>
      <c r="V29" s="216"/>
      <c r="W29" s="216"/>
      <c r="X29" s="216"/>
      <c r="Y29" s="216"/>
      <c r="Z29" s="216"/>
      <c r="AA29" s="51" t="s">
        <v>42</v>
      </c>
      <c r="AB29" s="51">
        <v>0.49032100000000006</v>
      </c>
      <c r="AC29" s="51">
        <v>0.57373738016242415</v>
      </c>
      <c r="AD29" s="51">
        <v>0.66550912353668079</v>
      </c>
      <c r="AE29" s="51">
        <v>0.80030188101979205</v>
      </c>
      <c r="AF29" s="51">
        <v>0.94740146665840719</v>
      </c>
      <c r="AG29" s="51">
        <v>1.110408036258411</v>
      </c>
      <c r="AH29" s="51">
        <v>1.2883257601456972</v>
      </c>
      <c r="AI29" s="51">
        <v>1.4328317896888341</v>
      </c>
    </row>
    <row r="30" spans="1:35" ht="25.5" customHeight="1" x14ac:dyDescent="0.2">
      <c r="A30" s="354" t="s">
        <v>43</v>
      </c>
      <c r="B30" s="361">
        <v>0</v>
      </c>
      <c r="C30" s="361">
        <v>0</v>
      </c>
      <c r="D30" s="361">
        <v>0</v>
      </c>
      <c r="E30" s="361">
        <v>0</v>
      </c>
      <c r="F30" s="361">
        <v>0</v>
      </c>
      <c r="G30" s="361">
        <v>0</v>
      </c>
      <c r="H30" s="361">
        <v>0</v>
      </c>
      <c r="I30" s="361">
        <v>0</v>
      </c>
      <c r="J30" s="216"/>
      <c r="K30" s="216"/>
      <c r="L30" s="216"/>
      <c r="M30" s="216"/>
      <c r="N30" s="216"/>
      <c r="O30" s="216"/>
      <c r="P30" s="216"/>
      <c r="Q30" s="216"/>
      <c r="R30" s="216"/>
      <c r="S30" s="216"/>
      <c r="T30" s="216"/>
      <c r="U30" s="216"/>
      <c r="V30" s="216"/>
      <c r="W30" s="216"/>
      <c r="X30" s="216"/>
      <c r="Y30" s="216"/>
      <c r="Z30" s="216"/>
      <c r="AA30" s="51" t="s">
        <v>43</v>
      </c>
      <c r="AB30" s="51">
        <v>0</v>
      </c>
      <c r="AC30" s="51">
        <v>0</v>
      </c>
      <c r="AD30" s="51">
        <v>0</v>
      </c>
      <c r="AE30" s="51">
        <v>0</v>
      </c>
      <c r="AF30" s="51">
        <v>0</v>
      </c>
      <c r="AG30" s="51">
        <v>0</v>
      </c>
      <c r="AH30" s="51">
        <v>0</v>
      </c>
      <c r="AI30" s="51">
        <v>0</v>
      </c>
    </row>
    <row r="31" spans="1:35" ht="28.5" customHeight="1" x14ac:dyDescent="0.2">
      <c r="A31" s="354" t="s">
        <v>106</v>
      </c>
      <c r="B31" s="372">
        <v>5.117</v>
      </c>
      <c r="C31" s="372">
        <v>0</v>
      </c>
      <c r="D31" s="372">
        <v>0</v>
      </c>
      <c r="E31" s="372">
        <v>0</v>
      </c>
      <c r="F31" s="372">
        <f>B31*C12*D12*E12*F12</f>
        <v>6.4083302117578791</v>
      </c>
      <c r="G31" s="372">
        <f>F31*G12</f>
        <v>6.7287467223457735</v>
      </c>
      <c r="H31" s="372">
        <f>G31*H12</f>
        <v>7.0651840584630623</v>
      </c>
      <c r="I31" s="372">
        <f>H31*I12</f>
        <v>7.4184432613862157</v>
      </c>
      <c r="J31" s="216"/>
      <c r="K31" s="216"/>
      <c r="L31" s="216"/>
      <c r="M31" s="216"/>
      <c r="N31" s="218"/>
      <c r="O31" s="218"/>
      <c r="P31" s="218"/>
      <c r="Q31" s="218"/>
      <c r="R31" s="216"/>
      <c r="S31" s="216"/>
      <c r="T31" s="216"/>
      <c r="U31" s="216"/>
      <c r="V31" s="216"/>
      <c r="W31" s="216"/>
      <c r="X31" s="216"/>
      <c r="Y31" s="216"/>
      <c r="Z31" s="216"/>
      <c r="AA31" s="51" t="s">
        <v>106</v>
      </c>
      <c r="AB31" s="51">
        <v>5.117</v>
      </c>
      <c r="AC31" s="51">
        <v>0</v>
      </c>
      <c r="AD31" s="51">
        <v>0</v>
      </c>
      <c r="AE31" s="51">
        <v>0</v>
      </c>
      <c r="AF31" s="51">
        <v>6.4083302117578791</v>
      </c>
      <c r="AG31" s="51">
        <v>6.7287467223457735</v>
      </c>
      <c r="AH31" s="51">
        <v>7.0651840584630623</v>
      </c>
      <c r="AI31" s="51">
        <v>7.4184432613862157</v>
      </c>
    </row>
    <row r="32" spans="1:35" ht="36.75" customHeight="1" x14ac:dyDescent="0.2">
      <c r="A32" s="373" t="s">
        <v>107</v>
      </c>
      <c r="B32" s="372">
        <v>0</v>
      </c>
      <c r="C32" s="372">
        <v>0</v>
      </c>
      <c r="D32" s="372">
        <v>0</v>
      </c>
      <c r="E32" s="372">
        <v>0</v>
      </c>
      <c r="F32" s="372">
        <f>($B$31*$C$12+$B$31*$C$12*$D$12+$B$31*$C$12*$D$12*$E$12)/4</f>
        <v>4.3582203435539997</v>
      </c>
      <c r="G32" s="372">
        <f>($B$31*$C$12+$B$31*$C$12*$D$12+$B$31*$C$12*$D$12*$E$12)/4</f>
        <v>4.3582203435539997</v>
      </c>
      <c r="H32" s="372">
        <f>($B$31*$C$12+$B$31*$C$12*$D$12+$B$31*$C$12*$D$12*$E$12)/4</f>
        <v>4.3582203435539997</v>
      </c>
      <c r="I32" s="372">
        <f>($B$31*$C$12+$B$31*$C$12*$D$12+$B$31*$C$12*$D$12*$E$12)/4</f>
        <v>4.3582203435539997</v>
      </c>
      <c r="J32" s="216"/>
      <c r="K32" s="216"/>
      <c r="L32" s="216"/>
      <c r="M32" s="216"/>
      <c r="N32" s="218"/>
      <c r="O32" s="218"/>
      <c r="P32" s="218"/>
      <c r="Q32" s="218"/>
      <c r="R32" s="216"/>
      <c r="S32" s="216"/>
      <c r="T32" s="216"/>
      <c r="U32" s="216"/>
      <c r="V32" s="216"/>
      <c r="W32" s="216"/>
      <c r="X32" s="216"/>
      <c r="Y32" s="216"/>
      <c r="Z32" s="216"/>
      <c r="AA32" s="51" t="s">
        <v>107</v>
      </c>
      <c r="AB32" s="51">
        <v>0</v>
      </c>
      <c r="AC32" s="51">
        <v>0</v>
      </c>
      <c r="AD32" s="51">
        <v>0</v>
      </c>
      <c r="AE32" s="51">
        <v>0</v>
      </c>
      <c r="AF32" s="51">
        <v>4.3582203435539997</v>
      </c>
      <c r="AG32" s="51">
        <v>4.3582203435539997</v>
      </c>
      <c r="AH32" s="51">
        <v>4.3582203435539997</v>
      </c>
      <c r="AI32" s="51">
        <v>4.3582203435539997</v>
      </c>
    </row>
    <row r="33" spans="1:35" s="183" customFormat="1" ht="31.5" customHeight="1" x14ac:dyDescent="0.2">
      <c r="A33" s="374" t="s">
        <v>99</v>
      </c>
      <c r="B33" s="375">
        <f t="shared" ref="B33:I33" si="13">B32+B31</f>
        <v>5.117</v>
      </c>
      <c r="C33" s="375">
        <f t="shared" si="13"/>
        <v>0</v>
      </c>
      <c r="D33" s="375">
        <f t="shared" si="13"/>
        <v>0</v>
      </c>
      <c r="E33" s="375">
        <f t="shared" si="13"/>
        <v>0</v>
      </c>
      <c r="F33" s="375">
        <f t="shared" si="13"/>
        <v>10.766550555311879</v>
      </c>
      <c r="G33" s="375">
        <f t="shared" si="13"/>
        <v>11.086967065899774</v>
      </c>
      <c r="H33" s="375">
        <f t="shared" si="13"/>
        <v>11.423404402017063</v>
      </c>
      <c r="I33" s="375">
        <f t="shared" si="13"/>
        <v>11.776663604940214</v>
      </c>
      <c r="AA33" s="183" t="s">
        <v>99</v>
      </c>
      <c r="AB33" s="183">
        <v>5.117</v>
      </c>
      <c r="AC33" s="183">
        <v>0</v>
      </c>
      <c r="AD33" s="183">
        <v>0</v>
      </c>
      <c r="AE33" s="183">
        <v>0</v>
      </c>
      <c r="AF33" s="183">
        <v>10.766550555311879</v>
      </c>
      <c r="AG33" s="183">
        <v>11.086967065899774</v>
      </c>
      <c r="AH33" s="183">
        <v>11.423404402017063</v>
      </c>
      <c r="AI33" s="183">
        <v>11.776663604940214</v>
      </c>
    </row>
    <row r="34" spans="1:35" ht="51.75" customHeight="1" x14ac:dyDescent="0.2">
      <c r="A34" s="354" t="s">
        <v>82</v>
      </c>
      <c r="B34" s="370">
        <f t="shared" ref="B34:I34" si="14">(7.360788/$B$3)/$B$7</f>
        <v>3.3223733830552724E-3</v>
      </c>
      <c r="C34" s="370">
        <f t="shared" si="14"/>
        <v>3.3223733830552724E-3</v>
      </c>
      <c r="D34" s="370">
        <f t="shared" si="14"/>
        <v>3.3223733830552724E-3</v>
      </c>
      <c r="E34" s="370">
        <f t="shared" si="14"/>
        <v>3.3223733830552724E-3</v>
      </c>
      <c r="F34" s="370">
        <f t="shared" si="14"/>
        <v>3.3223733830552724E-3</v>
      </c>
      <c r="G34" s="370">
        <f t="shared" si="14"/>
        <v>3.3223733830552724E-3</v>
      </c>
      <c r="H34" s="370">
        <f t="shared" si="14"/>
        <v>3.3223733830552724E-3</v>
      </c>
      <c r="I34" s="370">
        <f t="shared" si="14"/>
        <v>3.3223733830552724E-3</v>
      </c>
      <c r="J34" s="216"/>
      <c r="K34" s="216"/>
      <c r="L34" s="216"/>
      <c r="M34" s="216"/>
      <c r="N34" s="216"/>
      <c r="O34" s="216"/>
      <c r="P34" s="216"/>
      <c r="Q34" s="216"/>
      <c r="R34" s="216"/>
      <c r="S34" s="216"/>
      <c r="T34" s="216"/>
      <c r="U34" s="216"/>
      <c r="V34" s="216"/>
      <c r="W34" s="216"/>
      <c r="X34" s="216"/>
      <c r="Y34" s="216"/>
      <c r="Z34" s="216"/>
      <c r="AA34" s="51" t="s">
        <v>82</v>
      </c>
      <c r="AB34" s="51">
        <v>3.3223733830552724E-3</v>
      </c>
      <c r="AC34" s="51">
        <v>3.3223733830552724E-3</v>
      </c>
      <c r="AD34" s="51">
        <v>3.3223733830552724E-3</v>
      </c>
      <c r="AE34" s="51">
        <v>3.3223733830552724E-3</v>
      </c>
      <c r="AF34" s="51">
        <v>3.3223733830552724E-3</v>
      </c>
      <c r="AG34" s="51">
        <v>3.3223733830552724E-3</v>
      </c>
      <c r="AH34" s="51">
        <v>3.3223733830552724E-3</v>
      </c>
      <c r="AI34" s="51">
        <v>3.3223733830552724E-3</v>
      </c>
    </row>
    <row r="35" spans="1:35" ht="51.75" customHeight="1" x14ac:dyDescent="0.2">
      <c r="A35" s="376" t="s">
        <v>95</v>
      </c>
      <c r="B35" s="377">
        <f t="shared" ref="B35:I35" si="15">B34*B7</f>
        <v>3.2891496492247198E-4</v>
      </c>
      <c r="C35" s="377">
        <f t="shared" si="15"/>
        <v>3.4552683183774834E-4</v>
      </c>
      <c r="D35" s="377">
        <f t="shared" si="15"/>
        <v>3.6878344551913522E-4</v>
      </c>
      <c r="E35" s="377">
        <f t="shared" si="15"/>
        <v>4.0532955273274321E-4</v>
      </c>
      <c r="F35" s="377">
        <f t="shared" si="15"/>
        <v>4.3523091318024073E-4</v>
      </c>
      <c r="G35" s="377">
        <f t="shared" si="15"/>
        <v>4.6180990024468293E-4</v>
      </c>
      <c r="H35" s="377">
        <f t="shared" si="15"/>
        <v>4.8506651392606976E-4</v>
      </c>
      <c r="I35" s="377">
        <f t="shared" si="15"/>
        <v>4.8838888730912502E-4</v>
      </c>
      <c r="Z35" s="183"/>
      <c r="AA35" s="51" t="s">
        <v>95</v>
      </c>
      <c r="AB35" s="51">
        <v>3.2891496492247198E-4</v>
      </c>
      <c r="AC35" s="51">
        <v>3.4552683183774834E-4</v>
      </c>
      <c r="AD35" s="51">
        <v>3.6878344551913522E-4</v>
      </c>
      <c r="AE35" s="51">
        <v>4.0532955273274321E-4</v>
      </c>
      <c r="AF35" s="51">
        <v>4.3523091318024073E-4</v>
      </c>
      <c r="AG35" s="51">
        <v>4.6180990024468293E-4</v>
      </c>
      <c r="AH35" s="51">
        <v>4.8506651392606976E-4</v>
      </c>
      <c r="AI35" s="51">
        <v>4.8838888730912502E-4</v>
      </c>
    </row>
    <row r="36" spans="1:35" s="183" customFormat="1" ht="28.5" customHeight="1" x14ac:dyDescent="0.2">
      <c r="A36" s="352" t="s">
        <v>29</v>
      </c>
      <c r="B36" s="372">
        <f t="shared" ref="B36:I36" si="16">B35*B3</f>
        <v>7.3607880000000003</v>
      </c>
      <c r="C36" s="375">
        <f t="shared" si="16"/>
        <v>8.6130498653963627</v>
      </c>
      <c r="D36" s="375">
        <f t="shared" si="16"/>
        <v>9.9907439624640126</v>
      </c>
      <c r="E36" s="375">
        <f t="shared" si="16"/>
        <v>12.014277345224686</v>
      </c>
      <c r="F36" s="375">
        <f t="shared" si="16"/>
        <v>14.222563069828956</v>
      </c>
      <c r="G36" s="375">
        <f t="shared" si="16"/>
        <v>16.669647329799208</v>
      </c>
      <c r="H36" s="375">
        <f t="shared" si="16"/>
        <v>19.340580549010397</v>
      </c>
      <c r="I36" s="375">
        <f t="shared" si="16"/>
        <v>21.509931337960428</v>
      </c>
      <c r="J36" s="186"/>
      <c r="AA36" s="183" t="s">
        <v>29</v>
      </c>
      <c r="AB36" s="183">
        <v>7.3607880000000003</v>
      </c>
      <c r="AC36" s="183">
        <v>8.6130498653963627</v>
      </c>
      <c r="AD36" s="183">
        <v>9.9907439624640126</v>
      </c>
      <c r="AE36" s="183">
        <v>12.014277345224686</v>
      </c>
      <c r="AF36" s="183">
        <v>14.222563069828956</v>
      </c>
      <c r="AG36" s="183">
        <v>16.669647329799208</v>
      </c>
      <c r="AH36" s="183">
        <v>19.340580549010397</v>
      </c>
      <c r="AI36" s="183">
        <v>21.509931337960428</v>
      </c>
    </row>
    <row r="37" spans="1:35" ht="15" customHeight="1" x14ac:dyDescent="0.2">
      <c r="A37" s="134"/>
      <c r="B37" s="135"/>
      <c r="C37" s="135"/>
      <c r="D37" s="135"/>
      <c r="E37" s="135"/>
      <c r="F37" s="135"/>
      <c r="G37" s="135"/>
      <c r="H37" s="135"/>
      <c r="I37" s="135"/>
      <c r="Z37" s="183"/>
    </row>
    <row r="38" spans="1:35" ht="48" customHeight="1" x14ac:dyDescent="0.2">
      <c r="A38" s="354" t="s">
        <v>59</v>
      </c>
      <c r="B38" s="372">
        <f>0.224501</f>
        <v>0.22450100000000001</v>
      </c>
      <c r="C38" s="372">
        <v>0</v>
      </c>
      <c r="D38" s="361">
        <v>0</v>
      </c>
      <c r="E38" s="361">
        <v>0</v>
      </c>
      <c r="F38" s="361">
        <v>0</v>
      </c>
      <c r="G38" s="361">
        <v>0</v>
      </c>
      <c r="H38" s="361">
        <v>0</v>
      </c>
      <c r="I38" s="361">
        <v>0</v>
      </c>
      <c r="J38" s="216"/>
      <c r="K38" s="216"/>
      <c r="L38" s="216"/>
      <c r="M38" s="216"/>
      <c r="N38" s="216"/>
      <c r="O38" s="216"/>
      <c r="P38" s="216"/>
      <c r="Q38" s="216"/>
      <c r="R38" s="216"/>
      <c r="S38" s="216"/>
      <c r="T38" s="216"/>
      <c r="U38" s="216"/>
      <c r="V38" s="216"/>
      <c r="W38" s="216"/>
      <c r="X38" s="216"/>
      <c r="Y38" s="216"/>
      <c r="Z38" s="216"/>
      <c r="AA38" s="51" t="s">
        <v>59</v>
      </c>
      <c r="AB38" s="51">
        <v>0.22450100000000001</v>
      </c>
      <c r="AC38" s="51">
        <v>0</v>
      </c>
      <c r="AD38" s="51">
        <v>0</v>
      </c>
      <c r="AE38" s="51">
        <v>0</v>
      </c>
      <c r="AF38" s="51">
        <v>0</v>
      </c>
      <c r="AG38" s="51">
        <v>0</v>
      </c>
      <c r="AH38" s="51">
        <v>0</v>
      </c>
      <c r="AI38" s="51">
        <v>0</v>
      </c>
    </row>
    <row r="39" spans="1:35" ht="48" customHeight="1" x14ac:dyDescent="0.2">
      <c r="A39" s="354" t="s">
        <v>105</v>
      </c>
      <c r="B39" s="372">
        <f>C41/C40</f>
        <v>6.4877479579929993</v>
      </c>
      <c r="C39" s="372"/>
      <c r="D39" s="361"/>
      <c r="E39" s="361"/>
      <c r="F39" s="361"/>
      <c r="G39" s="361"/>
      <c r="H39" s="361"/>
      <c r="I39" s="361"/>
      <c r="J39" s="216"/>
      <c r="K39" s="216"/>
      <c r="L39" s="216"/>
      <c r="M39" s="216"/>
      <c r="N39" s="216"/>
      <c r="O39" s="216"/>
      <c r="P39" s="216"/>
      <c r="Q39" s="216"/>
      <c r="R39" s="216"/>
      <c r="S39" s="216"/>
      <c r="T39" s="216"/>
      <c r="U39" s="216"/>
      <c r="V39" s="216"/>
      <c r="W39" s="216"/>
      <c r="X39" s="216"/>
      <c r="Y39" s="216"/>
      <c r="Z39" s="216"/>
      <c r="AA39" s="51" t="s">
        <v>105</v>
      </c>
      <c r="AB39" s="51">
        <v>6.4877479579929993</v>
      </c>
    </row>
    <row r="40" spans="1:35" ht="25.5" customHeight="1" x14ac:dyDescent="0.2">
      <c r="A40" s="359" t="s">
        <v>83</v>
      </c>
      <c r="B40" s="361"/>
      <c r="C40" s="378">
        <v>8.5699999999999998E-2</v>
      </c>
      <c r="D40" s="378">
        <v>7.8299999999999995E-2</v>
      </c>
      <c r="E40" s="378">
        <v>6.4799999999999996E-2</v>
      </c>
      <c r="F40" s="378">
        <v>6.4799999999999996E-2</v>
      </c>
      <c r="G40" s="378">
        <v>6.4799999999999996E-2</v>
      </c>
      <c r="H40" s="378">
        <v>6.4799999999999996E-2</v>
      </c>
      <c r="I40" s="378">
        <v>6.4799999999999996E-2</v>
      </c>
      <c r="J40" s="216"/>
      <c r="K40" s="216"/>
      <c r="L40" s="216"/>
      <c r="M40" s="216"/>
      <c r="N40" s="216"/>
      <c r="O40" s="216"/>
      <c r="P40" s="216"/>
      <c r="Q40" s="216"/>
      <c r="R40" s="216"/>
      <c r="S40" s="216"/>
      <c r="T40" s="216"/>
      <c r="U40" s="216"/>
      <c r="V40" s="216"/>
      <c r="W40" s="216"/>
      <c r="X40" s="216"/>
      <c r="Y40" s="216"/>
      <c r="Z40" s="216"/>
      <c r="AA40" s="51" t="s">
        <v>83</v>
      </c>
      <c r="AC40" s="51">
        <v>8.5699999999999998E-2</v>
      </c>
      <c r="AD40" s="51">
        <v>7.8299999999999995E-2</v>
      </c>
      <c r="AE40" s="51">
        <v>6.4799999999999996E-2</v>
      </c>
      <c r="AF40" s="51">
        <v>6.4799999999999996E-2</v>
      </c>
      <c r="AG40" s="51">
        <v>6.4799999999999996E-2</v>
      </c>
      <c r="AH40" s="51">
        <v>6.4799999999999996E-2</v>
      </c>
      <c r="AI40" s="51">
        <v>6.4799999999999996E-2</v>
      </c>
    </row>
    <row r="41" spans="1:35" ht="25.5" customHeight="1" x14ac:dyDescent="0.2">
      <c r="A41" s="359" t="s">
        <v>104</v>
      </c>
      <c r="B41" s="361"/>
      <c r="C41" s="379">
        <v>0.55600000000000005</v>
      </c>
      <c r="D41" s="379"/>
      <c r="E41" s="379"/>
      <c r="F41" s="379"/>
      <c r="G41" s="379"/>
      <c r="H41" s="379"/>
      <c r="I41" s="379"/>
      <c r="J41" s="216"/>
      <c r="K41" s="216"/>
      <c r="L41" s="216"/>
      <c r="M41" s="216"/>
      <c r="N41" s="216"/>
      <c r="O41" s="216"/>
      <c r="P41" s="216"/>
      <c r="Q41" s="216"/>
      <c r="R41" s="216"/>
      <c r="S41" s="216"/>
      <c r="T41" s="216"/>
      <c r="U41" s="216"/>
      <c r="V41" s="216"/>
      <c r="W41" s="216"/>
      <c r="X41" s="216"/>
      <c r="Y41" s="216"/>
      <c r="Z41" s="216"/>
      <c r="AA41" s="51" t="s">
        <v>104</v>
      </c>
      <c r="AC41" s="51">
        <v>0.55600000000000005</v>
      </c>
    </row>
    <row r="42" spans="1:35" ht="28.5" customHeight="1" x14ac:dyDescent="0.2">
      <c r="A42" s="359" t="s">
        <v>62</v>
      </c>
      <c r="B42" s="372">
        <f>7.297024</f>
        <v>7.2970240000000004</v>
      </c>
      <c r="C42" s="372">
        <f>B42*Assumptions!C11</f>
        <v>7.7786275840000005</v>
      </c>
      <c r="D42" s="372">
        <f>C42*Assumptions!D11</f>
        <v>7.9653146460160009</v>
      </c>
      <c r="E42" s="372">
        <f>D42*Assumptions!E11</f>
        <v>8.1803781414584318</v>
      </c>
      <c r="F42" s="372">
        <f>E42*Assumptions!F11</f>
        <v>8.4666913764094769</v>
      </c>
      <c r="G42" s="372">
        <f>F42*Assumptions!G11</f>
        <v>8.7206921177017609</v>
      </c>
      <c r="H42" s="372">
        <f>G42*Assumptions!H11</f>
        <v>8.9823128812328132</v>
      </c>
      <c r="I42" s="372">
        <f>H42*Assumptions!I11</f>
        <v>9.2517822676697978</v>
      </c>
      <c r="J42" s="216"/>
      <c r="K42" s="216"/>
      <c r="L42" s="216"/>
      <c r="M42" s="216"/>
      <c r="N42" s="216"/>
      <c r="O42" s="216"/>
      <c r="P42" s="216"/>
      <c r="Q42" s="216"/>
      <c r="R42" s="216"/>
      <c r="S42" s="216"/>
      <c r="T42" s="216"/>
      <c r="U42" s="216"/>
      <c r="V42" s="216"/>
      <c r="W42" s="216"/>
      <c r="X42" s="216"/>
      <c r="Y42" s="216"/>
      <c r="Z42" s="216"/>
      <c r="AA42" s="51" t="s">
        <v>62</v>
      </c>
      <c r="AB42" s="51">
        <v>7.2970240000000004</v>
      </c>
      <c r="AC42" s="51">
        <v>7.7786275840000005</v>
      </c>
      <c r="AD42" s="51">
        <v>7.9653146460160009</v>
      </c>
      <c r="AE42" s="51">
        <v>8.1803781414584318</v>
      </c>
      <c r="AF42" s="51">
        <v>8.4666913764094769</v>
      </c>
      <c r="AG42" s="51">
        <v>8.7206921177017609</v>
      </c>
      <c r="AH42" s="51">
        <v>8.9823128812328132</v>
      </c>
      <c r="AI42" s="51">
        <v>9.2517822676697978</v>
      </c>
    </row>
    <row r="43" spans="1:35" ht="28.5" customHeight="1" x14ac:dyDescent="0.2">
      <c r="A43" s="359" t="s">
        <v>25</v>
      </c>
      <c r="B43" s="361">
        <v>0</v>
      </c>
      <c r="C43" s="361">
        <v>0</v>
      </c>
      <c r="D43" s="361">
        <v>0</v>
      </c>
      <c r="E43" s="361">
        <v>0</v>
      </c>
      <c r="F43" s="361">
        <v>0</v>
      </c>
      <c r="G43" s="361">
        <v>0</v>
      </c>
      <c r="H43" s="361">
        <v>0</v>
      </c>
      <c r="I43" s="361">
        <v>0</v>
      </c>
      <c r="J43" s="216"/>
      <c r="K43" s="216"/>
      <c r="L43" s="216"/>
      <c r="M43" s="216"/>
      <c r="N43" s="216"/>
      <c r="O43" s="216"/>
      <c r="P43" s="216"/>
      <c r="Q43" s="216"/>
      <c r="R43" s="216"/>
      <c r="S43" s="216"/>
      <c r="T43" s="216"/>
      <c r="U43" s="216"/>
      <c r="V43" s="216"/>
      <c r="W43" s="216"/>
      <c r="X43" s="216"/>
      <c r="Y43" s="216"/>
      <c r="Z43" s="216"/>
      <c r="AA43" s="51" t="s">
        <v>25</v>
      </c>
      <c r="AB43" s="51">
        <v>0</v>
      </c>
      <c r="AC43" s="51">
        <v>0</v>
      </c>
      <c r="AD43" s="51">
        <v>0</v>
      </c>
      <c r="AE43" s="51">
        <v>0</v>
      </c>
      <c r="AF43" s="51">
        <v>0</v>
      </c>
      <c r="AG43" s="51">
        <v>0</v>
      </c>
      <c r="AH43" s="51">
        <v>0</v>
      </c>
      <c r="AI43" s="51">
        <v>0</v>
      </c>
    </row>
    <row r="44" spans="1:35" ht="25.5" customHeight="1" x14ac:dyDescent="0.2">
      <c r="A44" s="359" t="s">
        <v>26</v>
      </c>
      <c r="B44" s="361">
        <f>0.00006</f>
        <v>6.0000000000000002E-5</v>
      </c>
      <c r="C44" s="361">
        <v>0</v>
      </c>
      <c r="D44" s="361">
        <v>0</v>
      </c>
      <c r="E44" s="361">
        <v>0</v>
      </c>
      <c r="F44" s="361">
        <v>0</v>
      </c>
      <c r="G44" s="361">
        <v>0</v>
      </c>
      <c r="H44" s="361">
        <v>0</v>
      </c>
      <c r="I44" s="361">
        <v>0</v>
      </c>
      <c r="J44" s="216"/>
      <c r="K44" s="216"/>
      <c r="L44" s="216"/>
      <c r="M44" s="216"/>
      <c r="N44" s="216"/>
      <c r="O44" s="216"/>
      <c r="P44" s="216"/>
      <c r="Q44" s="216"/>
      <c r="R44" s="216"/>
      <c r="S44" s="216"/>
      <c r="T44" s="216"/>
      <c r="U44" s="216"/>
      <c r="V44" s="216"/>
      <c r="W44" s="216"/>
      <c r="X44" s="216"/>
      <c r="Y44" s="216"/>
      <c r="Z44" s="216"/>
      <c r="AA44" s="51" t="s">
        <v>26</v>
      </c>
      <c r="AB44" s="51">
        <v>6.0000000000000002E-5</v>
      </c>
      <c r="AC44" s="51">
        <v>0</v>
      </c>
      <c r="AD44" s="51">
        <v>0</v>
      </c>
      <c r="AE44" s="51">
        <v>0</v>
      </c>
      <c r="AF44" s="51">
        <v>0</v>
      </c>
      <c r="AG44" s="51">
        <v>0</v>
      </c>
      <c r="AH44" s="51">
        <v>0</v>
      </c>
      <c r="AI44" s="51">
        <v>0</v>
      </c>
    </row>
    <row r="45" spans="1:35" ht="25.5" customHeight="1" x14ac:dyDescent="0.2">
      <c r="A45" s="134"/>
      <c r="B45" s="135"/>
      <c r="C45" s="135"/>
      <c r="D45" s="135"/>
      <c r="E45" s="135"/>
      <c r="F45" s="135"/>
      <c r="G45" s="135"/>
      <c r="H45" s="135"/>
      <c r="I45" s="135"/>
      <c r="Z45" s="183"/>
    </row>
    <row r="46" spans="1:35" ht="29.25" customHeight="1" x14ac:dyDescent="0.2">
      <c r="A46" s="354" t="s">
        <v>54</v>
      </c>
      <c r="B46" s="370">
        <f t="shared" ref="B46:I46" si="17">32.169177/$B$3</f>
        <v>1.43747160284195E-3</v>
      </c>
      <c r="C46" s="370">
        <f t="shared" si="17"/>
        <v>1.43747160284195E-3</v>
      </c>
      <c r="D46" s="370">
        <f t="shared" si="17"/>
        <v>1.43747160284195E-3</v>
      </c>
      <c r="E46" s="370">
        <f t="shared" si="17"/>
        <v>1.43747160284195E-3</v>
      </c>
      <c r="F46" s="370">
        <f t="shared" si="17"/>
        <v>1.43747160284195E-3</v>
      </c>
      <c r="G46" s="370">
        <f t="shared" si="17"/>
        <v>1.43747160284195E-3</v>
      </c>
      <c r="H46" s="370">
        <f t="shared" si="17"/>
        <v>1.43747160284195E-3</v>
      </c>
      <c r="I46" s="370">
        <f t="shared" si="17"/>
        <v>1.43747160284195E-3</v>
      </c>
      <c r="J46" s="216"/>
      <c r="K46" s="216"/>
      <c r="L46" s="216"/>
      <c r="M46" s="216"/>
      <c r="N46" s="216"/>
      <c r="O46" s="216"/>
      <c r="P46" s="216"/>
      <c r="Q46" s="216"/>
      <c r="R46" s="216"/>
      <c r="S46" s="216"/>
      <c r="T46" s="216"/>
      <c r="U46" s="216"/>
      <c r="V46" s="216"/>
      <c r="W46" s="216"/>
      <c r="X46" s="216"/>
      <c r="Y46" s="216"/>
      <c r="Z46" s="216"/>
      <c r="AA46" s="51" t="s">
        <v>54</v>
      </c>
      <c r="AB46" s="51">
        <v>1.43747160284195E-3</v>
      </c>
      <c r="AC46" s="51">
        <v>1.43747160284195E-3</v>
      </c>
      <c r="AD46" s="51">
        <v>1.43747160284195E-3</v>
      </c>
      <c r="AE46" s="51">
        <v>1.43747160284195E-3</v>
      </c>
      <c r="AF46" s="51">
        <v>1.43747160284195E-3</v>
      </c>
      <c r="AG46" s="51">
        <v>1.43747160284195E-3</v>
      </c>
      <c r="AH46" s="51">
        <v>1.43747160284195E-3</v>
      </c>
      <c r="AI46" s="51">
        <v>1.43747160284195E-3</v>
      </c>
    </row>
    <row r="47" spans="1:35" s="52" customFormat="1" ht="18" customHeight="1" x14ac:dyDescent="0.2">
      <c r="A47" s="136"/>
      <c r="B47" s="137"/>
      <c r="C47" s="137"/>
      <c r="D47" s="137"/>
      <c r="E47" s="137"/>
      <c r="F47" s="137"/>
      <c r="G47" s="137"/>
      <c r="H47" s="137"/>
      <c r="I47" s="137"/>
      <c r="Z47" s="183"/>
    </row>
    <row r="48" spans="1:35" s="52" customFormat="1" ht="32.25" customHeight="1" x14ac:dyDescent="0.2">
      <c r="A48" s="354" t="s">
        <v>91</v>
      </c>
      <c r="B48" s="403">
        <v>3.9E-2</v>
      </c>
      <c r="C48" s="403">
        <v>4.2500000000000003E-2</v>
      </c>
      <c r="D48" s="403">
        <v>4.5999999999999999E-2</v>
      </c>
      <c r="E48" s="403">
        <v>4.6800000000000001E-2</v>
      </c>
      <c r="F48" s="403">
        <v>4.7600000000000003E-2</v>
      </c>
      <c r="G48" s="403">
        <v>4.8399999999999999E-2</v>
      </c>
      <c r="H48" s="403">
        <v>4.9200000000000001E-2</v>
      </c>
      <c r="I48" s="403">
        <v>0.05</v>
      </c>
      <c r="Z48" s="216"/>
      <c r="AA48" s="52" t="s">
        <v>91</v>
      </c>
      <c r="AB48" s="52">
        <v>3.9E-2</v>
      </c>
      <c r="AC48" s="52">
        <v>4.2500000000000003E-2</v>
      </c>
      <c r="AD48" s="52">
        <v>4.5999999999999999E-2</v>
      </c>
      <c r="AE48" s="52">
        <v>4.6800000000000001E-2</v>
      </c>
      <c r="AF48" s="52">
        <v>4.7600000000000003E-2</v>
      </c>
      <c r="AG48" s="52">
        <v>4.8399999999999999E-2</v>
      </c>
      <c r="AH48" s="52">
        <v>4.9200000000000001E-2</v>
      </c>
      <c r="AI48" s="52">
        <v>0.05</v>
      </c>
    </row>
    <row r="49" spans="1:35" ht="25.5" customHeight="1" x14ac:dyDescent="0.2">
      <c r="A49" s="131"/>
      <c r="B49" s="132"/>
      <c r="C49" s="132"/>
      <c r="D49" s="132"/>
      <c r="E49" s="132"/>
      <c r="F49" s="132"/>
      <c r="G49" s="132"/>
      <c r="H49" s="132"/>
      <c r="I49" s="132"/>
      <c r="Z49" s="183"/>
    </row>
    <row r="50" spans="1:35" s="52" customFormat="1" ht="29.25" customHeight="1" x14ac:dyDescent="0.2">
      <c r="A50" s="354" t="s">
        <v>114</v>
      </c>
      <c r="B50" s="403">
        <v>7.9801378233281997E-2</v>
      </c>
      <c r="C50" s="403">
        <v>7.9801378233281997E-2</v>
      </c>
      <c r="D50" s="403">
        <v>7.9801378233281997E-2</v>
      </c>
      <c r="E50" s="403">
        <v>7.9801378233281997E-2</v>
      </c>
      <c r="F50" s="403">
        <v>7.9801378233281997E-2</v>
      </c>
      <c r="G50" s="403">
        <v>7.9801378233281997E-2</v>
      </c>
      <c r="H50" s="403">
        <v>7.9801378233281997E-2</v>
      </c>
      <c r="I50" s="403">
        <v>7.9801378233281997E-2</v>
      </c>
      <c r="Z50" s="216"/>
      <c r="AA50" s="52" t="s">
        <v>114</v>
      </c>
      <c r="AB50" s="52">
        <v>7.9801378233282039E-2</v>
      </c>
      <c r="AC50" s="52">
        <v>7.9801378233282039E-2</v>
      </c>
      <c r="AD50" s="52">
        <v>7.9801378233282039E-2</v>
      </c>
      <c r="AE50" s="52">
        <v>7.9801378233282039E-2</v>
      </c>
      <c r="AF50" s="52">
        <v>7.9801378233282039E-2</v>
      </c>
      <c r="AG50" s="52">
        <v>7.9801378233282039E-2</v>
      </c>
      <c r="AH50" s="52">
        <v>7.9801378233282039E-2</v>
      </c>
      <c r="AI50" s="52">
        <v>7.9801378233282039E-2</v>
      </c>
    </row>
    <row r="51" spans="1:35" s="185" customFormat="1" ht="30.75" customHeight="1" x14ac:dyDescent="0.2">
      <c r="A51" s="356" t="s">
        <v>36</v>
      </c>
      <c r="B51" s="381">
        <f t="shared" ref="B51:I51" si="18">1+B50</f>
        <v>1.079801378233282</v>
      </c>
      <c r="C51" s="381">
        <f t="shared" si="18"/>
        <v>1.079801378233282</v>
      </c>
      <c r="D51" s="381">
        <f t="shared" si="18"/>
        <v>1.079801378233282</v>
      </c>
      <c r="E51" s="381">
        <f t="shared" si="18"/>
        <v>1.079801378233282</v>
      </c>
      <c r="F51" s="382">
        <f t="shared" si="18"/>
        <v>1.079801378233282</v>
      </c>
      <c r="G51" s="381">
        <f t="shared" si="18"/>
        <v>1.079801378233282</v>
      </c>
      <c r="H51" s="381">
        <f t="shared" si="18"/>
        <v>1.079801378233282</v>
      </c>
      <c r="I51" s="381">
        <f t="shared" si="18"/>
        <v>1.079801378233282</v>
      </c>
      <c r="Z51" s="183"/>
      <c r="AA51" s="185" t="s">
        <v>36</v>
      </c>
      <c r="AB51" s="185">
        <v>1.079801378233282</v>
      </c>
      <c r="AC51" s="185">
        <v>1.079801378233282</v>
      </c>
      <c r="AD51" s="185">
        <v>1.079801378233282</v>
      </c>
      <c r="AE51" s="185">
        <v>1.079801378233282</v>
      </c>
      <c r="AF51" s="185">
        <v>1.079801378233282</v>
      </c>
      <c r="AG51" s="185">
        <v>1.079801378233282</v>
      </c>
      <c r="AH51" s="185">
        <v>1.079801378233282</v>
      </c>
      <c r="AI51" s="185">
        <v>1.079801378233282</v>
      </c>
    </row>
    <row r="52" spans="1:35" s="52" customFormat="1" ht="27" customHeight="1" x14ac:dyDescent="0.2">
      <c r="A52" s="354" t="s">
        <v>115</v>
      </c>
      <c r="B52" s="383"/>
      <c r="C52" s="384">
        <v>0.13100000000000001</v>
      </c>
      <c r="D52" s="384">
        <v>0.13100000000000001</v>
      </c>
      <c r="E52" s="384">
        <v>0.13100000000000001</v>
      </c>
      <c r="F52" s="384">
        <v>0.13100000000000001</v>
      </c>
      <c r="G52" s="384">
        <v>0.13100000000000001</v>
      </c>
      <c r="H52" s="384">
        <v>0.13100000000000001</v>
      </c>
      <c r="I52" s="384">
        <v>0.13100000000000001</v>
      </c>
      <c r="Z52" s="216"/>
      <c r="AA52" s="52" t="s">
        <v>115</v>
      </c>
      <c r="AC52" s="52">
        <v>0.13100000000000001</v>
      </c>
      <c r="AD52" s="52">
        <v>0.13100000000000001</v>
      </c>
      <c r="AE52" s="52">
        <v>0.13100000000000001</v>
      </c>
      <c r="AF52" s="52">
        <v>0.13100000000000001</v>
      </c>
      <c r="AG52" s="52">
        <v>0.13100000000000001</v>
      </c>
      <c r="AH52" s="52">
        <v>0.13100000000000001</v>
      </c>
      <c r="AI52" s="52">
        <v>0.13100000000000001</v>
      </c>
    </row>
    <row r="53" spans="1:35" s="52" customFormat="1" ht="30.75" customHeight="1" x14ac:dyDescent="0.2">
      <c r="A53" s="354" t="s">
        <v>116</v>
      </c>
      <c r="B53" s="383"/>
      <c r="C53" s="385">
        <v>1.49E-2</v>
      </c>
      <c r="D53" s="385">
        <v>1.49E-2</v>
      </c>
      <c r="E53" s="385">
        <v>1.49E-2</v>
      </c>
      <c r="F53" s="385">
        <v>1.49E-2</v>
      </c>
      <c r="G53" s="385">
        <v>1.49E-2</v>
      </c>
      <c r="H53" s="385">
        <v>1.49E-2</v>
      </c>
      <c r="I53" s="385">
        <v>1.49E-2</v>
      </c>
      <c r="Z53" s="216"/>
      <c r="AA53" s="52" t="s">
        <v>116</v>
      </c>
      <c r="AC53" s="52">
        <v>1.49E-2</v>
      </c>
      <c r="AD53" s="52">
        <v>1.49E-2</v>
      </c>
      <c r="AE53" s="52">
        <v>1.49E-2</v>
      </c>
      <c r="AF53" s="52">
        <v>1.49E-2</v>
      </c>
      <c r="AG53" s="52">
        <v>1.49E-2</v>
      </c>
      <c r="AH53" s="52">
        <v>1.49E-2</v>
      </c>
      <c r="AI53" s="52">
        <v>1.49E-2</v>
      </c>
    </row>
    <row r="54" spans="1:35" s="52" customFormat="1" ht="30.75" customHeight="1" x14ac:dyDescent="0.2">
      <c r="A54" s="359" t="s">
        <v>27</v>
      </c>
      <c r="B54" s="386">
        <f>18.09151</f>
        <v>18.09151</v>
      </c>
      <c r="C54" s="386">
        <f>MIN($B$54,Expenditures!B14)</f>
        <v>18.09151</v>
      </c>
      <c r="D54" s="386">
        <f>MIN($B$54,Expenditures!C14)</f>
        <v>18.09151</v>
      </c>
      <c r="E54" s="386">
        <f>MIN($B$54,Expenditures!D14)</f>
        <v>5.6169799999999981</v>
      </c>
      <c r="F54" s="386">
        <f>MIN($B$54,Expenditures!E14)</f>
        <v>0</v>
      </c>
      <c r="G54" s="386">
        <f>MIN($B$54,Expenditures!F14)</f>
        <v>0</v>
      </c>
      <c r="H54" s="386">
        <f>MIN($B$54,Expenditures!G14)</f>
        <v>0</v>
      </c>
      <c r="I54" s="386">
        <f>MIN($B$54,Expenditures!H14)</f>
        <v>0</v>
      </c>
      <c r="Z54" s="216"/>
      <c r="AA54" s="52" t="s">
        <v>27</v>
      </c>
      <c r="AB54" s="52">
        <v>18.09151</v>
      </c>
      <c r="AC54" s="52">
        <v>18.09151</v>
      </c>
      <c r="AD54" s="52">
        <v>18.09151</v>
      </c>
      <c r="AE54" s="52">
        <v>5.6169799999999981</v>
      </c>
      <c r="AF54" s="52">
        <v>0</v>
      </c>
      <c r="AG54" s="52">
        <v>0</v>
      </c>
      <c r="AH54" s="52">
        <v>0</v>
      </c>
      <c r="AI54" s="52">
        <v>0</v>
      </c>
    </row>
    <row r="55" spans="1:35" s="52" customFormat="1" ht="30.75" customHeight="1" x14ac:dyDescent="0.2">
      <c r="A55" s="359" t="s">
        <v>28</v>
      </c>
      <c r="B55" s="380">
        <v>12.600419</v>
      </c>
      <c r="C55" s="380">
        <f t="shared" ref="C55:I55" si="19">B55*C11</f>
        <v>13.432046654000001</v>
      </c>
      <c r="D55" s="380">
        <f t="shared" si="19"/>
        <v>13.754415773696001</v>
      </c>
      <c r="E55" s="380">
        <f t="shared" si="19"/>
        <v>14.125784999585791</v>
      </c>
      <c r="F55" s="380">
        <f t="shared" si="19"/>
        <v>14.620187474571292</v>
      </c>
      <c r="G55" s="380">
        <f t="shared" si="19"/>
        <v>15.058793098808431</v>
      </c>
      <c r="H55" s="380">
        <f t="shared" si="19"/>
        <v>15.510556891772685</v>
      </c>
      <c r="I55" s="380">
        <f t="shared" si="19"/>
        <v>15.975873598525867</v>
      </c>
      <c r="Z55" s="216"/>
      <c r="AA55" s="52" t="s">
        <v>28</v>
      </c>
      <c r="AB55" s="52">
        <v>12.600419</v>
      </c>
      <c r="AC55" s="52">
        <v>13.432046654000001</v>
      </c>
      <c r="AD55" s="52">
        <v>13.754415773696001</v>
      </c>
      <c r="AE55" s="52">
        <v>14.125784999585791</v>
      </c>
      <c r="AF55" s="52">
        <v>14.620187474571292</v>
      </c>
      <c r="AG55" s="52">
        <v>15.058793098808431</v>
      </c>
      <c r="AH55" s="52">
        <v>15.510556891772685</v>
      </c>
      <c r="AI55" s="52">
        <v>15.975873598525867</v>
      </c>
    </row>
    <row r="56" spans="1:35" ht="63" customHeight="1" x14ac:dyDescent="0.2">
      <c r="A56" s="359" t="s">
        <v>100</v>
      </c>
      <c r="B56" s="387">
        <f>16.754165</f>
        <v>16.754165</v>
      </c>
      <c r="C56" s="387">
        <f t="shared" ref="C56:I56" si="20">B56*C11</f>
        <v>17.85993989</v>
      </c>
      <c r="D56" s="387">
        <f t="shared" si="20"/>
        <v>18.288578447359999</v>
      </c>
      <c r="E56" s="387">
        <f t="shared" si="20"/>
        <v>18.782370065438716</v>
      </c>
      <c r="F56" s="387">
        <f t="shared" si="20"/>
        <v>19.439753017729071</v>
      </c>
      <c r="G56" s="387">
        <f t="shared" si="20"/>
        <v>20.022945608260944</v>
      </c>
      <c r="H56" s="387">
        <f t="shared" si="20"/>
        <v>20.623633976508774</v>
      </c>
      <c r="I56" s="387">
        <f t="shared" si="20"/>
        <v>21.242342995804037</v>
      </c>
      <c r="J56" s="216"/>
      <c r="K56" s="216"/>
      <c r="L56" s="216"/>
      <c r="M56" s="216"/>
      <c r="N56" s="216"/>
      <c r="O56" s="216"/>
      <c r="P56" s="216"/>
      <c r="Q56" s="216"/>
      <c r="R56" s="216"/>
      <c r="S56" s="216"/>
      <c r="T56" s="216"/>
      <c r="U56" s="216"/>
      <c r="V56" s="216"/>
      <c r="W56" s="216"/>
      <c r="X56" s="216"/>
      <c r="Y56" s="216"/>
      <c r="Z56" s="216"/>
      <c r="AA56" s="51" t="s">
        <v>100</v>
      </c>
      <c r="AB56" s="51">
        <v>16.754165</v>
      </c>
      <c r="AC56" s="51">
        <v>17.85993989</v>
      </c>
      <c r="AD56" s="51">
        <v>18.288578447359999</v>
      </c>
      <c r="AE56" s="51">
        <v>18.782370065438716</v>
      </c>
      <c r="AF56" s="51">
        <v>19.439753017729071</v>
      </c>
      <c r="AG56" s="51">
        <v>20.022945608260944</v>
      </c>
      <c r="AH56" s="51">
        <v>20.623633976508774</v>
      </c>
      <c r="AI56" s="51">
        <v>21.242342995804037</v>
      </c>
    </row>
    <row r="57" spans="1:35" ht="62.25" customHeight="1" x14ac:dyDescent="0.2">
      <c r="A57" s="359" t="s">
        <v>92</v>
      </c>
      <c r="B57" s="388">
        <v>1.25</v>
      </c>
      <c r="C57" s="389">
        <v>1.3325</v>
      </c>
      <c r="D57" s="389">
        <v>1.3644799999999999</v>
      </c>
      <c r="E57" s="389">
        <v>1.4013209600000001</v>
      </c>
      <c r="F57" s="389">
        <v>1.4503671936</v>
      </c>
      <c r="G57" s="389">
        <v>1.4938782094080001</v>
      </c>
      <c r="H57" s="389">
        <v>1.5386945556902401</v>
      </c>
      <c r="I57" s="389">
        <v>1.5848553923609501</v>
      </c>
      <c r="J57" s="216"/>
      <c r="K57" s="216"/>
      <c r="L57" s="216"/>
      <c r="M57" s="216"/>
      <c r="N57" s="216"/>
      <c r="O57" s="216"/>
      <c r="P57" s="216"/>
      <c r="Q57" s="216"/>
      <c r="R57" s="216"/>
      <c r="S57" s="216"/>
      <c r="T57" s="216"/>
      <c r="U57" s="216"/>
      <c r="V57" s="216"/>
      <c r="W57" s="216"/>
      <c r="X57" s="216"/>
      <c r="Y57" s="216"/>
      <c r="Z57" s="216"/>
      <c r="AA57" s="51" t="s">
        <v>92</v>
      </c>
      <c r="AB57" s="51">
        <v>1.25</v>
      </c>
      <c r="AC57" s="51">
        <v>1.3325</v>
      </c>
      <c r="AD57" s="51">
        <v>1.3644799999999999</v>
      </c>
      <c r="AE57" s="51">
        <v>1.4013209600000001</v>
      </c>
      <c r="AF57" s="51">
        <v>1.4503671936</v>
      </c>
      <c r="AG57" s="51">
        <v>1.4938782094080001</v>
      </c>
      <c r="AH57" s="51">
        <v>1.5386945556902401</v>
      </c>
      <c r="AI57" s="51">
        <v>1.5848553923609501</v>
      </c>
    </row>
    <row r="58" spans="1:35" ht="25.5" customHeight="1" x14ac:dyDescent="0.2">
      <c r="Z58" s="183"/>
    </row>
    <row r="59" spans="1:35" ht="25.5" customHeight="1" x14ac:dyDescent="0.2">
      <c r="Z59" s="183"/>
    </row>
    <row r="60" spans="1:35" ht="180.75" customHeight="1" x14ac:dyDescent="0.2">
      <c r="A60" s="344" t="s">
        <v>98</v>
      </c>
      <c r="Z60" s="183"/>
      <c r="AA60" s="51" t="s">
        <v>98</v>
      </c>
    </row>
    <row r="61" spans="1:35" ht="80.25" customHeight="1" x14ac:dyDescent="0.2">
      <c r="A61" s="344" t="s">
        <v>109</v>
      </c>
      <c r="Z61" s="183"/>
      <c r="AA61" s="51" t="s">
        <v>109</v>
      </c>
    </row>
    <row r="62" spans="1:35" ht="25.5" customHeight="1" x14ac:dyDescent="0.2">
      <c r="Z62" s="183"/>
    </row>
    <row r="63" spans="1:35" ht="25.5" customHeight="1" x14ac:dyDescent="0.2">
      <c r="Z63" s="183"/>
    </row>
    <row r="64" spans="1:35" ht="25.5" customHeight="1" x14ac:dyDescent="0.2">
      <c r="Z64" s="183"/>
    </row>
    <row r="65" spans="26:26" ht="25.5" customHeight="1" x14ac:dyDescent="0.2">
      <c r="Z65" s="183"/>
    </row>
    <row r="66" spans="26:26" ht="25.5" customHeight="1" x14ac:dyDescent="0.2">
      <c r="Z66" s="183"/>
    </row>
    <row r="67" spans="26:26" ht="25.5" customHeight="1" x14ac:dyDescent="0.2">
      <c r="Z67" s="183"/>
    </row>
    <row r="68" spans="26:26" ht="25.5" customHeight="1" x14ac:dyDescent="0.2">
      <c r="Z68" s="183"/>
    </row>
    <row r="69" spans="26:26" ht="25.5" customHeight="1" x14ac:dyDescent="0.2">
      <c r="Z69" s="183"/>
    </row>
    <row r="70" spans="26:26" ht="25.5" customHeight="1" x14ac:dyDescent="0.2">
      <c r="Z70" s="183"/>
    </row>
    <row r="71" spans="26:26" ht="25.5" customHeight="1" x14ac:dyDescent="0.2">
      <c r="Z71" s="183"/>
    </row>
    <row r="72" spans="26:26" ht="25.5" customHeight="1" x14ac:dyDescent="0.2">
      <c r="Z72" s="183"/>
    </row>
    <row r="73" spans="26:26" ht="25.5" customHeight="1" x14ac:dyDescent="0.2">
      <c r="Z73" s="183"/>
    </row>
    <row r="74" spans="26:26" ht="25.5" customHeight="1" x14ac:dyDescent="0.2">
      <c r="Z74" s="183"/>
    </row>
    <row r="75" spans="26:26" ht="25.5" customHeight="1" x14ac:dyDescent="0.2">
      <c r="Z75" s="183"/>
    </row>
    <row r="76" spans="26:26" ht="25.5" customHeight="1" x14ac:dyDescent="0.2">
      <c r="Z76" s="183"/>
    </row>
    <row r="77" spans="26:26" ht="25.5" customHeight="1" x14ac:dyDescent="0.2">
      <c r="Z77" s="183"/>
    </row>
    <row r="78" spans="26:26" ht="25.5" customHeight="1" x14ac:dyDescent="0.2">
      <c r="Z78" s="183"/>
    </row>
    <row r="79" spans="26:26" ht="25.5" customHeight="1" x14ac:dyDescent="0.2">
      <c r="Z79" s="183"/>
    </row>
    <row r="80" spans="26:26" ht="25.5" customHeight="1" x14ac:dyDescent="0.2">
      <c r="Z80" s="183"/>
    </row>
    <row r="81" spans="26:26" ht="25.5" customHeight="1" x14ac:dyDescent="0.2">
      <c r="Z81" s="183"/>
    </row>
    <row r="82" spans="26:26" ht="25.5" customHeight="1" x14ac:dyDescent="0.2">
      <c r="Z82" s="183"/>
    </row>
    <row r="83" spans="26:26" ht="25.5" customHeight="1" x14ac:dyDescent="0.2">
      <c r="Z83" s="183"/>
    </row>
    <row r="84" spans="26:26" ht="25.5" customHeight="1" x14ac:dyDescent="0.2">
      <c r="Z84" s="183"/>
    </row>
    <row r="85" spans="26:26" ht="25.5" customHeight="1" x14ac:dyDescent="0.2">
      <c r="Z85" s="183"/>
    </row>
    <row r="86" spans="26:26" ht="25.5" customHeight="1" x14ac:dyDescent="0.2">
      <c r="Z86" s="183"/>
    </row>
    <row r="87" spans="26:26" ht="25.5" customHeight="1" x14ac:dyDescent="0.2">
      <c r="Z87" s="183"/>
    </row>
    <row r="88" spans="26:26" ht="25.5" customHeight="1" x14ac:dyDescent="0.2">
      <c r="Z88" s="183"/>
    </row>
    <row r="89" spans="26:26" ht="25.5" customHeight="1" x14ac:dyDescent="0.2">
      <c r="Z89" s="183"/>
    </row>
    <row r="90" spans="26:26" ht="25.5" customHeight="1" x14ac:dyDescent="0.2">
      <c r="Z90" s="183"/>
    </row>
    <row r="91" spans="26:26" ht="25.5" customHeight="1" x14ac:dyDescent="0.2">
      <c r="Z91" s="183"/>
    </row>
    <row r="92" spans="26:26" ht="25.5" customHeight="1" x14ac:dyDescent="0.2">
      <c r="Z92" s="183"/>
    </row>
    <row r="93" spans="26:26" ht="25.5" customHeight="1" x14ac:dyDescent="0.2">
      <c r="Z93" s="183"/>
    </row>
    <row r="94" spans="26:26" ht="25.5" customHeight="1" x14ac:dyDescent="0.2">
      <c r="Z94" s="183"/>
    </row>
    <row r="95" spans="26:26" ht="25.5" customHeight="1" x14ac:dyDescent="0.2">
      <c r="Z95" s="183"/>
    </row>
    <row r="96" spans="26:26" ht="25.5" customHeight="1" x14ac:dyDescent="0.2">
      <c r="Z96" s="183"/>
    </row>
    <row r="97" spans="26:26" ht="25.5" customHeight="1" x14ac:dyDescent="0.2">
      <c r="Z97" s="183"/>
    </row>
    <row r="98" spans="26:26" ht="25.5" customHeight="1" x14ac:dyDescent="0.2">
      <c r="Z98" s="183"/>
    </row>
    <row r="99" spans="26:26" ht="25.5" customHeight="1" x14ac:dyDescent="0.2">
      <c r="Z99" s="183"/>
    </row>
  </sheetData>
  <sheetProtection password="CC1A" sheet="1" objects="1" scenarios="1"/>
  <mergeCells count="1">
    <mergeCell ref="B1:I1"/>
  </mergeCells>
  <conditionalFormatting sqref="B3:I57">
    <cfRule type="cellIs" dxfId="3" priority="1" operator="notEqual">
      <formula>AB3</formula>
    </cfRule>
  </conditionalFormatting>
  <hyperlinks>
    <hyperlink ref="A32" location="Revenues!A56" display="Arrears on hydro-electric profits (see notes on revenue tab)" xr:uid="{00000000-0004-0000-0600-000000000000}"/>
    <hyperlink ref="A33" location="Revenues!A56" display="Hydo-electric profit including arrears (Rs billion) (See noteson revenue tab)" xr:uid="{00000000-0004-0000-0600-000001000000}"/>
    <hyperlink ref="B39" location="Assumptions!A60" display="Assumptions!A60" xr:uid="{00000000-0004-0000-0600-000002000000}"/>
    <hyperlink ref="A57" location="Assumptions!A61" display="Factor by which the base year level of new foreign loans (in rupees) is multiplied to obtain the upper bound on new foreign loans (in rupees). (See Notes Below)" xr:uid="{00000000-0004-0000-0600-000003000000}"/>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6" tint="0.39997558519241921"/>
  </sheetPr>
  <dimension ref="A1:AZ59"/>
  <sheetViews>
    <sheetView topLeftCell="A30" zoomScaleNormal="100" workbookViewId="0">
      <selection activeCell="B34" sqref="B34"/>
    </sheetView>
  </sheetViews>
  <sheetFormatPr baseColWidth="10" defaultColWidth="9.1640625" defaultRowHeight="16" x14ac:dyDescent="0.2"/>
  <cols>
    <col min="1" max="1" width="61.1640625" style="1" customWidth="1"/>
    <col min="2" max="2" width="21.83203125" style="72" customWidth="1"/>
    <col min="3" max="4" width="12.5" style="72" customWidth="1"/>
    <col min="5" max="5" width="13" style="72" customWidth="1"/>
    <col min="6" max="6" width="13.33203125" style="72" customWidth="1"/>
    <col min="7" max="7" width="13.5" style="72" customWidth="1"/>
    <col min="8" max="8" width="12.83203125" style="72" customWidth="1"/>
    <col min="9" max="9" width="12.5" style="72" customWidth="1"/>
    <col min="10" max="10" width="15.83203125" style="1" customWidth="1"/>
    <col min="11" max="13" width="9.1640625" style="1"/>
    <col min="14" max="22" width="9.1640625" style="1" customWidth="1"/>
    <col min="23" max="26" width="9.1640625" style="1"/>
    <col min="27" max="52" width="9.1640625" style="1" hidden="1" customWidth="1"/>
    <col min="53" max="16384" width="9.1640625" style="1"/>
  </cols>
  <sheetData>
    <row r="1" spans="1:35" ht="21" thickBot="1" x14ac:dyDescent="0.3">
      <c r="A1" s="221"/>
      <c r="B1" s="428" t="s">
        <v>48</v>
      </c>
      <c r="C1" s="428"/>
      <c r="D1" s="428"/>
      <c r="E1" s="428"/>
      <c r="F1" s="428"/>
      <c r="G1" s="428"/>
      <c r="H1" s="428"/>
      <c r="I1" s="428"/>
      <c r="J1" s="221"/>
      <c r="K1" s="221"/>
      <c r="L1" s="221"/>
      <c r="M1" s="221"/>
      <c r="N1" s="221"/>
      <c r="O1" s="221"/>
      <c r="P1" s="221"/>
      <c r="Q1" s="221"/>
      <c r="R1" s="221"/>
      <c r="S1" s="221"/>
      <c r="T1" s="221"/>
      <c r="U1" s="221"/>
      <c r="V1" s="221"/>
      <c r="W1" s="221"/>
      <c r="X1" s="221"/>
      <c r="Y1" s="221"/>
      <c r="Z1" s="221"/>
      <c r="AB1" s="1" t="s">
        <v>48</v>
      </c>
    </row>
    <row r="2" spans="1:35" ht="22" thickTop="1" thickBot="1" x14ac:dyDescent="0.3">
      <c r="A2" s="222" t="s">
        <v>0</v>
      </c>
      <c r="B2" s="104">
        <v>2013</v>
      </c>
      <c r="C2" s="104">
        <v>2014</v>
      </c>
      <c r="D2" s="104">
        <v>2015</v>
      </c>
      <c r="E2" s="104">
        <v>2016</v>
      </c>
      <c r="F2" s="104">
        <v>2017</v>
      </c>
      <c r="G2" s="104">
        <v>2018</v>
      </c>
      <c r="H2" s="104">
        <v>2019</v>
      </c>
      <c r="I2" s="104">
        <v>2020</v>
      </c>
      <c r="J2" s="221"/>
      <c r="K2" s="221"/>
      <c r="L2" s="221"/>
      <c r="M2" s="221"/>
      <c r="N2" s="221"/>
      <c r="O2" s="223"/>
      <c r="P2" s="223"/>
      <c r="Q2" s="223"/>
      <c r="R2" s="223"/>
      <c r="S2" s="223"/>
      <c r="T2" s="223"/>
      <c r="U2" s="223"/>
      <c r="V2" s="223"/>
      <c r="W2" s="221"/>
      <c r="X2" s="221"/>
      <c r="Y2" s="221"/>
      <c r="Z2" s="221"/>
      <c r="AA2" s="1" t="s">
        <v>0</v>
      </c>
      <c r="AB2" s="1">
        <v>2013</v>
      </c>
      <c r="AC2" s="1">
        <v>2014</v>
      </c>
      <c r="AD2" s="1">
        <v>2015</v>
      </c>
      <c r="AE2" s="1">
        <v>2016</v>
      </c>
      <c r="AF2" s="1">
        <v>2017</v>
      </c>
      <c r="AG2" s="1">
        <v>2018</v>
      </c>
      <c r="AH2" s="1">
        <v>2019</v>
      </c>
      <c r="AI2" s="1">
        <v>2020</v>
      </c>
    </row>
    <row r="3" spans="1:35" ht="17" thickTop="1" x14ac:dyDescent="0.2">
      <c r="A3" s="221"/>
      <c r="B3" s="224"/>
      <c r="C3" s="224"/>
      <c r="D3" s="224"/>
      <c r="E3" s="224"/>
      <c r="F3" s="224"/>
      <c r="G3" s="224"/>
      <c r="H3" s="224"/>
      <c r="I3" s="224"/>
      <c r="J3" s="221"/>
      <c r="K3" s="221"/>
      <c r="L3" s="221"/>
      <c r="M3" s="221"/>
      <c r="N3" s="221"/>
      <c r="O3" s="221"/>
      <c r="P3" s="221"/>
      <c r="Q3" s="221"/>
      <c r="R3" s="221"/>
      <c r="S3" s="221"/>
      <c r="T3" s="221"/>
      <c r="U3" s="221"/>
      <c r="V3" s="221"/>
      <c r="W3" s="221"/>
      <c r="X3" s="221"/>
      <c r="Y3" s="221"/>
      <c r="Z3" s="221"/>
    </row>
    <row r="4" spans="1:35" ht="19" thickTop="1" thickBot="1" x14ac:dyDescent="0.25">
      <c r="A4" s="225" t="s">
        <v>8</v>
      </c>
      <c r="B4" s="226"/>
      <c r="C4" s="226"/>
      <c r="D4" s="226"/>
      <c r="E4" s="226"/>
      <c r="F4" s="226"/>
      <c r="G4" s="226"/>
      <c r="H4" s="226"/>
      <c r="I4" s="227"/>
      <c r="J4" s="221"/>
      <c r="K4" s="221"/>
      <c r="L4" s="221"/>
      <c r="M4" s="221"/>
      <c r="N4" s="221"/>
      <c r="O4" s="221"/>
      <c r="P4" s="221"/>
      <c r="Q4" s="221"/>
      <c r="R4" s="221"/>
      <c r="S4" s="221"/>
      <c r="T4" s="221"/>
      <c r="U4" s="221"/>
      <c r="V4" s="221"/>
      <c r="W4" s="221"/>
      <c r="X4" s="221"/>
      <c r="Y4" s="221"/>
      <c r="Z4" s="221"/>
      <c r="AA4" s="1" t="s">
        <v>8</v>
      </c>
    </row>
    <row r="5" spans="1:35" ht="17" thickTop="1" x14ac:dyDescent="0.2">
      <c r="A5" s="282" t="s">
        <v>57</v>
      </c>
      <c r="B5" s="283">
        <f>Assumptions!B14</f>
        <v>8.5819393946733102E-2</v>
      </c>
      <c r="C5" s="283">
        <f>Assumptions!C14</f>
        <v>8.5819393946733102E-2</v>
      </c>
      <c r="D5" s="283">
        <f>Assumptions!D14</f>
        <v>8.5819393946733102E-2</v>
      </c>
      <c r="E5" s="283">
        <f>Assumptions!E14</f>
        <v>8.5819393946733102E-2</v>
      </c>
      <c r="F5" s="283">
        <f>Assumptions!F14</f>
        <v>8.5819393946733102E-2</v>
      </c>
      <c r="G5" s="283">
        <f>Assumptions!G14</f>
        <v>8.5819393946733102E-2</v>
      </c>
      <c r="H5" s="283">
        <f>Assumptions!H14</f>
        <v>8.5819393946733102E-2</v>
      </c>
      <c r="I5" s="283">
        <f>Assumptions!I14</f>
        <v>8.5819393946733102E-2</v>
      </c>
      <c r="J5" s="221"/>
      <c r="K5" s="221"/>
      <c r="L5" s="221"/>
      <c r="M5" s="221"/>
      <c r="N5" s="221"/>
      <c r="O5" s="221"/>
      <c r="P5" s="221"/>
      <c r="Q5" s="221"/>
      <c r="R5" s="221"/>
      <c r="S5" s="221"/>
      <c r="T5" s="221"/>
      <c r="U5" s="221"/>
      <c r="V5" s="221"/>
      <c r="W5" s="221"/>
      <c r="X5" s="221"/>
      <c r="Y5" s="221"/>
      <c r="Z5" s="221"/>
      <c r="AA5" s="1" t="s">
        <v>57</v>
      </c>
      <c r="AB5" s="1">
        <v>8.5819393946733102E-2</v>
      </c>
      <c r="AC5" s="1">
        <v>8.5819393946733102E-2</v>
      </c>
      <c r="AD5" s="1">
        <v>8.5819393946733102E-2</v>
      </c>
      <c r="AE5" s="1">
        <v>8.5819393946733102E-2</v>
      </c>
      <c r="AF5" s="1">
        <v>8.5819393946733102E-2</v>
      </c>
      <c r="AG5" s="1">
        <v>8.5819393946733102E-2</v>
      </c>
      <c r="AH5" s="1">
        <v>8.5819393946733102E-2</v>
      </c>
      <c r="AI5" s="1">
        <v>8.5819393946733102E-2</v>
      </c>
    </row>
    <row r="6" spans="1:35" ht="29.25" customHeight="1" x14ac:dyDescent="0.2">
      <c r="A6" s="284" t="s">
        <v>31</v>
      </c>
      <c r="B6" s="285">
        <f>Assumptions!B16</f>
        <v>8.5819393946733102E-2</v>
      </c>
      <c r="C6" s="285">
        <f>Assumptions!C16</f>
        <v>9.0153706772325676E-2</v>
      </c>
      <c r="D6" s="285">
        <f>Assumptions!D16</f>
        <v>9.6221744728155284E-2</v>
      </c>
      <c r="E6" s="285">
        <f>Assumptions!E16</f>
        <v>0.10575723294445896</v>
      </c>
      <c r="F6" s="285">
        <f>Assumptions!F16</f>
        <v>0.11355899603052562</v>
      </c>
      <c r="G6" s="285">
        <f>Assumptions!G16</f>
        <v>0.12049389655147374</v>
      </c>
      <c r="H6" s="285">
        <f>Assumptions!H16</f>
        <v>0.12656193450730335</v>
      </c>
      <c r="I6" s="285">
        <f>Assumptions!I16</f>
        <v>0.12742879707242186</v>
      </c>
      <c r="J6" s="221"/>
      <c r="K6" s="221"/>
      <c r="L6" s="221"/>
      <c r="M6" s="221"/>
      <c r="N6" s="221"/>
      <c r="O6" s="228"/>
      <c r="P6" s="228"/>
      <c r="Q6" s="228"/>
      <c r="R6" s="228"/>
      <c r="S6" s="228"/>
      <c r="T6" s="228"/>
      <c r="U6" s="228"/>
      <c r="V6" s="228"/>
      <c r="W6" s="221"/>
      <c r="X6" s="221"/>
      <c r="Y6" s="221"/>
      <c r="Z6" s="221"/>
      <c r="AA6" s="1" t="s">
        <v>31</v>
      </c>
      <c r="AB6" s="1">
        <v>8.5819393946733102E-2</v>
      </c>
      <c r="AC6" s="1">
        <v>9.0153706772325676E-2</v>
      </c>
      <c r="AD6" s="1">
        <v>9.6221744728155284E-2</v>
      </c>
      <c r="AE6" s="1">
        <v>0.10575723294445896</v>
      </c>
      <c r="AF6" s="1">
        <v>0.11355899603052562</v>
      </c>
      <c r="AG6" s="1">
        <v>0.12049389655147374</v>
      </c>
      <c r="AH6" s="1">
        <v>0.12656193450730335</v>
      </c>
      <c r="AI6" s="1">
        <v>0.12742879707242186</v>
      </c>
    </row>
    <row r="7" spans="1:35" ht="32.25" customHeight="1" x14ac:dyDescent="0.2">
      <c r="A7" s="282" t="s">
        <v>3</v>
      </c>
      <c r="B7" s="286">
        <f>B6*Assumptions!B3</f>
        <v>1920.5522171339401</v>
      </c>
      <c r="C7" s="286">
        <f>C6*Assumptions!C3</f>
        <v>2247.2882000231725</v>
      </c>
      <c r="D7" s="286">
        <f>D6*Assumptions!D3</f>
        <v>2606.7515418088092</v>
      </c>
      <c r="E7" s="286">
        <f>E6*Assumptions!E3</f>
        <v>3134.7251126690967</v>
      </c>
      <c r="F7" s="286">
        <f>F6*Assumptions!F3</f>
        <v>3710.9036474202621</v>
      </c>
      <c r="G7" s="286">
        <f>G6*Assumptions!G3</f>
        <v>4349.3886983413631</v>
      </c>
      <c r="H7" s="286">
        <f>H6*Assumptions!H3</f>
        <v>5046.2796719671142</v>
      </c>
      <c r="I7" s="286">
        <f>I6*Assumptions!I3</f>
        <v>5612.2994333648394</v>
      </c>
      <c r="J7" s="221"/>
      <c r="K7" s="221"/>
      <c r="L7" s="221"/>
      <c r="M7" s="221"/>
      <c r="N7" s="221"/>
      <c r="O7" s="223"/>
      <c r="P7" s="223"/>
      <c r="Q7" s="223"/>
      <c r="R7" s="223"/>
      <c r="S7" s="223"/>
      <c r="T7" s="223"/>
      <c r="U7" s="223"/>
      <c r="V7" s="223"/>
      <c r="W7" s="221"/>
      <c r="X7" s="221"/>
      <c r="Y7" s="221"/>
      <c r="Z7" s="221"/>
      <c r="AA7" s="1" t="s">
        <v>3</v>
      </c>
      <c r="AB7" s="1">
        <v>1920.5522171339401</v>
      </c>
      <c r="AC7" s="1">
        <v>2247.2882000231725</v>
      </c>
      <c r="AD7" s="1">
        <v>2606.7515418088092</v>
      </c>
      <c r="AE7" s="1">
        <v>3134.7251126690967</v>
      </c>
      <c r="AF7" s="1">
        <v>3710.9036474202621</v>
      </c>
      <c r="AG7" s="1">
        <v>4349.3886983413631</v>
      </c>
      <c r="AH7" s="1">
        <v>5046.2796719671142</v>
      </c>
      <c r="AI7" s="1">
        <v>5612.2994333648394</v>
      </c>
    </row>
    <row r="8" spans="1:35" ht="31.5" customHeight="1" x14ac:dyDescent="0.2">
      <c r="A8" s="282" t="s">
        <v>4</v>
      </c>
      <c r="B8" s="286">
        <f>B7-Assumptions!B17*B7</f>
        <v>1901.3466949626006</v>
      </c>
      <c r="C8" s="286">
        <f>C7-Assumptions!C17*C7</f>
        <v>2224.8153180229406</v>
      </c>
      <c r="D8" s="286">
        <f>D7-Assumptions!D17*D7</f>
        <v>2580.6840263907211</v>
      </c>
      <c r="E8" s="286">
        <f>E7-Assumptions!E17*E7</f>
        <v>3103.3778615424058</v>
      </c>
      <c r="F8" s="286">
        <f>F7-Assumptions!F17*F7</f>
        <v>3673.7946109460595</v>
      </c>
      <c r="G8" s="286">
        <f>G7-Assumptions!G17*G7</f>
        <v>4305.8948113579499</v>
      </c>
      <c r="H8" s="286">
        <f>H7-Assumptions!H17*H7</f>
        <v>4995.816875247443</v>
      </c>
      <c r="I8" s="286">
        <f>I7-Assumptions!I17*I7</f>
        <v>5556.176439031191</v>
      </c>
      <c r="J8" s="221"/>
      <c r="K8" s="221"/>
      <c r="L8" s="221"/>
      <c r="M8" s="221"/>
      <c r="N8" s="221"/>
      <c r="O8" s="223"/>
      <c r="P8" s="223"/>
      <c r="Q8" s="223"/>
      <c r="R8" s="223"/>
      <c r="S8" s="223"/>
      <c r="T8" s="223"/>
      <c r="U8" s="223"/>
      <c r="V8" s="223"/>
      <c r="W8" s="221"/>
      <c r="X8" s="221"/>
      <c r="Y8" s="221"/>
      <c r="Z8" s="221"/>
      <c r="AA8" s="1" t="s">
        <v>4</v>
      </c>
      <c r="AB8" s="1">
        <v>1901.3466949626006</v>
      </c>
      <c r="AC8" s="1">
        <v>2224.8153180229406</v>
      </c>
      <c r="AD8" s="1">
        <v>2580.6840263907211</v>
      </c>
      <c r="AE8" s="1">
        <v>3103.3778615424058</v>
      </c>
      <c r="AF8" s="1">
        <v>3673.7946109460595</v>
      </c>
      <c r="AG8" s="1">
        <v>4305.8948113579499</v>
      </c>
      <c r="AH8" s="1">
        <v>4995.816875247443</v>
      </c>
      <c r="AI8" s="1">
        <v>5556.176439031191</v>
      </c>
    </row>
    <row r="9" spans="1:35" ht="28" x14ac:dyDescent="0.2">
      <c r="A9" s="282" t="s">
        <v>5</v>
      </c>
      <c r="B9" s="286">
        <f>B8-Assumptions!B18*B8</f>
        <v>1882.3332280129746</v>
      </c>
      <c r="C9" s="286">
        <f>C8-Assumptions!C18*C8</f>
        <v>2202.567164842711</v>
      </c>
      <c r="D9" s="286">
        <f>D8-Assumptions!D18*D8</f>
        <v>2554.8771861268137</v>
      </c>
      <c r="E9" s="286">
        <f>E8-Assumptions!E18*E8</f>
        <v>3072.3440829269816</v>
      </c>
      <c r="F9" s="286">
        <f>F8-Assumptions!F18*F8</f>
        <v>3637.0566648365989</v>
      </c>
      <c r="G9" s="286">
        <f>G8-Assumptions!G18*G8</f>
        <v>4262.8358632443706</v>
      </c>
      <c r="H9" s="286">
        <f>H8-Assumptions!H18*H8</f>
        <v>4945.8587064949688</v>
      </c>
      <c r="I9" s="286">
        <f>I8-Assumptions!I18*I8</f>
        <v>5500.6146746408795</v>
      </c>
      <c r="J9" s="221"/>
      <c r="K9" s="221"/>
      <c r="L9" s="221"/>
      <c r="M9" s="221"/>
      <c r="N9" s="221"/>
      <c r="O9" s="223"/>
      <c r="P9" s="223"/>
      <c r="Q9" s="223"/>
      <c r="R9" s="223"/>
      <c r="S9" s="223"/>
      <c r="T9" s="223"/>
      <c r="U9" s="223"/>
      <c r="V9" s="223"/>
      <c r="W9" s="221"/>
      <c r="X9" s="221"/>
      <c r="Y9" s="221"/>
      <c r="Z9" s="221"/>
      <c r="AA9" s="1" t="s">
        <v>5</v>
      </c>
      <c r="AB9" s="1">
        <v>1882.3332280129746</v>
      </c>
      <c r="AC9" s="1">
        <v>2202.567164842711</v>
      </c>
      <c r="AD9" s="1">
        <v>2554.8771861268137</v>
      </c>
      <c r="AE9" s="1">
        <v>3072.3440829269816</v>
      </c>
      <c r="AF9" s="1">
        <v>3637.0566648365989</v>
      </c>
      <c r="AG9" s="1">
        <v>4262.8358632443706</v>
      </c>
      <c r="AH9" s="1">
        <v>4945.8587064949688</v>
      </c>
      <c r="AI9" s="1">
        <v>5500.6146746408795</v>
      </c>
    </row>
    <row r="10" spans="1:35" x14ac:dyDescent="0.2">
      <c r="A10" s="282" t="s">
        <v>6</v>
      </c>
      <c r="B10" s="286">
        <f>B9*Assumptions!B19</f>
        <v>1082.3416061074604</v>
      </c>
      <c r="C10" s="286">
        <f>C9*Assumptions!C19</f>
        <v>1266.4761197845587</v>
      </c>
      <c r="D10" s="286">
        <f>D9*Assumptions!D19</f>
        <v>1469.0543820229177</v>
      </c>
      <c r="E10" s="286">
        <f>E9*Assumptions!E19</f>
        <v>1766.5978476830144</v>
      </c>
      <c r="F10" s="286">
        <f>F9*Assumptions!F19</f>
        <v>2091.3075822810442</v>
      </c>
      <c r="G10" s="286">
        <f>G9*Assumptions!G19</f>
        <v>2451.130621365513</v>
      </c>
      <c r="H10" s="286">
        <f>H9*Assumptions!H19</f>
        <v>2843.8687562346067</v>
      </c>
      <c r="I10" s="286">
        <f>I9*Assumptions!I19</f>
        <v>3162.8534379185053</v>
      </c>
      <c r="J10" s="221"/>
      <c r="K10" s="221"/>
      <c r="L10" s="221"/>
      <c r="M10" s="221"/>
      <c r="N10" s="221"/>
      <c r="O10" s="223"/>
      <c r="P10" s="223"/>
      <c r="Q10" s="223"/>
      <c r="R10" s="223"/>
      <c r="S10" s="223"/>
      <c r="T10" s="223"/>
      <c r="U10" s="223"/>
      <c r="V10" s="223"/>
      <c r="W10" s="221"/>
      <c r="X10" s="221"/>
      <c r="Y10" s="221"/>
      <c r="Z10" s="221"/>
      <c r="AA10" s="1" t="s">
        <v>6</v>
      </c>
      <c r="AB10" s="1">
        <v>1082.3416061074604</v>
      </c>
      <c r="AC10" s="1">
        <v>1266.4761197845587</v>
      </c>
      <c r="AD10" s="1">
        <v>1469.0543820229177</v>
      </c>
      <c r="AE10" s="1">
        <v>1766.5978476830144</v>
      </c>
      <c r="AF10" s="1">
        <v>2091.3075822810442</v>
      </c>
      <c r="AG10" s="1">
        <v>2451.130621365513</v>
      </c>
      <c r="AH10" s="1">
        <v>2843.8687562346067</v>
      </c>
      <c r="AI10" s="1">
        <v>3162.8534379185053</v>
      </c>
    </row>
    <row r="11" spans="1:35" ht="35.25" customHeight="1" x14ac:dyDescent="0.2">
      <c r="A11" s="282" t="s">
        <v>7</v>
      </c>
      <c r="B11" s="286">
        <f>B10*Assumptions!B20</f>
        <v>560.00354700000003</v>
      </c>
      <c r="C11" s="286">
        <f>C10*Assumptions!C20</f>
        <v>655.27474437653063</v>
      </c>
      <c r="D11" s="286">
        <f>D10*Assumptions!D20</f>
        <v>760.0887372586576</v>
      </c>
      <c r="E11" s="286">
        <f>E10*Assumptions!E20</f>
        <v>914.03772639119154</v>
      </c>
      <c r="F11" s="286">
        <f>F10*Assumptions!F20</f>
        <v>1082.0425430722123</v>
      </c>
      <c r="G11" s="286">
        <f>G10*Assumptions!G20</f>
        <v>1268.2149834945164</v>
      </c>
      <c r="H11" s="286">
        <f>H10*Assumptions!H20</f>
        <v>1471.4176944757855</v>
      </c>
      <c r="I11" s="286">
        <f>I10*Assumptions!I20</f>
        <v>1636.4603687790345</v>
      </c>
      <c r="J11" s="221"/>
      <c r="K11" s="221"/>
      <c r="L11" s="221"/>
      <c r="M11" s="221"/>
      <c r="N11" s="221"/>
      <c r="O11" s="223"/>
      <c r="P11" s="223"/>
      <c r="Q11" s="223"/>
      <c r="R11" s="223"/>
      <c r="S11" s="223"/>
      <c r="T11" s="223"/>
      <c r="U11" s="223"/>
      <c r="V11" s="223"/>
      <c r="W11" s="221"/>
      <c r="X11" s="221"/>
      <c r="Y11" s="221"/>
      <c r="Z11" s="221"/>
      <c r="AA11" s="1" t="s">
        <v>7</v>
      </c>
      <c r="AB11" s="1">
        <v>560.00354700000003</v>
      </c>
      <c r="AC11" s="1">
        <v>655.27474437653063</v>
      </c>
      <c r="AD11" s="1">
        <v>760.0887372586576</v>
      </c>
      <c r="AE11" s="1">
        <v>914.03772639119154</v>
      </c>
      <c r="AF11" s="1">
        <v>1082.0425430722123</v>
      </c>
      <c r="AG11" s="1">
        <v>1268.2149834945164</v>
      </c>
      <c r="AH11" s="1">
        <v>1471.4176944757855</v>
      </c>
      <c r="AI11" s="1">
        <v>1636.4603687790345</v>
      </c>
    </row>
    <row r="12" spans="1:35" ht="34.5" customHeight="1" thickBot="1" x14ac:dyDescent="0.25">
      <c r="A12" s="287" t="s">
        <v>38</v>
      </c>
      <c r="B12" s="288">
        <f>B11-Assumptions!B21</f>
        <v>560.00354700000003</v>
      </c>
      <c r="C12" s="288">
        <f>C11-Assumptions!C21</f>
        <v>655.27474437653063</v>
      </c>
      <c r="D12" s="288">
        <f>D11-Assumptions!D21</f>
        <v>760.0887372586576</v>
      </c>
      <c r="E12" s="288">
        <f>E11-Assumptions!E21</f>
        <v>914.03772639119154</v>
      </c>
      <c r="F12" s="288">
        <f>F11-Assumptions!F21</f>
        <v>1082.0425430722123</v>
      </c>
      <c r="G12" s="288">
        <f>G11-Assumptions!G21</f>
        <v>1268.2149834945164</v>
      </c>
      <c r="H12" s="288">
        <f>H11-Assumptions!H21</f>
        <v>1471.4176944757855</v>
      </c>
      <c r="I12" s="288">
        <f>I11-Assumptions!I21</f>
        <v>1636.4603687790345</v>
      </c>
      <c r="J12" s="229"/>
      <c r="K12" s="221"/>
      <c r="L12" s="221"/>
      <c r="M12" s="221"/>
      <c r="N12" s="221"/>
      <c r="O12" s="221"/>
      <c r="P12" s="223"/>
      <c r="Q12" s="223"/>
      <c r="R12" s="223"/>
      <c r="S12" s="223"/>
      <c r="T12" s="223"/>
      <c r="U12" s="223"/>
      <c r="V12" s="223"/>
      <c r="W12" s="221"/>
      <c r="X12" s="221"/>
      <c r="Y12" s="221"/>
      <c r="Z12" s="221"/>
      <c r="AA12" s="1" t="s">
        <v>38</v>
      </c>
      <c r="AB12" s="1">
        <v>560.00354700000003</v>
      </c>
      <c r="AC12" s="1">
        <v>655.27474437653063</v>
      </c>
      <c r="AD12" s="1">
        <v>760.0887372586576</v>
      </c>
      <c r="AE12" s="1">
        <v>914.03772639119154</v>
      </c>
      <c r="AF12" s="1">
        <v>1082.0425430722123</v>
      </c>
      <c r="AG12" s="1">
        <v>1268.2149834945164</v>
      </c>
      <c r="AH12" s="1">
        <v>1471.4176944757855</v>
      </c>
      <c r="AI12" s="1">
        <v>1636.4603687790345</v>
      </c>
    </row>
    <row r="13" spans="1:35" customFormat="1" thickTop="1" x14ac:dyDescent="0.2">
      <c r="A13" s="230"/>
      <c r="B13" s="230"/>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row>
    <row r="14" spans="1:35" customFormat="1" ht="18" thickBot="1" x14ac:dyDescent="0.25">
      <c r="A14" s="231" t="s">
        <v>127</v>
      </c>
      <c r="B14" s="230"/>
      <c r="C14" s="230"/>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t="s">
        <v>127</v>
      </c>
    </row>
    <row r="15" spans="1:35" ht="17" thickTop="1" x14ac:dyDescent="0.2">
      <c r="A15" s="289" t="s">
        <v>20</v>
      </c>
      <c r="B15" s="290">
        <f>Assumptions!B24</f>
        <v>6.7350194378658574E-3</v>
      </c>
      <c r="C15" s="290">
        <f>Assumptions!C24</f>
        <v>7.075171934727769E-3</v>
      </c>
      <c r="D15" s="290">
        <f>Assumptions!D24</f>
        <v>7.5513854303344459E-3</v>
      </c>
      <c r="E15" s="290">
        <f>Assumptions!E24</f>
        <v>8.2997209234306514E-3</v>
      </c>
      <c r="F15" s="290">
        <f>Assumptions!F24</f>
        <v>8.9119954177820943E-3</v>
      </c>
      <c r="G15" s="290">
        <f>Assumptions!G24</f>
        <v>9.4562394127611533E-3</v>
      </c>
      <c r="H15" s="290">
        <f>Assumptions!H24</f>
        <v>9.9324529083678285E-3</v>
      </c>
      <c r="I15" s="290">
        <f>Assumptions!I24</f>
        <v>1.0000483407740212E-2</v>
      </c>
      <c r="J15" s="221"/>
      <c r="K15" s="221"/>
      <c r="L15" s="221"/>
      <c r="M15" s="221"/>
      <c r="N15" s="221"/>
      <c r="O15" s="232"/>
      <c r="P15" s="232"/>
      <c r="Q15" s="232"/>
      <c r="R15" s="232"/>
      <c r="S15" s="232"/>
      <c r="T15" s="232"/>
      <c r="U15" s="232"/>
      <c r="V15" s="232"/>
      <c r="W15" s="221"/>
      <c r="X15" s="221"/>
      <c r="Y15" s="221"/>
      <c r="Z15" s="221"/>
      <c r="AA15" s="1" t="s">
        <v>20</v>
      </c>
      <c r="AB15" s="1">
        <v>6.7350194378658574E-3</v>
      </c>
      <c r="AC15" s="1">
        <v>7.075171934727769E-3</v>
      </c>
      <c r="AD15" s="1">
        <v>7.5513854303344459E-3</v>
      </c>
      <c r="AE15" s="1">
        <v>8.2997209234306514E-3</v>
      </c>
      <c r="AF15" s="1">
        <v>8.9119954177820943E-3</v>
      </c>
      <c r="AG15" s="1">
        <v>9.4562394127611533E-3</v>
      </c>
      <c r="AH15" s="1">
        <v>9.9324529083678285E-3</v>
      </c>
      <c r="AI15" s="1">
        <v>1.0000483407740212E-2</v>
      </c>
    </row>
    <row r="16" spans="1:35" ht="28" x14ac:dyDescent="0.2">
      <c r="A16" s="282" t="s">
        <v>63</v>
      </c>
      <c r="B16" s="291">
        <f>B15*Assumptions!B3</f>
        <v>150.72300000000001</v>
      </c>
      <c r="C16" s="291">
        <f>C15*Assumptions!C3</f>
        <v>176.36491023272728</v>
      </c>
      <c r="D16" s="291">
        <f>D15*Assumptions!D3</f>
        <v>204.57523056695337</v>
      </c>
      <c r="E16" s="291">
        <f>E15*Assumptions!E3</f>
        <v>246.01006363779263</v>
      </c>
      <c r="F16" s="291">
        <f>F15*Assumptions!F3</f>
        <v>291.22797363187607</v>
      </c>
      <c r="G16" s="291">
        <f>G15*Assumptions!G3</f>
        <v>341.3356361423975</v>
      </c>
      <c r="H16" s="291">
        <f>H15*Assumptions!H3</f>
        <v>396.02693653023209</v>
      </c>
      <c r="I16" s="291">
        <f>I15*Assumptions!I3</f>
        <v>440.44759624260473</v>
      </c>
      <c r="J16" s="221"/>
      <c r="K16" s="221"/>
      <c r="L16" s="221"/>
      <c r="M16" s="221"/>
      <c r="N16" s="221"/>
      <c r="O16" s="232"/>
      <c r="P16" s="232"/>
      <c r="Q16" s="232"/>
      <c r="R16" s="232"/>
      <c r="S16" s="232"/>
      <c r="T16" s="232"/>
      <c r="U16" s="232"/>
      <c r="V16" s="232"/>
      <c r="W16" s="221"/>
      <c r="X16" s="221"/>
      <c r="Y16" s="221"/>
      <c r="Z16" s="221"/>
      <c r="AA16" s="1" t="s">
        <v>63</v>
      </c>
      <c r="AB16" s="1">
        <v>150.72300000000001</v>
      </c>
      <c r="AC16" s="1">
        <v>176.36491023272728</v>
      </c>
      <c r="AD16" s="1">
        <v>204.57523056695337</v>
      </c>
      <c r="AE16" s="1">
        <v>246.01006363779263</v>
      </c>
      <c r="AF16" s="1">
        <v>291.22797363187607</v>
      </c>
      <c r="AG16" s="1">
        <v>341.3356361423975</v>
      </c>
      <c r="AH16" s="1">
        <v>396.02693653023209</v>
      </c>
      <c r="AI16" s="1">
        <v>440.44759624260473</v>
      </c>
    </row>
    <row r="17" spans="1:35" ht="29" x14ac:dyDescent="0.2">
      <c r="A17" s="292" t="s">
        <v>132</v>
      </c>
      <c r="B17" s="291">
        <f>$B$15*Assumptions!B3</f>
        <v>150.72300000000001</v>
      </c>
      <c r="C17" s="291">
        <f>$B$15*Assumptions!C3</f>
        <v>167.88582801000001</v>
      </c>
      <c r="D17" s="291">
        <f>$B$15*Assumptions!D3</f>
        <v>182.45898942458004</v>
      </c>
      <c r="E17" s="291">
        <f>$B$15*Assumptions!E3</f>
        <v>199.63111721427438</v>
      </c>
      <c r="F17" s="291">
        <f>$B$15*Assumptions!F3</f>
        <v>220.08831595080713</v>
      </c>
      <c r="G17" s="291">
        <f>$B$15*Assumptions!G3</f>
        <v>243.10955379926153</v>
      </c>
      <c r="H17" s="291">
        <f>$B$15*Assumptions!H3</f>
        <v>268.53881312666431</v>
      </c>
      <c r="I17" s="291">
        <f>$B$15*Assumptions!I3</f>
        <v>296.62797297971338</v>
      </c>
      <c r="J17" s="221"/>
      <c r="K17" s="221"/>
      <c r="L17" s="221"/>
      <c r="M17" s="221"/>
      <c r="N17" s="221"/>
      <c r="O17" s="232"/>
      <c r="P17" s="232"/>
      <c r="Q17" s="232"/>
      <c r="R17" s="232"/>
      <c r="S17" s="232"/>
      <c r="T17" s="232"/>
      <c r="U17" s="232"/>
      <c r="V17" s="232"/>
      <c r="W17" s="221"/>
      <c r="X17" s="221"/>
      <c r="Y17" s="221"/>
      <c r="Z17" s="221"/>
      <c r="AA17" s="1" t="s">
        <v>132</v>
      </c>
      <c r="AB17" s="1">
        <v>150.72300000000001</v>
      </c>
      <c r="AC17" s="1">
        <v>167.88582801000001</v>
      </c>
      <c r="AD17" s="1">
        <v>182.45898942458004</v>
      </c>
      <c r="AE17" s="1">
        <v>199.63111721427438</v>
      </c>
      <c r="AF17" s="1">
        <v>220.08831595080713</v>
      </c>
      <c r="AG17" s="1">
        <v>243.10955379926153</v>
      </c>
      <c r="AH17" s="1">
        <v>268.53881312666431</v>
      </c>
      <c r="AI17" s="1">
        <v>296.62797297971338</v>
      </c>
    </row>
    <row r="18" spans="1:35" ht="43" x14ac:dyDescent="0.2">
      <c r="A18" s="292" t="s">
        <v>133</v>
      </c>
      <c r="B18" s="291">
        <f t="shared" ref="B18:I18" si="0">B16-B17</f>
        <v>0</v>
      </c>
      <c r="C18" s="291">
        <f t="shared" si="0"/>
        <v>8.4790822227272713</v>
      </c>
      <c r="D18" s="291">
        <f t="shared" si="0"/>
        <v>22.116241142373326</v>
      </c>
      <c r="E18" s="291">
        <f t="shared" si="0"/>
        <v>46.378946423518244</v>
      </c>
      <c r="F18" s="291">
        <f t="shared" si="0"/>
        <v>71.13965768106894</v>
      </c>
      <c r="G18" s="291">
        <f t="shared" si="0"/>
        <v>98.226082343135971</v>
      </c>
      <c r="H18" s="291">
        <f t="shared" si="0"/>
        <v>127.48812340356778</v>
      </c>
      <c r="I18" s="291">
        <f t="shared" si="0"/>
        <v>143.81962326289135</v>
      </c>
      <c r="J18" s="221"/>
      <c r="K18" s="221"/>
      <c r="L18" s="221"/>
      <c r="M18" s="221"/>
      <c r="N18" s="221"/>
      <c r="O18" s="232"/>
      <c r="P18" s="232"/>
      <c r="Q18" s="232"/>
      <c r="R18" s="232"/>
      <c r="S18" s="232"/>
      <c r="T18" s="232"/>
      <c r="U18" s="232"/>
      <c r="V18" s="232"/>
      <c r="W18" s="221"/>
      <c r="X18" s="221"/>
      <c r="Y18" s="221"/>
      <c r="Z18" s="221"/>
      <c r="AA18" s="1" t="s">
        <v>133</v>
      </c>
      <c r="AB18" s="1">
        <v>0</v>
      </c>
      <c r="AC18" s="1">
        <v>8.4790822227272713</v>
      </c>
      <c r="AD18" s="1">
        <v>22.116241142373326</v>
      </c>
      <c r="AE18" s="1">
        <v>46.378946423518244</v>
      </c>
      <c r="AF18" s="1">
        <v>71.13965768106894</v>
      </c>
      <c r="AG18" s="1">
        <v>98.226082343135971</v>
      </c>
      <c r="AH18" s="1">
        <v>127.48812340356778</v>
      </c>
      <c r="AI18" s="1">
        <v>143.81962326289135</v>
      </c>
    </row>
    <row r="19" spans="1:35" ht="29" x14ac:dyDescent="0.2">
      <c r="A19" s="292" t="s">
        <v>134</v>
      </c>
      <c r="B19" s="293">
        <f>Assumptions!B25</f>
        <v>0.53293797548181399</v>
      </c>
      <c r="C19" s="293">
        <f>Assumptions!C25</f>
        <v>0.53293797548181399</v>
      </c>
      <c r="D19" s="293">
        <f>Assumptions!D25</f>
        <v>0.53293797548181399</v>
      </c>
      <c r="E19" s="293">
        <f>Assumptions!E25</f>
        <v>0.53293797548181399</v>
      </c>
      <c r="F19" s="293">
        <f>Assumptions!F25</f>
        <v>0.53293797548181399</v>
      </c>
      <c r="G19" s="293">
        <f>Assumptions!G25</f>
        <v>0.53293797548181399</v>
      </c>
      <c r="H19" s="293">
        <f>Assumptions!H25</f>
        <v>0.53293797548181399</v>
      </c>
      <c r="I19" s="293">
        <f>Assumptions!I25</f>
        <v>0.53293797548181399</v>
      </c>
      <c r="J19" s="221"/>
      <c r="K19" s="232"/>
      <c r="L19" s="221"/>
      <c r="M19" s="221"/>
      <c r="N19" s="221"/>
      <c r="O19" s="232"/>
      <c r="P19" s="232"/>
      <c r="Q19" s="232"/>
      <c r="R19" s="232"/>
      <c r="S19" s="232"/>
      <c r="T19" s="232"/>
      <c r="U19" s="232"/>
      <c r="V19" s="232"/>
      <c r="W19" s="221"/>
      <c r="X19" s="221"/>
      <c r="Y19" s="221"/>
      <c r="Z19" s="221"/>
      <c r="AA19" s="1" t="s">
        <v>134</v>
      </c>
      <c r="AB19" s="1">
        <v>0.53293797548181399</v>
      </c>
      <c r="AC19" s="1">
        <v>0.53293797548181399</v>
      </c>
      <c r="AD19" s="1">
        <v>0.53293797548181399</v>
      </c>
      <c r="AE19" s="1">
        <v>0.53293797548181399</v>
      </c>
      <c r="AF19" s="1">
        <v>0.53293797548181399</v>
      </c>
      <c r="AG19" s="1">
        <v>0.53293797548181399</v>
      </c>
      <c r="AH19" s="1">
        <v>0.53293797548181399</v>
      </c>
      <c r="AI19" s="1">
        <v>0.53293797548181399</v>
      </c>
    </row>
    <row r="20" spans="1:35" ht="29" x14ac:dyDescent="0.2">
      <c r="A20" s="292" t="s">
        <v>64</v>
      </c>
      <c r="B20" s="293">
        <f t="shared" ref="B20:I20" si="1">B19*B18</f>
        <v>0</v>
      </c>
      <c r="C20" s="293">
        <f t="shared" si="1"/>
        <v>4.518824913724111</v>
      </c>
      <c r="D20" s="293">
        <f t="shared" si="1"/>
        <v>11.786584779684041</v>
      </c>
      <c r="E20" s="293">
        <f t="shared" si="1"/>
        <v>24.717101811929329</v>
      </c>
      <c r="F20" s="293">
        <f t="shared" si="1"/>
        <v>37.91302514101816</v>
      </c>
      <c r="G20" s="293">
        <f t="shared" si="1"/>
        <v>52.34840946346084</v>
      </c>
      <c r="H20" s="293">
        <f t="shared" si="1"/>
        <v>67.943262384673076</v>
      </c>
      <c r="I20" s="293">
        <f t="shared" si="1"/>
        <v>76.646938856282517</v>
      </c>
      <c r="J20" s="221"/>
      <c r="K20" s="221"/>
      <c r="L20" s="221"/>
      <c r="M20" s="221"/>
      <c r="N20" s="221"/>
      <c r="O20" s="232"/>
      <c r="P20" s="232"/>
      <c r="Q20" s="232"/>
      <c r="R20" s="232"/>
      <c r="S20" s="232"/>
      <c r="T20" s="232"/>
      <c r="U20" s="232"/>
      <c r="V20" s="232"/>
      <c r="W20" s="221"/>
      <c r="X20" s="221"/>
      <c r="Y20" s="221"/>
      <c r="Z20" s="221"/>
      <c r="AA20" s="1" t="s">
        <v>64</v>
      </c>
      <c r="AB20" s="1">
        <v>0</v>
      </c>
      <c r="AC20" s="1">
        <v>4.518824913724111</v>
      </c>
      <c r="AD20" s="1">
        <v>11.786584779684041</v>
      </c>
      <c r="AE20" s="1">
        <v>24.717101811929329</v>
      </c>
      <c r="AF20" s="1">
        <v>37.91302514101816</v>
      </c>
      <c r="AG20" s="1">
        <v>52.34840946346084</v>
      </c>
      <c r="AH20" s="1">
        <v>67.943262384673076</v>
      </c>
      <c r="AI20" s="1">
        <v>76.646938856282517</v>
      </c>
    </row>
    <row r="21" spans="1:35" x14ac:dyDescent="0.2">
      <c r="A21" s="282" t="s">
        <v>37</v>
      </c>
      <c r="B21" s="283">
        <v>0.52007079199999995</v>
      </c>
      <c r="C21" s="283">
        <v>0.52007079199999995</v>
      </c>
      <c r="D21" s="283">
        <v>0.52007079199999995</v>
      </c>
      <c r="E21" s="283">
        <v>0.52007079199999995</v>
      </c>
      <c r="F21" s="283">
        <v>0.52007079199999995</v>
      </c>
      <c r="G21" s="283">
        <v>0.52007079199999995</v>
      </c>
      <c r="H21" s="283">
        <v>0.52007079199999995</v>
      </c>
      <c r="I21" s="283">
        <v>0.52007079199999995</v>
      </c>
      <c r="J21" s="221"/>
      <c r="K21" s="221"/>
      <c r="L21" s="221"/>
      <c r="M21" s="221"/>
      <c r="N21" s="221"/>
      <c r="O21" s="221"/>
      <c r="P21" s="232"/>
      <c r="Q21" s="232"/>
      <c r="R21" s="232"/>
      <c r="S21" s="232"/>
      <c r="T21" s="232"/>
      <c r="U21" s="232"/>
      <c r="V21" s="232"/>
      <c r="W21" s="221"/>
      <c r="X21" s="221"/>
      <c r="Y21" s="221"/>
      <c r="Z21" s="221"/>
      <c r="AA21" s="1" t="s">
        <v>37</v>
      </c>
      <c r="AB21" s="1">
        <v>0.52007079199999995</v>
      </c>
      <c r="AC21" s="1">
        <v>0.52007079199999995</v>
      </c>
      <c r="AD21" s="1">
        <v>0.52007079199999995</v>
      </c>
      <c r="AE21" s="1">
        <v>0.52007079199999995</v>
      </c>
      <c r="AF21" s="1">
        <v>0.52007079199999995</v>
      </c>
      <c r="AG21" s="1">
        <v>0.52007079199999995</v>
      </c>
      <c r="AH21" s="1">
        <v>0.52007079199999995</v>
      </c>
      <c r="AI21" s="1">
        <v>0.52007079199999995</v>
      </c>
    </row>
    <row r="22" spans="1:35" ht="43" x14ac:dyDescent="0.2">
      <c r="A22" s="292" t="s">
        <v>65</v>
      </c>
      <c r="B22" s="294">
        <f>B21*$B$15*Assumptions!B3</f>
        <v>78.386629982616014</v>
      </c>
      <c r="C22" s="294">
        <f>C21*$B$15*Assumptions!C3</f>
        <v>87.312515538736491</v>
      </c>
      <c r="D22" s="294">
        <f>D21*$B$15*Assumptions!D3</f>
        <v>94.891591137560951</v>
      </c>
      <c r="E22" s="294">
        <f>E21*$B$15*Assumptions!E3</f>
        <v>103.8223132374725</v>
      </c>
      <c r="F22" s="294">
        <f>F21*$B$15*Assumptions!F3</f>
        <v>114.46150478648248</v>
      </c>
      <c r="G22" s="294">
        <f>G21*$B$15*Assumptions!G3</f>
        <v>126.43417818714855</v>
      </c>
      <c r="H22" s="294">
        <f>H21*$B$15*Assumptions!H3</f>
        <v>139.65919322552429</v>
      </c>
      <c r="I22" s="294">
        <f>I21*$B$15*Assumptions!I3</f>
        <v>154.26754483691414</v>
      </c>
      <c r="J22" s="221"/>
      <c r="K22" s="221"/>
      <c r="L22" s="221"/>
      <c r="M22" s="221"/>
      <c r="N22" s="221"/>
      <c r="O22" s="221"/>
      <c r="P22" s="232"/>
      <c r="Q22" s="232"/>
      <c r="R22" s="232"/>
      <c r="S22" s="232"/>
      <c r="T22" s="232"/>
      <c r="U22" s="232"/>
      <c r="V22" s="232"/>
      <c r="W22" s="221"/>
      <c r="X22" s="221"/>
      <c r="Y22" s="221"/>
      <c r="Z22" s="221"/>
      <c r="AA22" s="1" t="s">
        <v>65</v>
      </c>
      <c r="AB22" s="1">
        <v>78.386629982616014</v>
      </c>
      <c r="AC22" s="1">
        <v>87.312515538736491</v>
      </c>
      <c r="AD22" s="1">
        <v>94.891591137560951</v>
      </c>
      <c r="AE22" s="1">
        <v>103.8223132374725</v>
      </c>
      <c r="AF22" s="1">
        <v>114.46150478648248</v>
      </c>
      <c r="AG22" s="1">
        <v>126.43417818714855</v>
      </c>
      <c r="AH22" s="1">
        <v>139.65919322552429</v>
      </c>
      <c r="AI22" s="1">
        <v>154.26754483691414</v>
      </c>
    </row>
    <row r="23" spans="1:35" ht="17" thickBot="1" x14ac:dyDescent="0.25">
      <c r="A23" s="295" t="s">
        <v>21</v>
      </c>
      <c r="B23" s="296">
        <f t="shared" ref="B23:I23" si="2">B22+B20</f>
        <v>78.386629982616014</v>
      </c>
      <c r="C23" s="296">
        <f t="shared" si="2"/>
        <v>91.831340452460609</v>
      </c>
      <c r="D23" s="296">
        <f t="shared" si="2"/>
        <v>106.678175917245</v>
      </c>
      <c r="E23" s="296">
        <f t="shared" si="2"/>
        <v>128.53941504940184</v>
      </c>
      <c r="F23" s="296">
        <f t="shared" si="2"/>
        <v>152.37452992750065</v>
      </c>
      <c r="G23" s="296">
        <f t="shared" si="2"/>
        <v>178.7825876506094</v>
      </c>
      <c r="H23" s="296">
        <f t="shared" si="2"/>
        <v>207.60245561019735</v>
      </c>
      <c r="I23" s="296">
        <f t="shared" si="2"/>
        <v>230.91448369319664</v>
      </c>
      <c r="J23" s="221"/>
      <c r="K23" s="221"/>
      <c r="L23" s="221"/>
      <c r="M23" s="221"/>
      <c r="N23" s="221"/>
      <c r="O23" s="223"/>
      <c r="P23" s="223"/>
      <c r="Q23" s="223"/>
      <c r="R23" s="223"/>
      <c r="S23" s="223"/>
      <c r="T23" s="223"/>
      <c r="U23" s="223"/>
      <c r="V23" s="223"/>
      <c r="W23" s="221"/>
      <c r="X23" s="221"/>
      <c r="Y23" s="221"/>
      <c r="Z23" s="221"/>
      <c r="AA23" s="1" t="s">
        <v>21</v>
      </c>
      <c r="AB23" s="1">
        <v>78.386629982616014</v>
      </c>
      <c r="AC23" s="1">
        <v>91.831340452460609</v>
      </c>
      <c r="AD23" s="1">
        <v>106.678175917245</v>
      </c>
      <c r="AE23" s="1">
        <v>128.53941504940184</v>
      </c>
      <c r="AF23" s="1">
        <v>152.37452992750065</v>
      </c>
      <c r="AG23" s="1">
        <v>178.7825876506094</v>
      </c>
      <c r="AH23" s="1">
        <v>207.60245561019735</v>
      </c>
      <c r="AI23" s="1">
        <v>230.91448369319664</v>
      </c>
    </row>
    <row r="24" spans="1:35" ht="21" customHeight="1" thickTop="1" x14ac:dyDescent="0.2">
      <c r="A24" s="233"/>
      <c r="B24" s="234"/>
      <c r="C24" s="235"/>
      <c r="D24" s="235"/>
      <c r="E24" s="235"/>
      <c r="F24" s="235"/>
      <c r="G24" s="235"/>
      <c r="H24" s="235"/>
      <c r="I24" s="236"/>
      <c r="J24" s="221"/>
      <c r="K24" s="221"/>
      <c r="L24" s="221"/>
      <c r="M24" s="221"/>
      <c r="N24" s="221"/>
      <c r="O24" s="221"/>
      <c r="P24" s="223"/>
      <c r="Q24" s="223"/>
      <c r="R24" s="223"/>
      <c r="S24" s="223"/>
      <c r="T24" s="223"/>
      <c r="U24" s="223"/>
      <c r="V24" s="223"/>
      <c r="W24" s="221"/>
      <c r="X24" s="221"/>
      <c r="Y24" s="221"/>
      <c r="Z24" s="221"/>
    </row>
    <row r="25" spans="1:35" ht="35" thickBot="1" x14ac:dyDescent="0.25">
      <c r="A25" s="237" t="s">
        <v>128</v>
      </c>
      <c r="B25" s="44"/>
      <c r="C25" s="44"/>
      <c r="D25" s="44"/>
      <c r="E25" s="44"/>
      <c r="F25" s="44"/>
      <c r="G25" s="44"/>
      <c r="H25" s="44"/>
      <c r="I25" s="46"/>
      <c r="J25" s="221"/>
      <c r="K25" s="221"/>
      <c r="L25" s="221"/>
      <c r="M25" s="221"/>
      <c r="N25" s="221"/>
      <c r="O25" s="223"/>
      <c r="P25" s="223"/>
      <c r="Q25" s="223"/>
      <c r="R25" s="223"/>
      <c r="S25" s="223"/>
      <c r="T25" s="223"/>
      <c r="U25" s="223"/>
      <c r="V25" s="223"/>
      <c r="W25" s="221"/>
      <c r="X25" s="221"/>
      <c r="Y25" s="221"/>
      <c r="Z25" s="221"/>
      <c r="AA25" s="1" t="s">
        <v>128</v>
      </c>
    </row>
    <row r="26" spans="1:35" ht="17" thickTop="1" x14ac:dyDescent="0.2">
      <c r="A26" s="282" t="s">
        <v>53</v>
      </c>
      <c r="B26" s="290">
        <f>Assumptions!B27</f>
        <v>2.2131182687954663E-4</v>
      </c>
      <c r="C26" s="290">
        <f>Assumptions!C27</f>
        <v>2.2131182687954663E-4</v>
      </c>
      <c r="D26" s="290">
        <f>Assumptions!D27</f>
        <v>2.2131182687954663E-4</v>
      </c>
      <c r="E26" s="290">
        <f>Assumptions!E27</f>
        <v>2.2131182687954663E-4</v>
      </c>
      <c r="F26" s="290">
        <f>Assumptions!F27</f>
        <v>2.2131182687954663E-4</v>
      </c>
      <c r="G26" s="290">
        <f>Assumptions!G27</f>
        <v>2.2131182687954663E-4</v>
      </c>
      <c r="H26" s="290">
        <f>Assumptions!H27</f>
        <v>2.2131182687954663E-4</v>
      </c>
      <c r="I26" s="290">
        <f>Assumptions!I27</f>
        <v>2.2131182687954663E-4</v>
      </c>
      <c r="J26" s="221"/>
      <c r="K26" s="221"/>
      <c r="L26" s="221"/>
      <c r="M26" s="221"/>
      <c r="N26" s="221"/>
      <c r="O26" s="232"/>
      <c r="P26" s="232"/>
      <c r="Q26" s="232"/>
      <c r="R26" s="232"/>
      <c r="S26" s="232"/>
      <c r="T26" s="232"/>
      <c r="U26" s="232"/>
      <c r="V26" s="232"/>
      <c r="W26" s="221"/>
      <c r="X26" s="221"/>
      <c r="Y26" s="221"/>
      <c r="Z26" s="221"/>
      <c r="AA26" s="1" t="s">
        <v>53</v>
      </c>
      <c r="AB26" s="1">
        <v>2.2131182687954663E-4</v>
      </c>
      <c r="AC26" s="1">
        <v>2.2131182687954663E-4</v>
      </c>
      <c r="AD26" s="1">
        <v>2.2131182687954663E-4</v>
      </c>
      <c r="AE26" s="1">
        <v>2.2131182687954663E-4</v>
      </c>
      <c r="AF26" s="1">
        <v>2.2131182687954663E-4</v>
      </c>
      <c r="AG26" s="1">
        <v>2.2131182687954663E-4</v>
      </c>
      <c r="AH26" s="1">
        <v>2.2131182687954663E-4</v>
      </c>
      <c r="AI26" s="1">
        <v>2.2131182687954663E-4</v>
      </c>
    </row>
    <row r="27" spans="1:35" x14ac:dyDescent="0.2">
      <c r="A27" s="282" t="s">
        <v>32</v>
      </c>
      <c r="B27" s="290">
        <f>Assumptions!B28</f>
        <v>2.1909870861075117E-5</v>
      </c>
      <c r="C27" s="290">
        <f>Assumptions!C28</f>
        <v>2.3016429995472847E-5</v>
      </c>
      <c r="D27" s="290">
        <f>Assumptions!D28</f>
        <v>2.4565612783629675E-5</v>
      </c>
      <c r="E27" s="290">
        <f>Assumptions!E28</f>
        <v>2.7000042879304686E-5</v>
      </c>
      <c r="F27" s="290">
        <f>Assumptions!F28</f>
        <v>2.8991849321220609E-5</v>
      </c>
      <c r="G27" s="290">
        <f>Assumptions!G28</f>
        <v>3.0762343936256985E-5</v>
      </c>
      <c r="H27" s="290">
        <f>Assumptions!H28</f>
        <v>3.2311526724413803E-5</v>
      </c>
      <c r="I27" s="290">
        <f>Assumptions!I28</f>
        <v>3.2532838551293351E-5</v>
      </c>
      <c r="J27" s="221"/>
      <c r="K27" s="221"/>
      <c r="L27" s="221"/>
      <c r="M27" s="221"/>
      <c r="N27" s="221"/>
      <c r="O27" s="232"/>
      <c r="P27" s="232"/>
      <c r="Q27" s="232"/>
      <c r="R27" s="232"/>
      <c r="S27" s="232"/>
      <c r="T27" s="232"/>
      <c r="U27" s="232"/>
      <c r="V27" s="232"/>
      <c r="W27" s="221"/>
      <c r="X27" s="221"/>
      <c r="Y27" s="221"/>
      <c r="Z27" s="221"/>
      <c r="AA27" s="1" t="s">
        <v>32</v>
      </c>
      <c r="AB27" s="1">
        <v>2.1909870861075117E-5</v>
      </c>
      <c r="AC27" s="1">
        <v>2.3016429995472847E-5</v>
      </c>
      <c r="AD27" s="1">
        <v>2.4565612783629675E-5</v>
      </c>
      <c r="AE27" s="1">
        <v>2.7000042879304686E-5</v>
      </c>
      <c r="AF27" s="1">
        <v>2.8991849321220609E-5</v>
      </c>
      <c r="AG27" s="1">
        <v>3.0762343936256985E-5</v>
      </c>
      <c r="AH27" s="1">
        <v>3.2311526724413803E-5</v>
      </c>
      <c r="AI27" s="1">
        <v>3.2532838551293351E-5</v>
      </c>
    </row>
    <row r="28" spans="1:35" x14ac:dyDescent="0.2">
      <c r="A28" s="282" t="s">
        <v>42</v>
      </c>
      <c r="B28" s="297">
        <f>Assumptions!B29</f>
        <v>0.49032100000000006</v>
      </c>
      <c r="C28" s="297">
        <f>Assumptions!C29</f>
        <v>0.57373738016242415</v>
      </c>
      <c r="D28" s="297">
        <f>Assumptions!D29</f>
        <v>0.66550912353668079</v>
      </c>
      <c r="E28" s="297">
        <f>Assumptions!E29</f>
        <v>0.80030188101979205</v>
      </c>
      <c r="F28" s="297">
        <f>Assumptions!F29</f>
        <v>0.94740146665840719</v>
      </c>
      <c r="G28" s="297">
        <f>Assumptions!G29</f>
        <v>1.110408036258411</v>
      </c>
      <c r="H28" s="297">
        <f>Assumptions!H29</f>
        <v>1.2883257601456972</v>
      </c>
      <c r="I28" s="297">
        <f>Assumptions!I29</f>
        <v>1.4328317896888341</v>
      </c>
      <c r="J28" s="221"/>
      <c r="K28" s="221"/>
      <c r="L28" s="221"/>
      <c r="M28" s="221"/>
      <c r="N28" s="221"/>
      <c r="O28" s="221"/>
      <c r="P28" s="221"/>
      <c r="Q28" s="221"/>
      <c r="R28" s="221"/>
      <c r="S28" s="221"/>
      <c r="T28" s="221"/>
      <c r="U28" s="221"/>
      <c r="V28" s="221"/>
      <c r="W28" s="221"/>
      <c r="X28" s="221"/>
      <c r="Y28" s="221"/>
      <c r="Z28" s="221"/>
      <c r="AA28" s="1" t="s">
        <v>42</v>
      </c>
      <c r="AB28" s="1">
        <v>0.49032100000000006</v>
      </c>
      <c r="AC28" s="1">
        <v>0.57373738016242415</v>
      </c>
      <c r="AD28" s="1">
        <v>0.66550912353668079</v>
      </c>
      <c r="AE28" s="1">
        <v>0.80030188101979205</v>
      </c>
      <c r="AF28" s="1">
        <v>0.94740146665840719</v>
      </c>
      <c r="AG28" s="1">
        <v>1.110408036258411</v>
      </c>
      <c r="AH28" s="1">
        <v>1.2883257601456972</v>
      </c>
      <c r="AI28" s="1">
        <v>1.4328317896888341</v>
      </c>
    </row>
    <row r="29" spans="1:35" x14ac:dyDescent="0.2">
      <c r="A29" s="282" t="s">
        <v>43</v>
      </c>
      <c r="B29" s="298">
        <f>Assumptions!B30</f>
        <v>0</v>
      </c>
      <c r="C29" s="298">
        <f>Assumptions!C30</f>
        <v>0</v>
      </c>
      <c r="D29" s="298">
        <f>Assumptions!D30</f>
        <v>0</v>
      </c>
      <c r="E29" s="298">
        <f>Assumptions!E30</f>
        <v>0</v>
      </c>
      <c r="F29" s="298">
        <f>Assumptions!F30</f>
        <v>0</v>
      </c>
      <c r="G29" s="298">
        <f>Assumptions!G30</f>
        <v>0</v>
      </c>
      <c r="H29" s="298">
        <f>Assumptions!H30</f>
        <v>0</v>
      </c>
      <c r="I29" s="298">
        <f>Assumptions!I30</f>
        <v>0</v>
      </c>
      <c r="J29" s="221"/>
      <c r="K29" s="221"/>
      <c r="L29" s="221"/>
      <c r="M29" s="221"/>
      <c r="N29" s="221"/>
      <c r="O29" s="221"/>
      <c r="P29" s="221"/>
      <c r="Q29" s="221"/>
      <c r="R29" s="221"/>
      <c r="S29" s="221"/>
      <c r="T29" s="221"/>
      <c r="U29" s="221"/>
      <c r="V29" s="221"/>
      <c r="W29" s="221"/>
      <c r="X29" s="221"/>
      <c r="Y29" s="221"/>
      <c r="Z29" s="221"/>
      <c r="AA29" s="1" t="s">
        <v>43</v>
      </c>
      <c r="AB29" s="1">
        <v>0</v>
      </c>
      <c r="AC29" s="1">
        <v>0</v>
      </c>
      <c r="AD29" s="1">
        <v>0</v>
      </c>
      <c r="AE29" s="1">
        <v>0</v>
      </c>
      <c r="AF29" s="1">
        <v>0</v>
      </c>
      <c r="AG29" s="1">
        <v>0</v>
      </c>
      <c r="AH29" s="1">
        <v>0</v>
      </c>
      <c r="AI29" s="1">
        <v>0</v>
      </c>
    </row>
    <row r="30" spans="1:35" x14ac:dyDescent="0.2">
      <c r="A30" s="282" t="s">
        <v>84</v>
      </c>
      <c r="B30" s="299">
        <f>Assumptions!B33</f>
        <v>5.117</v>
      </c>
      <c r="C30" s="299">
        <f>Assumptions!C33</f>
        <v>0</v>
      </c>
      <c r="D30" s="299">
        <f>Assumptions!D33</f>
        <v>0</v>
      </c>
      <c r="E30" s="299">
        <f>Assumptions!E33</f>
        <v>0</v>
      </c>
      <c r="F30" s="299">
        <f>Assumptions!F33</f>
        <v>10.766550555311879</v>
      </c>
      <c r="G30" s="299">
        <f>Assumptions!G33</f>
        <v>11.086967065899774</v>
      </c>
      <c r="H30" s="299">
        <f>Assumptions!H33</f>
        <v>11.423404402017063</v>
      </c>
      <c r="I30" s="299">
        <f>Assumptions!I33</f>
        <v>11.776663604940214</v>
      </c>
      <c r="J30" s="221"/>
      <c r="K30" s="221"/>
      <c r="L30" s="221"/>
      <c r="M30" s="221"/>
      <c r="N30" s="221"/>
      <c r="O30" s="238"/>
      <c r="P30" s="238"/>
      <c r="Q30" s="238"/>
      <c r="R30" s="238"/>
      <c r="S30" s="238"/>
      <c r="T30" s="238"/>
      <c r="U30" s="238"/>
      <c r="V30" s="238"/>
      <c r="W30" s="221"/>
      <c r="X30" s="221"/>
      <c r="Y30" s="221"/>
      <c r="Z30" s="221"/>
      <c r="AA30" s="1" t="s">
        <v>84</v>
      </c>
      <c r="AB30" s="1">
        <v>5.117</v>
      </c>
      <c r="AC30" s="1">
        <v>0</v>
      </c>
      <c r="AD30" s="1">
        <v>0</v>
      </c>
      <c r="AE30" s="1">
        <v>0</v>
      </c>
      <c r="AF30" s="1">
        <v>10.766550555311879</v>
      </c>
      <c r="AG30" s="1">
        <v>11.086967065899774</v>
      </c>
      <c r="AH30" s="1">
        <v>11.423404402017063</v>
      </c>
      <c r="AI30" s="1">
        <v>11.776663604940214</v>
      </c>
    </row>
    <row r="31" spans="1:35" ht="28" x14ac:dyDescent="0.2">
      <c r="A31" s="282" t="s">
        <v>55</v>
      </c>
      <c r="B31" s="290">
        <f>Assumptions!B34</f>
        <v>3.3223733830552724E-3</v>
      </c>
      <c r="C31" s="290">
        <f>Assumptions!C34</f>
        <v>3.3223733830552724E-3</v>
      </c>
      <c r="D31" s="290">
        <f>Assumptions!D34</f>
        <v>3.3223733830552724E-3</v>
      </c>
      <c r="E31" s="290">
        <f>Assumptions!E34</f>
        <v>3.3223733830552724E-3</v>
      </c>
      <c r="F31" s="290">
        <f>Assumptions!F34</f>
        <v>3.3223733830552724E-3</v>
      </c>
      <c r="G31" s="290">
        <f>Assumptions!G34</f>
        <v>3.3223733830552724E-3</v>
      </c>
      <c r="H31" s="290">
        <f>Assumptions!H34</f>
        <v>3.3223733830552724E-3</v>
      </c>
      <c r="I31" s="290">
        <f>Assumptions!I34</f>
        <v>3.3223733830552724E-3</v>
      </c>
      <c r="J31" s="221"/>
      <c r="K31" s="221"/>
      <c r="L31" s="221"/>
      <c r="M31" s="221"/>
      <c r="N31" s="221"/>
      <c r="O31" s="221"/>
      <c r="P31" s="221"/>
      <c r="Q31" s="221"/>
      <c r="R31" s="221"/>
      <c r="S31" s="221"/>
      <c r="T31" s="221"/>
      <c r="U31" s="221"/>
      <c r="V31" s="221"/>
      <c r="W31" s="221"/>
      <c r="X31" s="221"/>
      <c r="Y31" s="221"/>
      <c r="Z31" s="221"/>
      <c r="AA31" s="1" t="s">
        <v>55</v>
      </c>
      <c r="AB31" s="1">
        <v>3.3223733830552724E-3</v>
      </c>
      <c r="AC31" s="1">
        <v>3.3223733830552724E-3</v>
      </c>
      <c r="AD31" s="1">
        <v>3.3223733830552724E-3</v>
      </c>
      <c r="AE31" s="1">
        <v>3.3223733830552724E-3</v>
      </c>
      <c r="AF31" s="1">
        <v>3.3223733830552724E-3</v>
      </c>
      <c r="AG31" s="1">
        <v>3.3223733830552724E-3</v>
      </c>
      <c r="AH31" s="1">
        <v>3.3223733830552724E-3</v>
      </c>
      <c r="AI31" s="1">
        <v>3.3223733830552724E-3</v>
      </c>
    </row>
    <row r="32" spans="1:35" x14ac:dyDescent="0.2">
      <c r="A32" s="282" t="s">
        <v>19</v>
      </c>
      <c r="B32" s="290">
        <f>B31*Assumptions!B7</f>
        <v>3.2891496492247198E-4</v>
      </c>
      <c r="C32" s="290">
        <f>C31*Assumptions!C7</f>
        <v>3.4552683183774834E-4</v>
      </c>
      <c r="D32" s="290">
        <f>D31*Assumptions!D7</f>
        <v>3.6878344551913522E-4</v>
      </c>
      <c r="E32" s="290">
        <f>E31*Assumptions!E7</f>
        <v>4.0532955273274321E-4</v>
      </c>
      <c r="F32" s="290">
        <f>F31*Assumptions!F7</f>
        <v>4.3523091318024073E-4</v>
      </c>
      <c r="G32" s="290">
        <f>G31*Assumptions!G7</f>
        <v>4.6180990024468293E-4</v>
      </c>
      <c r="H32" s="290">
        <f>H31*Assumptions!H7</f>
        <v>4.8506651392606976E-4</v>
      </c>
      <c r="I32" s="290">
        <f>I31*Assumptions!I7</f>
        <v>4.8838888730912502E-4</v>
      </c>
      <c r="J32" s="221"/>
      <c r="K32" s="221"/>
      <c r="L32" s="221"/>
      <c r="M32" s="221"/>
      <c r="N32" s="221"/>
      <c r="O32" s="232"/>
      <c r="P32" s="232"/>
      <c r="Q32" s="232"/>
      <c r="R32" s="232"/>
      <c r="S32" s="232"/>
      <c r="T32" s="232"/>
      <c r="U32" s="232"/>
      <c r="V32" s="232"/>
      <c r="W32" s="221"/>
      <c r="X32" s="221"/>
      <c r="Y32" s="221"/>
      <c r="Z32" s="221"/>
      <c r="AA32" s="1" t="s">
        <v>19</v>
      </c>
      <c r="AB32" s="1">
        <v>3.2891496492247198E-4</v>
      </c>
      <c r="AC32" s="1">
        <v>3.4552683183774834E-4</v>
      </c>
      <c r="AD32" s="1">
        <v>3.6878344551913522E-4</v>
      </c>
      <c r="AE32" s="1">
        <v>4.0532955273274321E-4</v>
      </c>
      <c r="AF32" s="1">
        <v>4.3523091318024073E-4</v>
      </c>
      <c r="AG32" s="1">
        <v>4.6180990024468293E-4</v>
      </c>
      <c r="AH32" s="1">
        <v>4.8506651392606976E-4</v>
      </c>
      <c r="AI32" s="1">
        <v>4.8838888730912502E-4</v>
      </c>
    </row>
    <row r="33" spans="1:35" x14ac:dyDescent="0.2">
      <c r="A33" s="282" t="s">
        <v>29</v>
      </c>
      <c r="B33" s="299">
        <f>B32*Assumptions!B3</f>
        <v>7.3607880000000003</v>
      </c>
      <c r="C33" s="299">
        <f>C32*Assumptions!C3</f>
        <v>8.6130498653963627</v>
      </c>
      <c r="D33" s="299">
        <f>D32*Assumptions!D3</f>
        <v>9.9907439624640126</v>
      </c>
      <c r="E33" s="299">
        <f>E32*Assumptions!E3</f>
        <v>12.014277345224686</v>
      </c>
      <c r="F33" s="299">
        <f>F32*Assumptions!F3</f>
        <v>14.222563069828956</v>
      </c>
      <c r="G33" s="299">
        <f>G32*Assumptions!G3</f>
        <v>16.669647329799208</v>
      </c>
      <c r="H33" s="299">
        <f>H32*Assumptions!H3</f>
        <v>19.340580549010397</v>
      </c>
      <c r="I33" s="299">
        <f>I32*Assumptions!I3</f>
        <v>21.509931337960428</v>
      </c>
      <c r="J33" s="221"/>
      <c r="K33" s="221"/>
      <c r="L33" s="221"/>
      <c r="M33" s="221"/>
      <c r="N33" s="221"/>
      <c r="O33" s="238"/>
      <c r="P33" s="238"/>
      <c r="Q33" s="238"/>
      <c r="R33" s="238"/>
      <c r="S33" s="238"/>
      <c r="T33" s="238"/>
      <c r="U33" s="238"/>
      <c r="V33" s="238"/>
      <c r="W33" s="221"/>
      <c r="X33" s="221"/>
      <c r="Y33" s="221"/>
      <c r="Z33" s="221"/>
      <c r="AA33" s="1" t="s">
        <v>29</v>
      </c>
      <c r="AB33" s="1">
        <v>7.3607880000000003</v>
      </c>
      <c r="AC33" s="1">
        <v>8.6130498653963627</v>
      </c>
      <c r="AD33" s="1">
        <v>9.9907439624640126</v>
      </c>
      <c r="AE33" s="1">
        <v>12.014277345224686</v>
      </c>
      <c r="AF33" s="1">
        <v>14.222563069828956</v>
      </c>
      <c r="AG33" s="1">
        <v>16.669647329799208</v>
      </c>
      <c r="AH33" s="1">
        <v>19.340580549010397</v>
      </c>
      <c r="AI33" s="1">
        <v>21.509931337960428</v>
      </c>
    </row>
    <row r="34" spans="1:35" ht="29" thickBot="1" x14ac:dyDescent="0.25">
      <c r="A34" s="295" t="s">
        <v>58</v>
      </c>
      <c r="B34" s="300">
        <f t="shared" ref="B34:I34" si="3">B28+B29+B30+B33</f>
        <v>12.968109</v>
      </c>
      <c r="C34" s="300">
        <f t="shared" si="3"/>
        <v>9.1867872455587865</v>
      </c>
      <c r="D34" s="300">
        <f t="shared" si="3"/>
        <v>10.656253086000694</v>
      </c>
      <c r="E34" s="300">
        <f t="shared" si="3"/>
        <v>12.814579226244478</v>
      </c>
      <c r="F34" s="300">
        <f t="shared" si="3"/>
        <v>25.936515091799244</v>
      </c>
      <c r="G34" s="300">
        <f t="shared" si="3"/>
        <v>28.867022431957395</v>
      </c>
      <c r="H34" s="300">
        <f t="shared" si="3"/>
        <v>32.052310711173156</v>
      </c>
      <c r="I34" s="300">
        <f t="shared" si="3"/>
        <v>34.719426732589476</v>
      </c>
      <c r="J34" s="221"/>
      <c r="K34" s="221"/>
      <c r="L34" s="221"/>
      <c r="M34" s="221"/>
      <c r="N34" s="221"/>
      <c r="O34" s="223"/>
      <c r="P34" s="223"/>
      <c r="Q34" s="223"/>
      <c r="R34" s="223"/>
      <c r="S34" s="223"/>
      <c r="T34" s="223"/>
      <c r="U34" s="223"/>
      <c r="V34" s="223"/>
      <c r="W34" s="221"/>
      <c r="X34" s="221"/>
      <c r="Y34" s="221"/>
      <c r="Z34" s="221"/>
      <c r="AA34" s="1" t="s">
        <v>58</v>
      </c>
      <c r="AB34" s="1">
        <v>12.968109</v>
      </c>
      <c r="AC34" s="1">
        <v>9.1867872455587865</v>
      </c>
      <c r="AD34" s="1">
        <v>10.656253086000694</v>
      </c>
      <c r="AE34" s="1">
        <v>12.814579226244478</v>
      </c>
      <c r="AF34" s="1">
        <v>25.936515091799244</v>
      </c>
      <c r="AG34" s="1">
        <v>28.867022431957395</v>
      </c>
      <c r="AH34" s="1">
        <v>32.052310711173156</v>
      </c>
      <c r="AI34" s="1">
        <v>34.719426732589476</v>
      </c>
    </row>
    <row r="35" spans="1:35" ht="17" thickTop="1" x14ac:dyDescent="0.2">
      <c r="A35" s="239"/>
      <c r="B35" s="240"/>
      <c r="C35" s="240"/>
      <c r="D35" s="241"/>
      <c r="E35" s="240"/>
      <c r="F35" s="240"/>
      <c r="G35" s="240"/>
      <c r="H35" s="241"/>
      <c r="I35" s="240"/>
      <c r="J35" s="221"/>
      <c r="K35" s="221"/>
      <c r="L35" s="221"/>
      <c r="M35" s="221"/>
      <c r="N35" s="221"/>
      <c r="O35" s="221"/>
      <c r="P35" s="221"/>
      <c r="Q35" s="221"/>
      <c r="R35" s="221"/>
      <c r="S35" s="221"/>
      <c r="T35" s="221"/>
      <c r="U35" s="221"/>
      <c r="V35" s="221"/>
      <c r="W35" s="221"/>
      <c r="X35" s="221"/>
      <c r="Y35" s="221"/>
      <c r="Z35" s="221"/>
    </row>
    <row r="36" spans="1:35" ht="18" thickBot="1" x14ac:dyDescent="0.25">
      <c r="A36" s="225" t="s">
        <v>9</v>
      </c>
      <c r="B36" s="242"/>
      <c r="C36" s="242"/>
      <c r="D36" s="242"/>
      <c r="E36" s="242"/>
      <c r="F36" s="242"/>
      <c r="G36" s="242"/>
      <c r="H36" s="242"/>
      <c r="I36" s="243"/>
      <c r="J36" s="221"/>
      <c r="K36" s="221"/>
      <c r="L36" s="221"/>
      <c r="M36" s="221"/>
      <c r="N36" s="221"/>
      <c r="O36" s="221"/>
      <c r="P36" s="221"/>
      <c r="Q36" s="221"/>
      <c r="R36" s="221"/>
      <c r="S36" s="221"/>
      <c r="T36" s="221"/>
      <c r="U36" s="221"/>
      <c r="V36" s="221"/>
      <c r="W36" s="221"/>
      <c r="X36" s="221"/>
      <c r="Y36" s="221"/>
      <c r="Z36" s="221"/>
      <c r="AA36" s="1" t="s">
        <v>9</v>
      </c>
    </row>
    <row r="37" spans="1:35" ht="29" thickTop="1" x14ac:dyDescent="0.2">
      <c r="A37" s="282" t="s">
        <v>59</v>
      </c>
      <c r="B37" s="293">
        <f>Assumptions!B38</f>
        <v>0.22450100000000001</v>
      </c>
      <c r="C37" s="293">
        <f>Assumptions!C38</f>
        <v>0</v>
      </c>
      <c r="D37" s="293">
        <f>Assumptions!D38</f>
        <v>0</v>
      </c>
      <c r="E37" s="293">
        <f>Assumptions!E38</f>
        <v>0</v>
      </c>
      <c r="F37" s="293">
        <f>Assumptions!F38</f>
        <v>0</v>
      </c>
      <c r="G37" s="293">
        <f>Assumptions!G38</f>
        <v>0</v>
      </c>
      <c r="H37" s="293">
        <f>Assumptions!H38</f>
        <v>0</v>
      </c>
      <c r="I37" s="293">
        <f>Assumptions!I38</f>
        <v>0</v>
      </c>
      <c r="J37" s="221"/>
      <c r="K37" s="221"/>
      <c r="L37" s="221"/>
      <c r="M37" s="221"/>
      <c r="N37" s="221"/>
      <c r="O37" s="238"/>
      <c r="P37" s="238"/>
      <c r="Q37" s="221"/>
      <c r="R37" s="221"/>
      <c r="S37" s="221"/>
      <c r="T37" s="221"/>
      <c r="U37" s="221"/>
      <c r="V37" s="221"/>
      <c r="W37" s="221"/>
      <c r="X37" s="221"/>
      <c r="Y37" s="221"/>
      <c r="Z37" s="221"/>
      <c r="AA37" s="1" t="s">
        <v>59</v>
      </c>
      <c r="AB37" s="1">
        <v>0.22450100000000001</v>
      </c>
      <c r="AC37" s="1">
        <v>0</v>
      </c>
      <c r="AD37" s="1">
        <v>0</v>
      </c>
      <c r="AE37" s="1">
        <v>0</v>
      </c>
      <c r="AF37" s="1">
        <v>0</v>
      </c>
      <c r="AG37" s="1">
        <v>0</v>
      </c>
      <c r="AH37" s="1">
        <v>0</v>
      </c>
      <c r="AI37" s="1">
        <v>0</v>
      </c>
    </row>
    <row r="38" spans="1:35" x14ac:dyDescent="0.2">
      <c r="A38" s="301" t="s">
        <v>60</v>
      </c>
      <c r="B38" s="293">
        <f t="shared" ref="B38:I38" si="4">B41</f>
        <v>0</v>
      </c>
      <c r="C38" s="293">
        <f t="shared" si="4"/>
        <v>0.55600000000000005</v>
      </c>
      <c r="D38" s="293">
        <f t="shared" si="4"/>
        <v>0</v>
      </c>
      <c r="E38" s="293">
        <f t="shared" si="4"/>
        <v>0.56556491573909895</v>
      </c>
      <c r="F38" s="293">
        <f t="shared" si="4"/>
        <v>6.5872684570718345</v>
      </c>
      <c r="G38" s="293">
        <f t="shared" si="4"/>
        <v>18.18055265018555</v>
      </c>
      <c r="H38" s="293">
        <f t="shared" si="4"/>
        <v>35.10060836480897</v>
      </c>
      <c r="I38" s="293">
        <f t="shared" si="4"/>
        <v>57.729867810915621</v>
      </c>
      <c r="J38" s="221"/>
      <c r="K38" s="221"/>
      <c r="L38" s="221"/>
      <c r="M38" s="221"/>
      <c r="N38" s="221"/>
      <c r="O38" s="238"/>
      <c r="P38" s="238"/>
      <c r="Q38" s="238"/>
      <c r="R38" s="238"/>
      <c r="S38" s="238"/>
      <c r="T38" s="238"/>
      <c r="U38" s="238"/>
      <c r="V38" s="238"/>
      <c r="W38" s="221"/>
      <c r="X38" s="221"/>
      <c r="Y38" s="221"/>
      <c r="Z38" s="221"/>
      <c r="AA38" s="1" t="s">
        <v>60</v>
      </c>
      <c r="AB38" s="1">
        <v>0</v>
      </c>
      <c r="AC38" s="1">
        <v>0.55600000000000005</v>
      </c>
      <c r="AD38" s="1">
        <v>0</v>
      </c>
      <c r="AE38" s="1">
        <v>0.56556491573909895</v>
      </c>
      <c r="AF38" s="1">
        <v>6.5872684570718345</v>
      </c>
      <c r="AG38" s="1">
        <v>18.18055265018555</v>
      </c>
      <c r="AH38" s="1">
        <v>35.10060836480897</v>
      </c>
      <c r="AI38" s="1">
        <v>57.729867810915621</v>
      </c>
    </row>
    <row r="39" spans="1:35" x14ac:dyDescent="0.2">
      <c r="A39" s="302" t="s">
        <v>102</v>
      </c>
      <c r="B39" s="303">
        <f>Assumptions!B39</f>
        <v>6.4877479579929993</v>
      </c>
      <c r="C39" s="304">
        <f>Deficit!D18</f>
        <v>0</v>
      </c>
      <c r="D39" s="304">
        <f>Deficit!E18</f>
        <v>8.7278536379490586</v>
      </c>
      <c r="E39" s="304">
        <f>Deficit!F18</f>
        <v>101.65537742394807</v>
      </c>
      <c r="F39" s="304">
        <f>Deficit!G18</f>
        <v>280.5640841078017</v>
      </c>
      <c r="G39" s="304">
        <f>Deficit!H18</f>
        <v>541.67605501248408</v>
      </c>
      <c r="H39" s="304">
        <f>Deficit!I18</f>
        <v>890.89302177338925</v>
      </c>
      <c r="I39" s="304">
        <f>Deficit!J18</f>
        <v>1268.1006167207549</v>
      </c>
      <c r="J39" s="221"/>
      <c r="K39" s="221"/>
      <c r="L39" s="221"/>
      <c r="M39" s="221"/>
      <c r="N39" s="221"/>
      <c r="O39" s="238"/>
      <c r="P39" s="238"/>
      <c r="Q39" s="238"/>
      <c r="R39" s="238"/>
      <c r="S39" s="238"/>
      <c r="T39" s="238"/>
      <c r="U39" s="238"/>
      <c r="V39" s="238"/>
      <c r="W39" s="221"/>
      <c r="X39" s="221"/>
      <c r="Y39" s="221"/>
      <c r="Z39" s="221"/>
      <c r="AA39" s="1" t="s">
        <v>102</v>
      </c>
      <c r="AB39" s="1">
        <v>6.4877479579929993</v>
      </c>
      <c r="AC39" s="1">
        <v>0</v>
      </c>
      <c r="AD39" s="1">
        <v>8.7278536379490586</v>
      </c>
      <c r="AE39" s="1">
        <v>101.65537742394807</v>
      </c>
      <c r="AF39" s="1">
        <v>280.5640841078017</v>
      </c>
      <c r="AG39" s="1">
        <v>541.67605501248408</v>
      </c>
      <c r="AH39" s="1">
        <v>890.89302177338925</v>
      </c>
      <c r="AI39" s="1">
        <v>1268.1006167207549</v>
      </c>
    </row>
    <row r="40" spans="1:35" x14ac:dyDescent="0.2">
      <c r="A40" s="305" t="s">
        <v>120</v>
      </c>
      <c r="B40" s="305"/>
      <c r="C40" s="306">
        <f>Assumptions!C40</f>
        <v>8.5699999999999998E-2</v>
      </c>
      <c r="D40" s="306">
        <f>Assumptions!D40</f>
        <v>7.8299999999999995E-2</v>
      </c>
      <c r="E40" s="306">
        <f>Assumptions!E40</f>
        <v>6.4799999999999996E-2</v>
      </c>
      <c r="F40" s="306">
        <f>Assumptions!F40</f>
        <v>6.4799999999999996E-2</v>
      </c>
      <c r="G40" s="306">
        <f>Assumptions!G40</f>
        <v>6.4799999999999996E-2</v>
      </c>
      <c r="H40" s="306">
        <f>Assumptions!H40</f>
        <v>6.4799999999999996E-2</v>
      </c>
      <c r="I40" s="306">
        <f>Assumptions!I40</f>
        <v>6.4799999999999996E-2</v>
      </c>
      <c r="J40" s="221"/>
      <c r="K40" s="221"/>
      <c r="L40" s="221"/>
      <c r="M40" s="221"/>
      <c r="N40" s="221"/>
      <c r="O40" s="238"/>
      <c r="P40" s="238"/>
      <c r="Q40" s="238"/>
      <c r="R40" s="238"/>
      <c r="S40" s="238"/>
      <c r="T40" s="238"/>
      <c r="U40" s="238"/>
      <c r="V40" s="238"/>
      <c r="W40" s="221"/>
      <c r="X40" s="221"/>
      <c r="Y40" s="221"/>
      <c r="Z40" s="221"/>
      <c r="AA40" s="1" t="s">
        <v>120</v>
      </c>
      <c r="AC40" s="1">
        <v>8.5699999999999998E-2</v>
      </c>
      <c r="AD40" s="1">
        <v>7.8299999999999995E-2</v>
      </c>
      <c r="AE40" s="1">
        <v>6.4799999999999996E-2</v>
      </c>
      <c r="AF40" s="1">
        <v>6.4799999999999996E-2</v>
      </c>
      <c r="AG40" s="1">
        <v>6.4799999999999996E-2</v>
      </c>
      <c r="AH40" s="1">
        <v>6.4799999999999996E-2</v>
      </c>
      <c r="AI40" s="1">
        <v>6.4799999999999996E-2</v>
      </c>
    </row>
    <row r="41" spans="1:35" x14ac:dyDescent="0.2">
      <c r="A41" s="305" t="s">
        <v>60</v>
      </c>
      <c r="B41" s="305"/>
      <c r="C41" s="307">
        <f>Assumptions!C41</f>
        <v>0.55600000000000005</v>
      </c>
      <c r="D41" s="307">
        <f t="shared" ref="D41:I41" si="5">D40*C39</f>
        <v>0</v>
      </c>
      <c r="E41" s="307">
        <f t="shared" si="5"/>
        <v>0.56556491573909895</v>
      </c>
      <c r="F41" s="307">
        <f t="shared" si="5"/>
        <v>6.5872684570718345</v>
      </c>
      <c r="G41" s="307">
        <f t="shared" si="5"/>
        <v>18.18055265018555</v>
      </c>
      <c r="H41" s="307">
        <f t="shared" si="5"/>
        <v>35.10060836480897</v>
      </c>
      <c r="I41" s="307">
        <f t="shared" si="5"/>
        <v>57.729867810915621</v>
      </c>
      <c r="J41" s="221"/>
      <c r="K41" s="221"/>
      <c r="L41" s="221"/>
      <c r="M41" s="221"/>
      <c r="N41" s="221"/>
      <c r="O41" s="238"/>
      <c r="P41" s="238"/>
      <c r="Q41" s="238"/>
      <c r="R41" s="238"/>
      <c r="S41" s="238"/>
      <c r="T41" s="238"/>
      <c r="U41" s="238"/>
      <c r="V41" s="238"/>
      <c r="W41" s="221"/>
      <c r="X41" s="221"/>
      <c r="Y41" s="221"/>
      <c r="Z41" s="221"/>
      <c r="AA41" s="1" t="s">
        <v>60</v>
      </c>
      <c r="AC41" s="1">
        <v>0.55600000000000005</v>
      </c>
      <c r="AD41" s="1">
        <v>0</v>
      </c>
      <c r="AE41" s="1">
        <v>0.56556491573909895</v>
      </c>
      <c r="AF41" s="1">
        <v>6.5872684570718345</v>
      </c>
      <c r="AG41" s="1">
        <v>18.18055265018555</v>
      </c>
      <c r="AH41" s="1">
        <v>35.10060836480897</v>
      </c>
      <c r="AI41" s="1">
        <v>57.729867810915621</v>
      </c>
    </row>
    <row r="42" spans="1:35" ht="29" x14ac:dyDescent="0.2">
      <c r="A42" s="414" t="s">
        <v>61</v>
      </c>
      <c r="B42" s="309">
        <f t="shared" ref="B42:I42" si="6">B37+B38</f>
        <v>0.22450100000000001</v>
      </c>
      <c r="C42" s="309">
        <f t="shared" si="6"/>
        <v>0.55600000000000005</v>
      </c>
      <c r="D42" s="309">
        <f t="shared" si="6"/>
        <v>0</v>
      </c>
      <c r="E42" s="309">
        <f t="shared" si="6"/>
        <v>0.56556491573909895</v>
      </c>
      <c r="F42" s="309">
        <f t="shared" si="6"/>
        <v>6.5872684570718345</v>
      </c>
      <c r="G42" s="309">
        <f t="shared" si="6"/>
        <v>18.18055265018555</v>
      </c>
      <c r="H42" s="309">
        <f t="shared" si="6"/>
        <v>35.10060836480897</v>
      </c>
      <c r="I42" s="309">
        <f t="shared" si="6"/>
        <v>57.729867810915621</v>
      </c>
      <c r="J42" s="221"/>
      <c r="K42" s="221"/>
      <c r="L42" s="221"/>
      <c r="M42" s="221"/>
      <c r="N42" s="221"/>
      <c r="O42" s="238"/>
      <c r="P42" s="238"/>
      <c r="Q42" s="238"/>
      <c r="R42" s="238"/>
      <c r="S42" s="238"/>
      <c r="T42" s="238"/>
      <c r="U42" s="238"/>
      <c r="V42" s="238"/>
      <c r="W42" s="221"/>
      <c r="X42" s="221"/>
      <c r="Y42" s="221"/>
      <c r="Z42" s="221"/>
      <c r="AA42" s="1" t="s">
        <v>61</v>
      </c>
      <c r="AB42" s="1">
        <v>0.22450100000000001</v>
      </c>
      <c r="AC42" s="1">
        <v>0.55600000000000005</v>
      </c>
      <c r="AD42" s="1">
        <v>0</v>
      </c>
      <c r="AE42" s="1">
        <v>0.56556491573909895</v>
      </c>
      <c r="AF42" s="1">
        <v>6.5872684570718345</v>
      </c>
      <c r="AG42" s="1">
        <v>18.18055265018555</v>
      </c>
      <c r="AH42" s="1">
        <v>35.10060836480897</v>
      </c>
      <c r="AI42" s="1">
        <v>57.729867810915621</v>
      </c>
    </row>
    <row r="43" spans="1:35" ht="15.75" customHeight="1" x14ac:dyDescent="0.2">
      <c r="A43" s="310" t="s">
        <v>62</v>
      </c>
      <c r="B43" s="293">
        <f>Assumptions!B42</f>
        <v>7.2970240000000004</v>
      </c>
      <c r="C43" s="293">
        <f>Assumptions!C42</f>
        <v>7.7786275840000005</v>
      </c>
      <c r="D43" s="293">
        <f>Assumptions!D42</f>
        <v>7.9653146460160009</v>
      </c>
      <c r="E43" s="293">
        <f>Assumptions!E42</f>
        <v>8.1803781414584318</v>
      </c>
      <c r="F43" s="293">
        <f>Assumptions!F42</f>
        <v>8.4666913764094769</v>
      </c>
      <c r="G43" s="293">
        <f>Assumptions!G42</f>
        <v>8.7206921177017609</v>
      </c>
      <c r="H43" s="293">
        <f>Assumptions!H42</f>
        <v>8.9823128812328132</v>
      </c>
      <c r="I43" s="293">
        <f>Assumptions!I42</f>
        <v>9.2517822676697978</v>
      </c>
      <c r="J43" s="221"/>
      <c r="K43" s="221"/>
      <c r="L43" s="221"/>
      <c r="M43" s="221"/>
      <c r="N43" s="221"/>
      <c r="O43" s="238"/>
      <c r="P43" s="228"/>
      <c r="Q43" s="228"/>
      <c r="R43" s="228"/>
      <c r="S43" s="228"/>
      <c r="T43" s="228"/>
      <c r="U43" s="228"/>
      <c r="V43" s="228"/>
      <c r="W43" s="221"/>
      <c r="X43" s="221"/>
      <c r="Y43" s="221"/>
      <c r="Z43" s="221"/>
      <c r="AA43" s="1" t="s">
        <v>62</v>
      </c>
      <c r="AB43" s="1">
        <v>7.2970240000000004</v>
      </c>
      <c r="AC43" s="1">
        <v>7.7786275840000005</v>
      </c>
      <c r="AD43" s="1">
        <v>7.9653146460160009</v>
      </c>
      <c r="AE43" s="1">
        <v>8.1803781414584318</v>
      </c>
      <c r="AF43" s="1">
        <v>8.4666913764094769</v>
      </c>
      <c r="AG43" s="1">
        <v>8.7206921177017609</v>
      </c>
      <c r="AH43" s="1">
        <v>8.9823128812328132</v>
      </c>
      <c r="AI43" s="1">
        <v>9.2517822676697978</v>
      </c>
    </row>
    <row r="44" spans="1:35" x14ac:dyDescent="0.2">
      <c r="A44" s="282" t="s">
        <v>25</v>
      </c>
      <c r="B44" s="298">
        <f>Assumptions!B43</f>
        <v>0</v>
      </c>
      <c r="C44" s="298">
        <f>Assumptions!C43</f>
        <v>0</v>
      </c>
      <c r="D44" s="298">
        <f>Assumptions!D43</f>
        <v>0</v>
      </c>
      <c r="E44" s="298">
        <f>Assumptions!E43</f>
        <v>0</v>
      </c>
      <c r="F44" s="298">
        <f>Assumptions!F43</f>
        <v>0</v>
      </c>
      <c r="G44" s="298">
        <f>Assumptions!G43</f>
        <v>0</v>
      </c>
      <c r="H44" s="298">
        <f>Assumptions!H43</f>
        <v>0</v>
      </c>
      <c r="I44" s="298">
        <f>Assumptions!I43</f>
        <v>0</v>
      </c>
      <c r="J44" s="221"/>
      <c r="K44" s="221"/>
      <c r="L44" s="221"/>
      <c r="M44" s="221"/>
      <c r="N44" s="221"/>
      <c r="O44" s="221"/>
      <c r="P44" s="221"/>
      <c r="Q44" s="221"/>
      <c r="R44" s="221"/>
      <c r="S44" s="221"/>
      <c r="T44" s="221"/>
      <c r="U44" s="221"/>
      <c r="V44" s="221"/>
      <c r="W44" s="221"/>
      <c r="X44" s="221"/>
      <c r="Y44" s="221"/>
      <c r="Z44" s="221"/>
      <c r="AA44" s="1" t="s">
        <v>25</v>
      </c>
      <c r="AB44" s="1">
        <v>0</v>
      </c>
      <c r="AC44" s="1">
        <v>0</v>
      </c>
      <c r="AD44" s="1">
        <v>0</v>
      </c>
      <c r="AE44" s="1">
        <v>0</v>
      </c>
      <c r="AF44" s="1">
        <v>0</v>
      </c>
      <c r="AG44" s="1">
        <v>0</v>
      </c>
      <c r="AH44" s="1">
        <v>0</v>
      </c>
      <c r="AI44" s="1">
        <v>0</v>
      </c>
    </row>
    <row r="45" spans="1:35" x14ac:dyDescent="0.2">
      <c r="A45" s="282" t="s">
        <v>26</v>
      </c>
      <c r="B45" s="298">
        <f>Assumptions!B44</f>
        <v>6.0000000000000002E-5</v>
      </c>
      <c r="C45" s="298">
        <f>Assumptions!C44</f>
        <v>0</v>
      </c>
      <c r="D45" s="298">
        <f>Assumptions!D44</f>
        <v>0</v>
      </c>
      <c r="E45" s="298">
        <f>Assumptions!E44</f>
        <v>0</v>
      </c>
      <c r="F45" s="298">
        <f>Assumptions!F44</f>
        <v>0</v>
      </c>
      <c r="G45" s="298">
        <f>Assumptions!G44</f>
        <v>0</v>
      </c>
      <c r="H45" s="298">
        <f>Assumptions!H44</f>
        <v>0</v>
      </c>
      <c r="I45" s="298">
        <f>Assumptions!I44</f>
        <v>0</v>
      </c>
      <c r="J45" s="221"/>
      <c r="K45" s="221"/>
      <c r="L45" s="221"/>
      <c r="M45" s="221"/>
      <c r="N45" s="221"/>
      <c r="O45" s="221"/>
      <c r="P45" s="221"/>
      <c r="Q45" s="221"/>
      <c r="R45" s="221"/>
      <c r="S45" s="221"/>
      <c r="T45" s="221"/>
      <c r="U45" s="221"/>
      <c r="V45" s="221"/>
      <c r="W45" s="221"/>
      <c r="X45" s="221"/>
      <c r="Y45" s="221"/>
      <c r="Z45" s="221"/>
      <c r="AA45" s="1" t="s">
        <v>26</v>
      </c>
      <c r="AB45" s="1">
        <v>6.0000000000000002E-5</v>
      </c>
      <c r="AC45" s="1">
        <v>0</v>
      </c>
      <c r="AD45" s="1">
        <v>0</v>
      </c>
      <c r="AE45" s="1">
        <v>0</v>
      </c>
      <c r="AF45" s="1">
        <v>0</v>
      </c>
      <c r="AG45" s="1">
        <v>0</v>
      </c>
      <c r="AH45" s="1">
        <v>0</v>
      </c>
      <c r="AI45" s="1">
        <v>0</v>
      </c>
    </row>
    <row r="46" spans="1:35" ht="17" thickBot="1" x14ac:dyDescent="0.25">
      <c r="A46" s="295" t="s">
        <v>86</v>
      </c>
      <c r="B46" s="311">
        <f t="shared" ref="B46:I46" si="7">B43+B44+B45+B42</f>
        <v>7.5215850000000009</v>
      </c>
      <c r="C46" s="311">
        <f t="shared" si="7"/>
        <v>8.3346275839999997</v>
      </c>
      <c r="D46" s="311">
        <f t="shared" si="7"/>
        <v>7.9653146460160009</v>
      </c>
      <c r="E46" s="311">
        <f t="shared" si="7"/>
        <v>8.7459430571975307</v>
      </c>
      <c r="F46" s="311">
        <f t="shared" si="7"/>
        <v>15.053959833481311</v>
      </c>
      <c r="G46" s="311">
        <f t="shared" si="7"/>
        <v>26.901244767887313</v>
      </c>
      <c r="H46" s="311">
        <f t="shared" si="7"/>
        <v>44.082921246041785</v>
      </c>
      <c r="I46" s="311">
        <f t="shared" si="7"/>
        <v>66.981650078585417</v>
      </c>
      <c r="J46" s="221"/>
      <c r="K46" s="221"/>
      <c r="L46" s="221"/>
      <c r="M46" s="221"/>
      <c r="N46" s="221"/>
      <c r="O46" s="238"/>
      <c r="P46" s="238"/>
      <c r="Q46" s="238"/>
      <c r="R46" s="238"/>
      <c r="S46" s="238"/>
      <c r="T46" s="238"/>
      <c r="U46" s="238"/>
      <c r="V46" s="238"/>
      <c r="W46" s="221"/>
      <c r="X46" s="221"/>
      <c r="Y46" s="221"/>
      <c r="Z46" s="221"/>
      <c r="AA46" s="1" t="s">
        <v>86</v>
      </c>
      <c r="AB46" s="1">
        <v>7.5215850000000009</v>
      </c>
      <c r="AC46" s="1">
        <v>8.3346275839999997</v>
      </c>
      <c r="AD46" s="1">
        <v>7.9653146460160009</v>
      </c>
      <c r="AE46" s="1">
        <v>8.7459430571975307</v>
      </c>
      <c r="AF46" s="1">
        <v>15.053959833481311</v>
      </c>
      <c r="AG46" s="1">
        <v>26.901244767887313</v>
      </c>
      <c r="AH46" s="1">
        <v>44.082921246041785</v>
      </c>
      <c r="AI46" s="1">
        <v>66.981650078585417</v>
      </c>
    </row>
    <row r="47" spans="1:35" ht="17" thickTop="1" x14ac:dyDescent="0.2">
      <c r="A47" s="244"/>
      <c r="B47" s="245"/>
      <c r="C47" s="245"/>
      <c r="D47" s="245"/>
      <c r="E47" s="245"/>
      <c r="F47" s="245"/>
      <c r="G47" s="245"/>
      <c r="H47" s="245"/>
      <c r="I47" s="245"/>
      <c r="J47" s="221"/>
      <c r="K47" s="221"/>
      <c r="L47" s="221"/>
      <c r="M47" s="221"/>
      <c r="N47" s="221"/>
      <c r="O47" s="221"/>
      <c r="P47" s="221"/>
      <c r="Q47" s="221"/>
      <c r="R47" s="221"/>
      <c r="S47" s="221"/>
      <c r="T47" s="221"/>
      <c r="U47" s="221"/>
      <c r="V47" s="221"/>
      <c r="W47" s="221"/>
      <c r="X47" s="221"/>
      <c r="Y47" s="221"/>
      <c r="Z47" s="221"/>
    </row>
    <row r="48" spans="1:35" ht="18" thickBot="1" x14ac:dyDescent="0.25">
      <c r="A48" s="246" t="s">
        <v>129</v>
      </c>
      <c r="B48" s="247"/>
      <c r="C48" s="247"/>
      <c r="D48" s="247"/>
      <c r="E48" s="247"/>
      <c r="F48" s="247"/>
      <c r="G48" s="247"/>
      <c r="H48" s="247"/>
      <c r="I48" s="247"/>
      <c r="J48" s="221"/>
      <c r="K48" s="221"/>
      <c r="L48" s="221"/>
      <c r="M48" s="221"/>
      <c r="N48" s="221"/>
      <c r="O48" s="221"/>
      <c r="P48" s="221"/>
      <c r="Q48" s="221"/>
      <c r="R48" s="221"/>
      <c r="S48" s="221"/>
      <c r="T48" s="221"/>
      <c r="U48" s="221"/>
      <c r="V48" s="221"/>
      <c r="W48" s="221"/>
      <c r="X48" s="221"/>
      <c r="Y48" s="221"/>
      <c r="Z48" s="221"/>
      <c r="AA48" s="1" t="s">
        <v>129</v>
      </c>
    </row>
    <row r="49" spans="1:35" ht="17" thickTop="1" x14ac:dyDescent="0.2">
      <c r="A49" s="312" t="s">
        <v>66</v>
      </c>
      <c r="B49" s="313">
        <f>Assumptions!B46</f>
        <v>1.43747160284195E-3</v>
      </c>
      <c r="C49" s="313">
        <f>Assumptions!C46</f>
        <v>1.43747160284195E-3</v>
      </c>
      <c r="D49" s="313">
        <f>Assumptions!D46</f>
        <v>1.43747160284195E-3</v>
      </c>
      <c r="E49" s="313">
        <f>Assumptions!E46</f>
        <v>1.43747160284195E-3</v>
      </c>
      <c r="F49" s="313">
        <f>Assumptions!F46</f>
        <v>1.43747160284195E-3</v>
      </c>
      <c r="G49" s="313">
        <f>Assumptions!G46</f>
        <v>1.43747160284195E-3</v>
      </c>
      <c r="H49" s="313">
        <f>Assumptions!H46</f>
        <v>1.43747160284195E-3</v>
      </c>
      <c r="I49" s="313">
        <f>Assumptions!I46</f>
        <v>1.43747160284195E-3</v>
      </c>
      <c r="J49" s="221"/>
      <c r="K49" s="221"/>
      <c r="L49" s="221"/>
      <c r="M49" s="221"/>
      <c r="N49" s="221"/>
      <c r="O49" s="221"/>
      <c r="P49" s="221"/>
      <c r="Q49" s="221"/>
      <c r="R49" s="221"/>
      <c r="S49" s="221"/>
      <c r="T49" s="221"/>
      <c r="U49" s="221"/>
      <c r="V49" s="221"/>
      <c r="W49" s="221"/>
      <c r="X49" s="221"/>
      <c r="Y49" s="221"/>
      <c r="Z49" s="221"/>
      <c r="AA49" s="1" t="s">
        <v>66</v>
      </c>
      <c r="AB49" s="1">
        <v>1.43747160284195E-3</v>
      </c>
      <c r="AC49" s="1">
        <v>1.43747160284195E-3</v>
      </c>
      <c r="AD49" s="1">
        <v>1.43747160284195E-3</v>
      </c>
      <c r="AE49" s="1">
        <v>1.43747160284195E-3</v>
      </c>
      <c r="AF49" s="1">
        <v>1.43747160284195E-3</v>
      </c>
      <c r="AG49" s="1">
        <v>1.43747160284195E-3</v>
      </c>
      <c r="AH49" s="1">
        <v>1.43747160284195E-3</v>
      </c>
      <c r="AI49" s="1">
        <v>1.43747160284195E-3</v>
      </c>
    </row>
    <row r="50" spans="1:35" ht="17" thickBot="1" x14ac:dyDescent="0.25">
      <c r="A50" s="295" t="s">
        <v>67</v>
      </c>
      <c r="B50" s="296">
        <f>B49*Assumptions!B3</f>
        <v>32.169176999999998</v>
      </c>
      <c r="C50" s="296">
        <f>C49*Assumptions!C3</f>
        <v>35.832281184989995</v>
      </c>
      <c r="D50" s="296">
        <f>D49*Assumptions!D3</f>
        <v>38.942666520971862</v>
      </c>
      <c r="E50" s="296">
        <f>E49*Assumptions!E3</f>
        <v>42.607755580593128</v>
      </c>
      <c r="F50" s="296">
        <f>F49*Assumptions!F3</f>
        <v>46.973985333714403</v>
      </c>
      <c r="G50" s="296">
        <f>G49*Assumptions!G3</f>
        <v>51.887464199620929</v>
      </c>
      <c r="H50" s="296">
        <f>H49*Assumptions!H3</f>
        <v>57.314892954901275</v>
      </c>
      <c r="I50" s="296">
        <f>I49*Assumptions!I3</f>
        <v>63.310030757983952</v>
      </c>
      <c r="J50" s="221"/>
      <c r="K50" s="221"/>
      <c r="L50" s="221"/>
      <c r="M50" s="221"/>
      <c r="N50" s="221"/>
      <c r="O50" s="223"/>
      <c r="P50" s="223"/>
      <c r="Q50" s="223"/>
      <c r="R50" s="223"/>
      <c r="S50" s="223"/>
      <c r="T50" s="223"/>
      <c r="U50" s="223"/>
      <c r="V50" s="223"/>
      <c r="W50" s="221"/>
      <c r="X50" s="221"/>
      <c r="Y50" s="221"/>
      <c r="Z50" s="221"/>
      <c r="AA50" s="1" t="s">
        <v>67</v>
      </c>
      <c r="AB50" s="1">
        <v>32.169176999999998</v>
      </c>
      <c r="AC50" s="1">
        <v>35.832281184989995</v>
      </c>
      <c r="AD50" s="1">
        <v>38.942666520971862</v>
      </c>
      <c r="AE50" s="1">
        <v>42.607755580593128</v>
      </c>
      <c r="AF50" s="1">
        <v>46.973985333714403</v>
      </c>
      <c r="AG50" s="1">
        <v>51.887464199620929</v>
      </c>
      <c r="AH50" s="1">
        <v>57.314892954901275</v>
      </c>
      <c r="AI50" s="1">
        <v>63.310030757983952</v>
      </c>
    </row>
    <row r="51" spans="1:35" ht="31" thickTop="1" thickBot="1" x14ac:dyDescent="0.25">
      <c r="A51" s="287" t="s">
        <v>73</v>
      </c>
      <c r="B51" s="288">
        <f t="shared" ref="B51:I51" si="8">B50+B46+B34+B12+B23</f>
        <v>691.049047982616</v>
      </c>
      <c r="C51" s="288">
        <f t="shared" si="8"/>
        <v>800.45978084353999</v>
      </c>
      <c r="D51" s="288">
        <f t="shared" si="8"/>
        <v>924.33114742889109</v>
      </c>
      <c r="E51" s="288">
        <f t="shared" si="8"/>
        <v>1106.7454193046285</v>
      </c>
      <c r="F51" s="288">
        <f t="shared" si="8"/>
        <v>1322.3815332587078</v>
      </c>
      <c r="G51" s="288">
        <f t="shared" si="8"/>
        <v>1554.6533025445915</v>
      </c>
      <c r="H51" s="288">
        <f t="shared" si="8"/>
        <v>1812.4702749980993</v>
      </c>
      <c r="I51" s="288">
        <f t="shared" si="8"/>
        <v>2032.38596004139</v>
      </c>
      <c r="J51" s="221"/>
      <c r="K51" s="221"/>
      <c r="L51" s="221"/>
      <c r="M51" s="221"/>
      <c r="N51" s="221"/>
      <c r="O51" s="223"/>
      <c r="P51" s="221"/>
      <c r="Q51" s="221"/>
      <c r="R51" s="221"/>
      <c r="S51" s="221"/>
      <c r="T51" s="221"/>
      <c r="U51" s="221"/>
      <c r="V51" s="248"/>
      <c r="W51" s="221"/>
      <c r="X51" s="221"/>
      <c r="Y51" s="221"/>
      <c r="Z51" s="221"/>
      <c r="AA51" s="1" t="s">
        <v>73</v>
      </c>
      <c r="AB51" s="1">
        <v>691.049047982616</v>
      </c>
      <c r="AC51" s="1">
        <v>800.45978084353999</v>
      </c>
      <c r="AD51" s="1">
        <v>924.33114742889109</v>
      </c>
      <c r="AE51" s="1">
        <v>1106.7454193046285</v>
      </c>
      <c r="AF51" s="1">
        <v>1322.3815332587078</v>
      </c>
      <c r="AG51" s="1">
        <v>1554.6533025445915</v>
      </c>
      <c r="AH51" s="1">
        <v>1812.4702749980993</v>
      </c>
      <c r="AI51" s="1">
        <v>2032.38596004139</v>
      </c>
    </row>
    <row r="52" spans="1:35" ht="17" thickTop="1" x14ac:dyDescent="0.2">
      <c r="B52" s="191"/>
      <c r="C52" s="191"/>
      <c r="D52" s="191"/>
      <c r="E52" s="191"/>
      <c r="F52" s="191"/>
      <c r="G52" s="191"/>
      <c r="H52" s="191"/>
      <c r="I52" s="191"/>
    </row>
    <row r="54" spans="1:35" x14ac:dyDescent="0.2">
      <c r="A54" s="197" t="s">
        <v>85</v>
      </c>
      <c r="AA54" s="1" t="s">
        <v>85</v>
      </c>
    </row>
    <row r="55" spans="1:35" x14ac:dyDescent="0.2">
      <c r="A55" s="198"/>
    </row>
    <row r="56" spans="1:35" ht="157.5" customHeight="1" x14ac:dyDescent="0.2">
      <c r="A56" s="345" t="s">
        <v>131</v>
      </c>
      <c r="AA56" s="1" t="s">
        <v>131</v>
      </c>
    </row>
    <row r="57" spans="1:35" ht="141.75" customHeight="1" x14ac:dyDescent="0.2">
      <c r="A57" s="345" t="s">
        <v>87</v>
      </c>
      <c r="AA57" s="195" t="s">
        <v>87</v>
      </c>
    </row>
    <row r="58" spans="1:35" ht="224" x14ac:dyDescent="0.2">
      <c r="A58" s="345" t="s">
        <v>97</v>
      </c>
      <c r="AA58" s="1" t="s">
        <v>97</v>
      </c>
    </row>
    <row r="59" spans="1:35" ht="99" x14ac:dyDescent="0.2">
      <c r="A59" s="346" t="s">
        <v>101</v>
      </c>
      <c r="AA59" s="1" t="s">
        <v>101</v>
      </c>
    </row>
  </sheetData>
  <sheetProtection password="CC1A" sheet="1" objects="1" scenarios="1"/>
  <mergeCells count="1">
    <mergeCell ref="B1:I1"/>
  </mergeCells>
  <conditionalFormatting sqref="B5:I51">
    <cfRule type="cellIs" dxfId="2" priority="1" operator="notEqual">
      <formula>AB5</formula>
    </cfRule>
  </conditionalFormatting>
  <hyperlinks>
    <hyperlink ref="A30" location="Revenues!A56" display="Hydo-electric profit including arrears (Rs billion) (See Notes Below)" xr:uid="{00000000-0004-0000-0700-000000000000}"/>
    <hyperlink ref="A40" location="Revenues!A57" display="Interest rate on cash reserves (See notes below)" xr:uid="{00000000-0004-0000-0700-000001000000}"/>
    <hyperlink ref="A14" location="Revenues!A58" display="Punjab own Tax revenue (See notes below)" xr:uid="{00000000-0004-0000-0700-000002000000}"/>
    <hyperlink ref="B39" location="Revenues!A59" display="Revenues!A59" xr:uid="{00000000-0004-0000-0700-000003000000}"/>
  </hyperlinks>
  <pageMargins left="0.7" right="0.7" top="0.75" bottom="0.75" header="0.3" footer="0.3"/>
  <pageSetup orientation="portrait" horizontalDpi="1200" verticalDpi="12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tabColor theme="6" tint="0.39997558519241921"/>
  </sheetPr>
  <dimension ref="A1:AQ23"/>
  <sheetViews>
    <sheetView zoomScaleNormal="100" workbookViewId="0">
      <selection activeCell="B13" sqref="B13"/>
    </sheetView>
  </sheetViews>
  <sheetFormatPr baseColWidth="10" defaultColWidth="9.1640625" defaultRowHeight="16" x14ac:dyDescent="0.2"/>
  <cols>
    <col min="1" max="1" width="60.1640625" style="12" customWidth="1"/>
    <col min="2" max="2" width="11.83203125" style="12" customWidth="1"/>
    <col min="3" max="3" width="11.1640625" style="12" customWidth="1"/>
    <col min="4" max="4" width="9.6640625" style="12" customWidth="1"/>
    <col min="5" max="5" width="10.83203125" style="12" customWidth="1"/>
    <col min="6" max="6" width="12.5" style="12" customWidth="1"/>
    <col min="7" max="7" width="10.83203125" style="12" customWidth="1"/>
    <col min="8" max="8" width="11.33203125" style="12" customWidth="1"/>
    <col min="9" max="9" width="11.6640625" style="12" customWidth="1"/>
    <col min="10" max="14" width="9.1640625" style="12"/>
    <col min="15" max="15" width="9.1640625" style="12" customWidth="1"/>
    <col min="16" max="16" width="8.5" style="12" customWidth="1"/>
    <col min="17" max="26" width="9.1640625" style="12" customWidth="1"/>
    <col min="27" max="43" width="9.1640625" style="12" hidden="1" customWidth="1"/>
    <col min="44" max="52" width="0" style="12" hidden="1" customWidth="1"/>
    <col min="53" max="16384" width="9.1640625" style="12"/>
  </cols>
  <sheetData>
    <row r="1" spans="1:35" ht="21" thickBot="1" x14ac:dyDescent="0.3">
      <c r="A1" s="249"/>
      <c r="B1" s="429" t="s">
        <v>47</v>
      </c>
      <c r="C1" s="429"/>
      <c r="D1" s="429"/>
      <c r="E1" s="429"/>
      <c r="F1" s="429"/>
      <c r="G1" s="429"/>
      <c r="H1" s="429"/>
      <c r="I1" s="429"/>
      <c r="J1" s="249"/>
      <c r="K1" s="249"/>
      <c r="L1" s="249"/>
      <c r="M1" s="249"/>
      <c r="N1" s="249"/>
      <c r="O1" s="249"/>
      <c r="P1" s="249"/>
      <c r="Q1" s="249"/>
      <c r="R1" s="249"/>
      <c r="S1" s="249"/>
      <c r="T1" s="249"/>
      <c r="U1" s="249"/>
      <c r="V1" s="249"/>
      <c r="W1" s="249"/>
      <c r="X1" s="249"/>
      <c r="Y1" s="249"/>
      <c r="Z1" s="249"/>
      <c r="AB1" s="12" t="s">
        <v>47</v>
      </c>
    </row>
    <row r="2" spans="1:35" s="11" customFormat="1" ht="22" thickTop="1" thickBot="1" x14ac:dyDescent="0.3">
      <c r="A2" s="250" t="s">
        <v>41</v>
      </c>
      <c r="B2" s="251">
        <v>2013</v>
      </c>
      <c r="C2" s="251">
        <v>2014</v>
      </c>
      <c r="D2" s="251">
        <v>2015</v>
      </c>
      <c r="E2" s="251">
        <v>2016</v>
      </c>
      <c r="F2" s="251">
        <v>2017</v>
      </c>
      <c r="G2" s="251">
        <v>2018</v>
      </c>
      <c r="H2" s="251">
        <v>2019</v>
      </c>
      <c r="I2" s="251">
        <v>2020</v>
      </c>
      <c r="J2" s="252"/>
      <c r="K2" s="252"/>
      <c r="L2" s="252"/>
      <c r="M2" s="252"/>
      <c r="N2" s="252"/>
      <c r="O2" s="252"/>
      <c r="P2" s="252"/>
      <c r="Q2" s="252"/>
      <c r="R2" s="252"/>
      <c r="S2" s="252"/>
      <c r="T2" s="252"/>
      <c r="U2" s="252"/>
      <c r="V2" s="252"/>
      <c r="W2" s="252"/>
      <c r="X2" s="252"/>
      <c r="Y2" s="252"/>
      <c r="Z2" s="252"/>
      <c r="AA2" s="11" t="s">
        <v>41</v>
      </c>
      <c r="AB2" s="11">
        <v>2013</v>
      </c>
      <c r="AC2" s="11">
        <v>2014</v>
      </c>
      <c r="AD2" s="11">
        <v>2015</v>
      </c>
      <c r="AE2" s="11">
        <v>2016</v>
      </c>
      <c r="AF2" s="11">
        <v>2017</v>
      </c>
      <c r="AG2" s="11">
        <v>2018</v>
      </c>
      <c r="AH2" s="11">
        <v>2019</v>
      </c>
      <c r="AI2" s="11">
        <v>2020</v>
      </c>
    </row>
    <row r="3" spans="1:35" ht="19" thickTop="1" thickBot="1" x14ac:dyDescent="0.25">
      <c r="A3" s="253" t="s">
        <v>122</v>
      </c>
      <c r="B3" s="254"/>
      <c r="C3" s="254"/>
      <c r="D3" s="254"/>
      <c r="E3" s="254"/>
      <c r="F3" s="254"/>
      <c r="G3" s="254"/>
      <c r="H3" s="254"/>
      <c r="I3" s="255"/>
      <c r="J3" s="249"/>
      <c r="K3" s="249"/>
      <c r="L3" s="249"/>
      <c r="M3" s="249"/>
      <c r="N3" s="249"/>
      <c r="O3" s="249"/>
      <c r="P3" s="249"/>
      <c r="Q3" s="249"/>
      <c r="R3" s="249"/>
      <c r="S3" s="249"/>
      <c r="T3" s="249"/>
      <c r="U3" s="249"/>
      <c r="V3" s="249"/>
      <c r="W3" s="249"/>
      <c r="X3" s="249"/>
      <c r="Y3" s="249"/>
      <c r="Z3" s="249"/>
      <c r="AA3" s="12" t="s">
        <v>122</v>
      </c>
    </row>
    <row r="4" spans="1:35" ht="17" thickTop="1" x14ac:dyDescent="0.2">
      <c r="A4" s="301" t="s">
        <v>130</v>
      </c>
      <c r="B4" s="408">
        <f>Assumptions!B48</f>
        <v>3.9E-2</v>
      </c>
      <c r="C4" s="408">
        <f>Assumptions!C48</f>
        <v>4.2500000000000003E-2</v>
      </c>
      <c r="D4" s="408">
        <f>Assumptions!D48</f>
        <v>4.5999999999999999E-2</v>
      </c>
      <c r="E4" s="408">
        <f>Assumptions!E48</f>
        <v>4.6800000000000001E-2</v>
      </c>
      <c r="F4" s="408">
        <f>Assumptions!F48</f>
        <v>4.7600000000000003E-2</v>
      </c>
      <c r="G4" s="408">
        <f>Assumptions!G48</f>
        <v>4.8399999999999999E-2</v>
      </c>
      <c r="H4" s="408">
        <f>Assumptions!H48</f>
        <v>4.9200000000000001E-2</v>
      </c>
      <c r="I4" s="409">
        <f>Assumptions!I48</f>
        <v>0.05</v>
      </c>
      <c r="J4" s="249"/>
      <c r="K4" s="249"/>
      <c r="L4" s="249"/>
      <c r="M4" s="249"/>
      <c r="N4" s="249"/>
      <c r="O4" s="249"/>
      <c r="P4" s="249"/>
      <c r="Q4" s="249"/>
      <c r="R4" s="249"/>
      <c r="S4" s="249"/>
      <c r="T4" s="249"/>
      <c r="U4" s="249"/>
      <c r="V4" s="249"/>
      <c r="W4" s="249"/>
      <c r="X4" s="249"/>
      <c r="Y4" s="249"/>
      <c r="Z4" s="249"/>
      <c r="AA4" s="12" t="s">
        <v>130</v>
      </c>
      <c r="AB4" s="12">
        <v>3.9E-2</v>
      </c>
      <c r="AC4" s="12">
        <v>4.2500000000000003E-2</v>
      </c>
      <c r="AD4" s="12">
        <v>4.5999999999999999E-2</v>
      </c>
      <c r="AE4" s="12">
        <v>4.6800000000000001E-2</v>
      </c>
      <c r="AF4" s="12">
        <v>4.7600000000000003E-2</v>
      </c>
      <c r="AG4" s="12">
        <v>4.8399999999999999E-2</v>
      </c>
      <c r="AH4" s="12">
        <v>4.9200000000000001E-2</v>
      </c>
      <c r="AI4" s="12">
        <v>0.05</v>
      </c>
    </row>
    <row r="5" spans="1:35" ht="28" x14ac:dyDescent="0.2">
      <c r="A5" s="282" t="s">
        <v>10</v>
      </c>
      <c r="B5" s="298"/>
      <c r="C5" s="290">
        <f t="shared" ref="C5:I5" si="0">C4/B4</f>
        <v>1.0897435897435899</v>
      </c>
      <c r="D5" s="290">
        <f t="shared" si="0"/>
        <v>1.0823529411764705</v>
      </c>
      <c r="E5" s="290">
        <f t="shared" si="0"/>
        <v>1.0173913043478262</v>
      </c>
      <c r="F5" s="290">
        <f t="shared" si="0"/>
        <v>1.017094017094017</v>
      </c>
      <c r="G5" s="290">
        <f t="shared" si="0"/>
        <v>1.0168067226890756</v>
      </c>
      <c r="H5" s="290">
        <f t="shared" si="0"/>
        <v>1.0165289256198347</v>
      </c>
      <c r="I5" s="314">
        <f t="shared" si="0"/>
        <v>1.0162601626016261</v>
      </c>
      <c r="J5" s="249"/>
      <c r="K5" s="249"/>
      <c r="L5" s="249"/>
      <c r="M5" s="249"/>
      <c r="N5" s="249"/>
      <c r="O5" s="249"/>
      <c r="P5" s="249"/>
      <c r="Q5" s="249"/>
      <c r="R5" s="249"/>
      <c r="S5" s="249"/>
      <c r="T5" s="249"/>
      <c r="U5" s="249"/>
      <c r="V5" s="249"/>
      <c r="W5" s="249"/>
      <c r="X5" s="249"/>
      <c r="Y5" s="249"/>
      <c r="Z5" s="249"/>
      <c r="AA5" s="12" t="s">
        <v>10</v>
      </c>
      <c r="AC5" s="12">
        <v>1.0897435897435899</v>
      </c>
      <c r="AD5" s="12">
        <v>1.0823529411764705</v>
      </c>
      <c r="AE5" s="12">
        <v>1.0173913043478262</v>
      </c>
      <c r="AF5" s="12">
        <v>1.017094017094017</v>
      </c>
      <c r="AG5" s="12">
        <v>1.0168067226890756</v>
      </c>
      <c r="AH5" s="12">
        <v>1.0165289256198347</v>
      </c>
      <c r="AI5" s="12">
        <v>1.0162601626016261</v>
      </c>
    </row>
    <row r="6" spans="1:35" x14ac:dyDescent="0.2">
      <c r="A6" s="301" t="s">
        <v>11</v>
      </c>
      <c r="B6" s="298"/>
      <c r="C6" s="293">
        <f>Assumptions!C5</f>
        <v>1.1138699999999999</v>
      </c>
      <c r="D6" s="293">
        <f>Assumptions!D5</f>
        <v>1.0868039999999999</v>
      </c>
      <c r="E6" s="293">
        <f>Assumptions!E5</f>
        <v>1.0941149999999999</v>
      </c>
      <c r="F6" s="293">
        <f>Assumptions!F5</f>
        <v>1.1024749999999999</v>
      </c>
      <c r="G6" s="293">
        <f>Assumptions!G5</f>
        <v>1.1046</v>
      </c>
      <c r="H6" s="293">
        <f>Assumptions!H5</f>
        <v>1.1046</v>
      </c>
      <c r="I6" s="315">
        <f>Assumptions!I5</f>
        <v>1.1046</v>
      </c>
      <c r="J6" s="249"/>
      <c r="K6" s="249"/>
      <c r="L6" s="249"/>
      <c r="M6" s="249"/>
      <c r="N6" s="249"/>
      <c r="O6" s="249"/>
      <c r="P6" s="249"/>
      <c r="Q6" s="249"/>
      <c r="R6" s="249"/>
      <c r="S6" s="249"/>
      <c r="T6" s="249"/>
      <c r="U6" s="249"/>
      <c r="V6" s="249"/>
      <c r="W6" s="249"/>
      <c r="X6" s="249"/>
      <c r="Y6" s="249"/>
      <c r="Z6" s="249"/>
      <c r="AA6" s="12" t="s">
        <v>11</v>
      </c>
      <c r="AC6" s="12">
        <v>1.1138699999999999</v>
      </c>
      <c r="AD6" s="12">
        <v>1.0868039999999999</v>
      </c>
      <c r="AE6" s="12">
        <v>1.0941149999999999</v>
      </c>
      <c r="AF6" s="12">
        <v>1.1024749999999999</v>
      </c>
      <c r="AG6" s="12">
        <v>1.1046</v>
      </c>
      <c r="AH6" s="12">
        <v>1.1046</v>
      </c>
      <c r="AI6" s="12">
        <v>1.1046</v>
      </c>
    </row>
    <row r="7" spans="1:35" ht="17" thickBot="1" x14ac:dyDescent="0.25">
      <c r="A7" s="316" t="s">
        <v>12</v>
      </c>
      <c r="B7" s="300">
        <f>145.42-11072.795/1000</f>
        <v>134.34720499999997</v>
      </c>
      <c r="C7" s="300">
        <f t="shared" ref="C7:I7" si="1">B7*C6*C5</f>
        <v>163.07502954916345</v>
      </c>
      <c r="D7" s="300">
        <f t="shared" si="1"/>
        <v>191.82605513060832</v>
      </c>
      <c r="E7" s="300">
        <f t="shared" si="1"/>
        <v>213.5298471667773</v>
      </c>
      <c r="F7" s="300">
        <f t="shared" si="1"/>
        <v>239.43544335357214</v>
      </c>
      <c r="G7" s="300">
        <f t="shared" si="1"/>
        <v>268.92543931202562</v>
      </c>
      <c r="H7" s="300">
        <f t="shared" si="1"/>
        <v>301.9650409295852</v>
      </c>
      <c r="I7" s="300">
        <f t="shared" si="1"/>
        <v>338.97417094595511</v>
      </c>
      <c r="J7" s="249"/>
      <c r="K7" s="249"/>
      <c r="L7" s="249"/>
      <c r="M7" s="249"/>
      <c r="N7" s="249"/>
      <c r="O7" s="249"/>
      <c r="P7" s="249"/>
      <c r="Q7" s="249"/>
      <c r="R7" s="249"/>
      <c r="S7" s="249"/>
      <c r="T7" s="249"/>
      <c r="U7" s="249"/>
      <c r="V7" s="249"/>
      <c r="W7" s="249"/>
      <c r="X7" s="249"/>
      <c r="Y7" s="249"/>
      <c r="Z7" s="249"/>
      <c r="AA7" s="12" t="s">
        <v>12</v>
      </c>
      <c r="AB7" s="12">
        <v>134.34720499999997</v>
      </c>
      <c r="AC7" s="12">
        <v>163.07502954916345</v>
      </c>
      <c r="AD7" s="12">
        <v>191.82605513060832</v>
      </c>
      <c r="AE7" s="12">
        <v>213.5298471667773</v>
      </c>
      <c r="AF7" s="12">
        <v>239.43544335357214</v>
      </c>
      <c r="AG7" s="12">
        <v>268.92543931202562</v>
      </c>
      <c r="AH7" s="12">
        <v>301.9650409295852</v>
      </c>
      <c r="AI7" s="12">
        <v>338.97417094595511</v>
      </c>
    </row>
    <row r="8" spans="1:35" ht="17" thickTop="1" x14ac:dyDescent="0.2">
      <c r="A8" s="256"/>
      <c r="B8" s="257"/>
      <c r="C8" s="258"/>
      <c r="D8" s="258"/>
      <c r="E8" s="257"/>
      <c r="F8" s="258"/>
      <c r="G8" s="257"/>
      <c r="H8" s="257"/>
      <c r="I8" s="258"/>
      <c r="J8" s="249"/>
      <c r="K8" s="249"/>
      <c r="L8" s="249"/>
      <c r="M8" s="249"/>
      <c r="N8" s="249"/>
      <c r="O8" s="249"/>
      <c r="P8" s="249"/>
      <c r="Q8" s="249"/>
      <c r="R8" s="249"/>
      <c r="S8" s="249"/>
      <c r="T8" s="249"/>
      <c r="U8" s="249"/>
      <c r="V8" s="249"/>
      <c r="W8" s="249"/>
      <c r="X8" s="249"/>
      <c r="Y8" s="249"/>
      <c r="Z8" s="249"/>
    </row>
    <row r="9" spans="1:35" ht="18" thickBot="1" x14ac:dyDescent="0.25">
      <c r="A9" s="253" t="s">
        <v>121</v>
      </c>
      <c r="B9" s="259"/>
      <c r="C9" s="259"/>
      <c r="D9" s="259"/>
      <c r="E9" s="259"/>
      <c r="F9" s="259"/>
      <c r="G9" s="259"/>
      <c r="H9" s="259"/>
      <c r="I9" s="259"/>
      <c r="J9" s="260"/>
      <c r="K9" s="249"/>
      <c r="L9" s="249"/>
      <c r="M9" s="249"/>
      <c r="N9" s="249"/>
      <c r="O9" s="249"/>
      <c r="P9" s="249"/>
      <c r="Q9" s="249"/>
      <c r="R9" s="249"/>
      <c r="S9" s="249"/>
      <c r="T9" s="249"/>
      <c r="U9" s="249"/>
      <c r="V9" s="249"/>
      <c r="W9" s="249"/>
      <c r="X9" s="249"/>
      <c r="Y9" s="249"/>
      <c r="Z9" s="249"/>
      <c r="AA9" s="12" t="s">
        <v>121</v>
      </c>
    </row>
    <row r="10" spans="1:35" ht="17" thickTop="1" x14ac:dyDescent="0.2">
      <c r="A10" s="317" t="s">
        <v>117</v>
      </c>
      <c r="B10" s="411">
        <f>Assumptions!B50</f>
        <v>7.9801378233281997E-2</v>
      </c>
      <c r="C10" s="411">
        <f>Assumptions!C50</f>
        <v>7.9801378233281997E-2</v>
      </c>
      <c r="D10" s="411">
        <f>Assumptions!D50</f>
        <v>7.9801378233281997E-2</v>
      </c>
      <c r="E10" s="411">
        <f>Assumptions!E50</f>
        <v>7.9801378233281997E-2</v>
      </c>
      <c r="F10" s="411">
        <f>Assumptions!F50</f>
        <v>7.9801378233281997E-2</v>
      </c>
      <c r="G10" s="411">
        <f>Assumptions!G50</f>
        <v>7.9801378233281997E-2</v>
      </c>
      <c r="H10" s="411">
        <f>Assumptions!H50</f>
        <v>7.9801378233281997E-2</v>
      </c>
      <c r="I10" s="411">
        <f>Assumptions!I50</f>
        <v>7.9801378233281997E-2</v>
      </c>
      <c r="J10" s="260"/>
      <c r="K10" s="249"/>
      <c r="L10" s="249"/>
      <c r="M10" s="249"/>
      <c r="N10" s="249"/>
      <c r="O10" s="249"/>
      <c r="P10" s="249"/>
      <c r="Q10" s="249"/>
      <c r="R10" s="249"/>
      <c r="S10" s="249"/>
      <c r="T10" s="249"/>
      <c r="U10" s="249"/>
      <c r="V10" s="249"/>
      <c r="W10" s="249"/>
      <c r="X10" s="249"/>
      <c r="Y10" s="249"/>
      <c r="Z10" s="249"/>
      <c r="AA10" s="12" t="s">
        <v>117</v>
      </c>
      <c r="AB10" s="12">
        <v>7.9801378233281997E-2</v>
      </c>
      <c r="AC10" s="12">
        <v>7.9801378233281997E-2</v>
      </c>
      <c r="AD10" s="12">
        <v>7.9801378233281997E-2</v>
      </c>
      <c r="AE10" s="12">
        <v>7.9801378233281997E-2</v>
      </c>
      <c r="AF10" s="12">
        <v>7.9801378233281997E-2</v>
      </c>
      <c r="AG10" s="12">
        <v>7.9801378233281997E-2</v>
      </c>
      <c r="AH10" s="12">
        <v>7.9801378233281997E-2</v>
      </c>
      <c r="AI10" s="12">
        <v>7.9801378233281997E-2</v>
      </c>
    </row>
    <row r="11" spans="1:35" x14ac:dyDescent="0.2">
      <c r="A11" s="318" t="s">
        <v>39</v>
      </c>
      <c r="B11" s="319">
        <f>Assumptions!B51</f>
        <v>1.079801378233282</v>
      </c>
      <c r="C11" s="319">
        <f>Assumptions!C51</f>
        <v>1.079801378233282</v>
      </c>
      <c r="D11" s="319">
        <f>Assumptions!D51</f>
        <v>1.079801378233282</v>
      </c>
      <c r="E11" s="319">
        <f>Assumptions!E51</f>
        <v>1.079801378233282</v>
      </c>
      <c r="F11" s="319">
        <f>Assumptions!F51</f>
        <v>1.079801378233282</v>
      </c>
      <c r="G11" s="319">
        <f>Assumptions!G51</f>
        <v>1.079801378233282</v>
      </c>
      <c r="H11" s="319">
        <f>Assumptions!H51</f>
        <v>1.079801378233282</v>
      </c>
      <c r="I11" s="319">
        <f>Assumptions!I51</f>
        <v>1.079801378233282</v>
      </c>
      <c r="J11" s="249"/>
      <c r="K11" s="249"/>
      <c r="L11" s="249"/>
      <c r="M11" s="249"/>
      <c r="N11" s="249"/>
      <c r="O11" s="249"/>
      <c r="P11" s="249"/>
      <c r="Q11" s="249"/>
      <c r="R11" s="249"/>
      <c r="S11" s="249"/>
      <c r="T11" s="249"/>
      <c r="U11" s="249"/>
      <c r="V11" s="249"/>
      <c r="W11" s="249"/>
      <c r="X11" s="249"/>
      <c r="Y11" s="249"/>
      <c r="Z11" s="249"/>
      <c r="AA11" s="12" t="s">
        <v>39</v>
      </c>
      <c r="AB11" s="12">
        <v>1.079801378233282</v>
      </c>
      <c r="AC11" s="12">
        <v>1.079801378233282</v>
      </c>
      <c r="AD11" s="12">
        <v>1.079801378233282</v>
      </c>
      <c r="AE11" s="12">
        <v>1.079801378233282</v>
      </c>
      <c r="AF11" s="12">
        <v>1.079801378233282</v>
      </c>
      <c r="AG11" s="12">
        <v>1.079801378233282</v>
      </c>
      <c r="AH11" s="12">
        <v>1.079801378233282</v>
      </c>
      <c r="AI11" s="12">
        <v>1.079801378233282</v>
      </c>
    </row>
    <row r="12" spans="1:35" x14ac:dyDescent="0.2">
      <c r="A12" s="318" t="s">
        <v>13</v>
      </c>
      <c r="B12" s="410"/>
      <c r="C12" s="297">
        <f>Assumptions!C12</f>
        <v>1.0860000000000001</v>
      </c>
      <c r="D12" s="297">
        <f>Assumptions!D12</f>
        <v>1.044</v>
      </c>
      <c r="E12" s="297">
        <f>Assumptions!E12</f>
        <v>1.0469999999999999</v>
      </c>
      <c r="F12" s="297">
        <f>Assumptions!F12</f>
        <v>1.0549999999999999</v>
      </c>
      <c r="G12" s="297">
        <f>Assumptions!G12</f>
        <v>1.05</v>
      </c>
      <c r="H12" s="297">
        <f>Assumptions!H12</f>
        <v>1.05</v>
      </c>
      <c r="I12" s="297">
        <f>Assumptions!I12</f>
        <v>1.05</v>
      </c>
      <c r="J12" s="249"/>
      <c r="K12" s="249"/>
      <c r="L12" s="249"/>
      <c r="M12" s="249"/>
      <c r="N12" s="249"/>
      <c r="O12" s="249"/>
      <c r="P12" s="249"/>
      <c r="Q12" s="249"/>
      <c r="R12" s="249"/>
      <c r="S12" s="249"/>
      <c r="T12" s="249"/>
      <c r="U12" s="249"/>
      <c r="V12" s="249"/>
      <c r="W12" s="249"/>
      <c r="X12" s="249"/>
      <c r="Y12" s="249"/>
      <c r="Z12" s="249"/>
      <c r="AA12" s="12" t="s">
        <v>13</v>
      </c>
      <c r="AC12" s="12">
        <v>1.0860000000000001</v>
      </c>
      <c r="AD12" s="12">
        <v>1.044</v>
      </c>
      <c r="AE12" s="12">
        <v>1.0469999999999999</v>
      </c>
      <c r="AF12" s="12">
        <v>1.0549999999999999</v>
      </c>
      <c r="AG12" s="12">
        <v>1.05</v>
      </c>
      <c r="AH12" s="12">
        <v>1.05</v>
      </c>
      <c r="AI12" s="12">
        <v>1.05</v>
      </c>
    </row>
    <row r="13" spans="1:35" s="15" customFormat="1" ht="17" thickBot="1" x14ac:dyDescent="0.25">
      <c r="A13" s="295" t="s">
        <v>111</v>
      </c>
      <c r="B13" s="300">
        <f>534.206-((4.028+(1.148+3.292+1.319)))</f>
        <v>524.41899999999998</v>
      </c>
      <c r="C13" s="300">
        <f t="shared" ref="C13:I13" si="2">B13*C12*C11</f>
        <v>614.96743784328748</v>
      </c>
      <c r="D13" s="300">
        <f t="shared" si="2"/>
        <v>693.26056517765005</v>
      </c>
      <c r="E13" s="300">
        <f t="shared" si="2"/>
        <v>783.76714830003016</v>
      </c>
      <c r="F13" s="300">
        <f t="shared" si="2"/>
        <v>892.86005353050041</v>
      </c>
      <c r="G13" s="300">
        <f t="shared" si="2"/>
        <v>1012.3170921902602</v>
      </c>
      <c r="H13" s="300">
        <f t="shared" si="2"/>
        <v>1147.7564609239589</v>
      </c>
      <c r="I13" s="300">
        <f t="shared" si="2"/>
        <v>1301.3164588009372</v>
      </c>
      <c r="J13" s="261"/>
      <c r="K13" s="261"/>
      <c r="L13" s="261"/>
      <c r="M13" s="261"/>
      <c r="N13" s="261"/>
      <c r="O13" s="261"/>
      <c r="P13" s="261"/>
      <c r="Q13" s="261"/>
      <c r="R13" s="261"/>
      <c r="S13" s="261"/>
      <c r="T13" s="261"/>
      <c r="U13" s="261"/>
      <c r="V13" s="261"/>
      <c r="W13" s="261"/>
      <c r="X13" s="261"/>
      <c r="Y13" s="261"/>
      <c r="Z13" s="261"/>
      <c r="AA13" s="15" t="s">
        <v>111</v>
      </c>
      <c r="AB13" s="15">
        <v>524.41899999999998</v>
      </c>
      <c r="AC13" s="15">
        <v>614.96743784328748</v>
      </c>
      <c r="AD13" s="15">
        <v>693.26056517765005</v>
      </c>
      <c r="AE13" s="15">
        <v>783.76714830003016</v>
      </c>
      <c r="AF13" s="15">
        <v>892.86005353050041</v>
      </c>
      <c r="AG13" s="15">
        <v>1012.3170921902602</v>
      </c>
      <c r="AH13" s="15">
        <v>1147.7564609239589</v>
      </c>
      <c r="AI13" s="15">
        <v>1301.3164588009372</v>
      </c>
    </row>
    <row r="14" spans="1:35" ht="17" thickTop="1" x14ac:dyDescent="0.2">
      <c r="A14" s="347" t="s">
        <v>68</v>
      </c>
      <c r="B14" s="348">
        <v>41.8</v>
      </c>
      <c r="C14" s="348">
        <f>B14-Assumptions!C54+Deficit!D21</f>
        <v>23.708489999999998</v>
      </c>
      <c r="D14" s="348">
        <f>C14-Assumptions!D54+Deficit!E21</f>
        <v>5.6169799999999981</v>
      </c>
      <c r="E14" s="348">
        <f>D14-Assumptions!E54+Deficit!F21</f>
        <v>0</v>
      </c>
      <c r="F14" s="348">
        <f>E14-Assumptions!F54+Deficit!G21</f>
        <v>0</v>
      </c>
      <c r="G14" s="348">
        <f>F14-Assumptions!G54+Deficit!H21</f>
        <v>0</v>
      </c>
      <c r="H14" s="348">
        <f>G14-Assumptions!H54+Deficit!I21</f>
        <v>0</v>
      </c>
      <c r="I14" s="348">
        <f>H14-Assumptions!I54+Deficit!J21</f>
        <v>0</v>
      </c>
      <c r="J14" s="249"/>
      <c r="K14" s="249"/>
      <c r="L14" s="249"/>
      <c r="M14" s="249"/>
      <c r="N14" s="249"/>
      <c r="O14" s="249"/>
      <c r="P14" s="249"/>
      <c r="Q14" s="249"/>
      <c r="R14" s="249"/>
      <c r="S14" s="249"/>
      <c r="T14" s="249"/>
      <c r="U14" s="249"/>
      <c r="V14" s="249"/>
      <c r="W14" s="249"/>
      <c r="X14" s="249"/>
      <c r="Y14" s="249"/>
      <c r="Z14" s="249"/>
      <c r="AA14" s="12" t="s">
        <v>68</v>
      </c>
      <c r="AB14" s="12">
        <v>41.8</v>
      </c>
      <c r="AC14" s="12">
        <v>23.708489999999998</v>
      </c>
      <c r="AD14" s="12">
        <v>5.6169799999999981</v>
      </c>
      <c r="AE14" s="12">
        <v>0</v>
      </c>
      <c r="AF14" s="12">
        <v>0</v>
      </c>
      <c r="AG14" s="12">
        <v>0</v>
      </c>
      <c r="AH14" s="12">
        <v>0</v>
      </c>
      <c r="AI14" s="12">
        <v>0</v>
      </c>
    </row>
    <row r="15" spans="1:35" ht="16.5" customHeight="1" x14ac:dyDescent="0.2">
      <c r="A15" s="349" t="s">
        <v>115</v>
      </c>
      <c r="B15" s="350"/>
      <c r="C15" s="390">
        <f>Assumptions!C52</f>
        <v>0.13100000000000001</v>
      </c>
      <c r="D15" s="390">
        <f>Assumptions!D52</f>
        <v>0.13100000000000001</v>
      </c>
      <c r="E15" s="390">
        <f>Assumptions!E52</f>
        <v>0.13100000000000001</v>
      </c>
      <c r="F15" s="390">
        <f>Assumptions!F52</f>
        <v>0.13100000000000001</v>
      </c>
      <c r="G15" s="390">
        <f>Assumptions!G52</f>
        <v>0.13100000000000001</v>
      </c>
      <c r="H15" s="390">
        <f>Assumptions!H52</f>
        <v>0.13100000000000001</v>
      </c>
      <c r="I15" s="390">
        <f>Assumptions!I52</f>
        <v>0.13100000000000001</v>
      </c>
      <c r="J15" s="249"/>
      <c r="K15" s="249"/>
      <c r="L15" s="249"/>
      <c r="M15" s="249"/>
      <c r="N15" s="249"/>
      <c r="O15" s="249"/>
      <c r="P15" s="249"/>
      <c r="Q15" s="249"/>
      <c r="R15" s="249"/>
      <c r="S15" s="249"/>
      <c r="T15" s="249"/>
      <c r="U15" s="249"/>
      <c r="V15" s="249"/>
      <c r="W15" s="249"/>
      <c r="X15" s="249"/>
      <c r="Y15" s="249"/>
      <c r="Z15" s="249"/>
      <c r="AA15" s="12" t="s">
        <v>115</v>
      </c>
      <c r="AC15" s="12">
        <v>0.13100000000000001</v>
      </c>
      <c r="AD15" s="12">
        <v>0.13100000000000001</v>
      </c>
      <c r="AE15" s="12">
        <v>0.13100000000000001</v>
      </c>
      <c r="AF15" s="12">
        <v>0.13100000000000001</v>
      </c>
      <c r="AG15" s="12">
        <v>0.13100000000000001</v>
      </c>
      <c r="AH15" s="12">
        <v>0.13100000000000001</v>
      </c>
      <c r="AI15" s="12">
        <v>0.13100000000000001</v>
      </c>
    </row>
    <row r="16" spans="1:35" x14ac:dyDescent="0.2">
      <c r="A16" s="318" t="s">
        <v>69</v>
      </c>
      <c r="B16" s="320"/>
      <c r="C16" s="283">
        <f t="shared" ref="C16:I16" si="3">C15*B14</f>
        <v>5.4757999999999996</v>
      </c>
      <c r="D16" s="283">
        <f t="shared" si="3"/>
        <v>3.10581219</v>
      </c>
      <c r="E16" s="283">
        <f t="shared" si="3"/>
        <v>0.73582437999999983</v>
      </c>
      <c r="F16" s="283">
        <f t="shared" si="3"/>
        <v>0</v>
      </c>
      <c r="G16" s="283">
        <f t="shared" si="3"/>
        <v>0</v>
      </c>
      <c r="H16" s="283">
        <f t="shared" si="3"/>
        <v>0</v>
      </c>
      <c r="I16" s="283">
        <f t="shared" si="3"/>
        <v>0</v>
      </c>
      <c r="J16" s="249"/>
      <c r="K16" s="249"/>
      <c r="L16" s="249"/>
      <c r="M16" s="249"/>
      <c r="N16" s="249"/>
      <c r="O16" s="249"/>
      <c r="P16" s="249"/>
      <c r="Q16" s="249"/>
      <c r="R16" s="249"/>
      <c r="S16" s="249"/>
      <c r="T16" s="249"/>
      <c r="U16" s="249"/>
      <c r="V16" s="249"/>
      <c r="W16" s="249"/>
      <c r="X16" s="249"/>
      <c r="Y16" s="249"/>
      <c r="Z16" s="249"/>
      <c r="AA16" s="12" t="s">
        <v>69</v>
      </c>
      <c r="AC16" s="12">
        <v>5.4757999999999996</v>
      </c>
      <c r="AD16" s="12">
        <v>3.10581219</v>
      </c>
      <c r="AE16" s="12">
        <v>0.73582437999999983</v>
      </c>
      <c r="AF16" s="12">
        <v>0</v>
      </c>
      <c r="AG16" s="12">
        <v>0</v>
      </c>
      <c r="AH16" s="12">
        <v>0</v>
      </c>
      <c r="AI16" s="12">
        <v>0</v>
      </c>
    </row>
    <row r="17" spans="1:35" x14ac:dyDescent="0.2">
      <c r="A17" s="347" t="s">
        <v>70</v>
      </c>
      <c r="B17" s="348">
        <v>403.3</v>
      </c>
      <c r="C17" s="348">
        <f>B17*Assumptions!C11-Assumptions!C55+Deficit!D22</f>
        <v>437.55320345572795</v>
      </c>
      <c r="D17" s="348">
        <f>C17*Assumptions!D11-Assumptions!D55+Deficit!E22</f>
        <v>452.58864301232944</v>
      </c>
      <c r="E17" s="348">
        <f>D17*Assumptions!E11-Assumptions!E55+Deficit!F22</f>
        <v>469.46512143951526</v>
      </c>
      <c r="F17" s="348">
        <f>E17*Assumptions!F11-Assumptions!F55+Deficit!G22</f>
        <v>490.71596623305601</v>
      </c>
      <c r="G17" s="348">
        <f>F17*Assumptions!G11-Assumptions!G55+Deficit!H22</f>
        <v>510.40159772950022</v>
      </c>
      <c r="H17" s="348">
        <f>G17*Assumptions!H11-Assumptions!H55+Deficit!I22</f>
        <v>530.82672274612139</v>
      </c>
      <c r="I17" s="348">
        <f>H17*Assumptions!I11-Assumptions!I55+Deficit!J22</f>
        <v>552.01799382578326</v>
      </c>
      <c r="J17" s="249"/>
      <c r="K17" s="249"/>
      <c r="L17" s="249"/>
      <c r="M17" s="249"/>
      <c r="N17" s="249"/>
      <c r="O17" s="249"/>
      <c r="P17" s="249"/>
      <c r="Q17" s="249"/>
      <c r="R17" s="249"/>
      <c r="S17" s="249"/>
      <c r="T17" s="249"/>
      <c r="U17" s="249"/>
      <c r="V17" s="249"/>
      <c r="W17" s="249"/>
      <c r="X17" s="249"/>
      <c r="Y17" s="249"/>
      <c r="Z17" s="249"/>
      <c r="AA17" s="12" t="s">
        <v>70</v>
      </c>
      <c r="AB17" s="12">
        <v>403.3</v>
      </c>
      <c r="AC17" s="12">
        <v>437.55320345572795</v>
      </c>
      <c r="AD17" s="12">
        <v>452.58864301232944</v>
      </c>
      <c r="AE17" s="12">
        <v>469.46512143951526</v>
      </c>
      <c r="AF17" s="12">
        <v>490.71596623305601</v>
      </c>
      <c r="AG17" s="12">
        <v>510.40159772950022</v>
      </c>
      <c r="AH17" s="12">
        <v>530.82672274612139</v>
      </c>
      <c r="AI17" s="12">
        <v>552.01799382578326</v>
      </c>
    </row>
    <row r="18" spans="1:35" x14ac:dyDescent="0.2">
      <c r="A18" s="347" t="s">
        <v>116</v>
      </c>
      <c r="B18" s="350"/>
      <c r="C18" s="351">
        <f>Assumptions!C53</f>
        <v>1.49E-2</v>
      </c>
      <c r="D18" s="351">
        <f>Assumptions!D53</f>
        <v>1.49E-2</v>
      </c>
      <c r="E18" s="351">
        <f>Assumptions!E53</f>
        <v>1.49E-2</v>
      </c>
      <c r="F18" s="351">
        <f>Assumptions!F53</f>
        <v>1.49E-2</v>
      </c>
      <c r="G18" s="351">
        <f>Assumptions!G53</f>
        <v>1.49E-2</v>
      </c>
      <c r="H18" s="351">
        <f>Assumptions!H53</f>
        <v>1.49E-2</v>
      </c>
      <c r="I18" s="351">
        <f>Assumptions!I53</f>
        <v>1.49E-2</v>
      </c>
      <c r="J18" s="249"/>
      <c r="K18" s="249"/>
      <c r="L18" s="249"/>
      <c r="M18" s="249"/>
      <c r="N18" s="249"/>
      <c r="O18" s="249"/>
      <c r="P18" s="249"/>
      <c r="Q18" s="249"/>
      <c r="R18" s="249"/>
      <c r="S18" s="249"/>
      <c r="T18" s="249"/>
      <c r="U18" s="249"/>
      <c r="V18" s="249"/>
      <c r="W18" s="249"/>
      <c r="X18" s="249"/>
      <c r="Y18" s="249"/>
      <c r="Z18" s="249"/>
      <c r="AA18" s="12" t="s">
        <v>116</v>
      </c>
      <c r="AC18" s="12">
        <v>1.49E-2</v>
      </c>
      <c r="AD18" s="12">
        <v>1.49E-2</v>
      </c>
      <c r="AE18" s="12">
        <v>1.49E-2</v>
      </c>
      <c r="AF18" s="12">
        <v>1.49E-2</v>
      </c>
      <c r="AG18" s="12">
        <v>1.49E-2</v>
      </c>
      <c r="AH18" s="12">
        <v>1.49E-2</v>
      </c>
      <c r="AI18" s="12">
        <v>1.49E-2</v>
      </c>
    </row>
    <row r="19" spans="1:35" x14ac:dyDescent="0.2">
      <c r="A19" s="318" t="s">
        <v>71</v>
      </c>
      <c r="B19" s="298"/>
      <c r="C19" s="299">
        <f>C18*B17*Assumptions!C11</f>
        <v>6.4057752200000007</v>
      </c>
      <c r="D19" s="299">
        <f>D18*C17*Assumptions!D11</f>
        <v>6.6760117570461155</v>
      </c>
      <c r="E19" s="299">
        <f>E18*D17*Assumptions!E11</f>
        <v>6.9256471919675686</v>
      </c>
      <c r="F19" s="299">
        <f>F18*E17*Assumptions!F11</f>
        <v>7.239856370279484</v>
      </c>
      <c r="G19" s="299">
        <f>G18*F17*Assumptions!G11</f>
        <v>7.5310179337787106</v>
      </c>
      <c r="H19" s="299">
        <f>H18*G17*Assumptions!H11</f>
        <v>7.8331333203546398</v>
      </c>
      <c r="I19" s="299">
        <f>I18*H17*Assumptions!I11</f>
        <v>8.1465977139847254</v>
      </c>
      <c r="J19" s="249"/>
      <c r="K19" s="249"/>
      <c r="L19" s="249"/>
      <c r="M19" s="249"/>
      <c r="N19" s="249"/>
      <c r="O19" s="249"/>
      <c r="P19" s="249"/>
      <c r="Q19" s="249"/>
      <c r="R19" s="249"/>
      <c r="S19" s="249"/>
      <c r="T19" s="249"/>
      <c r="U19" s="249"/>
      <c r="V19" s="249"/>
      <c r="W19" s="249"/>
      <c r="X19" s="249"/>
      <c r="Y19" s="249"/>
      <c r="Z19" s="249"/>
      <c r="AA19" s="12" t="s">
        <v>71</v>
      </c>
      <c r="AC19" s="12">
        <v>6.4057752200000007</v>
      </c>
      <c r="AD19" s="12">
        <v>6.6760117570461155</v>
      </c>
      <c r="AE19" s="12">
        <v>6.9256471919675686</v>
      </c>
      <c r="AF19" s="12">
        <v>7.239856370279484</v>
      </c>
      <c r="AG19" s="12">
        <v>7.5310179337787106</v>
      </c>
      <c r="AH19" s="12">
        <v>7.8331333203546398</v>
      </c>
      <c r="AI19" s="12">
        <v>8.1465977139847254</v>
      </c>
    </row>
    <row r="20" spans="1:35" ht="18.75" customHeight="1" x14ac:dyDescent="0.2">
      <c r="A20" s="321" t="s">
        <v>14</v>
      </c>
      <c r="B20" s="322">
        <f>4.028+(1.148+3.292+1.319)</f>
        <v>9.786999999999999</v>
      </c>
      <c r="C20" s="322">
        <f t="shared" ref="C20:I20" si="4">C19+C16</f>
        <v>11.88157522</v>
      </c>
      <c r="D20" s="322">
        <f t="shared" si="4"/>
        <v>9.7818239470461155</v>
      </c>
      <c r="E20" s="322">
        <f t="shared" si="4"/>
        <v>7.6614715719675681</v>
      </c>
      <c r="F20" s="322">
        <f t="shared" si="4"/>
        <v>7.239856370279484</v>
      </c>
      <c r="G20" s="322">
        <f t="shared" si="4"/>
        <v>7.5310179337787106</v>
      </c>
      <c r="H20" s="322">
        <f t="shared" si="4"/>
        <v>7.8331333203546398</v>
      </c>
      <c r="I20" s="323">
        <f t="shared" si="4"/>
        <v>8.1465977139847254</v>
      </c>
      <c r="J20" s="249"/>
      <c r="K20" s="249"/>
      <c r="L20" s="249"/>
      <c r="M20" s="249"/>
      <c r="N20" s="249"/>
      <c r="O20" s="249"/>
      <c r="P20" s="249"/>
      <c r="Q20" s="249"/>
      <c r="R20" s="249"/>
      <c r="S20" s="249"/>
      <c r="T20" s="249"/>
      <c r="U20" s="249"/>
      <c r="V20" s="249"/>
      <c r="W20" s="249"/>
      <c r="X20" s="249"/>
      <c r="Y20" s="249"/>
      <c r="Z20" s="249"/>
      <c r="AA20" s="12" t="s">
        <v>14</v>
      </c>
      <c r="AB20" s="12">
        <v>9.786999999999999</v>
      </c>
      <c r="AC20" s="12">
        <v>11.88157522</v>
      </c>
      <c r="AD20" s="12">
        <v>9.7818239470461155</v>
      </c>
      <c r="AE20" s="12">
        <v>7.6614715719675681</v>
      </c>
      <c r="AF20" s="12">
        <v>7.239856370279484</v>
      </c>
      <c r="AG20" s="12">
        <v>7.5310179337787106</v>
      </c>
      <c r="AH20" s="12">
        <v>7.8331333203546398</v>
      </c>
      <c r="AI20" s="12">
        <v>8.1465977139847254</v>
      </c>
    </row>
    <row r="21" spans="1:35" ht="17" thickBot="1" x14ac:dyDescent="0.25">
      <c r="A21" s="295" t="s">
        <v>112</v>
      </c>
      <c r="B21" s="296">
        <f t="shared" ref="B21:I21" si="5">B20+B13</f>
        <v>534.20600000000002</v>
      </c>
      <c r="C21" s="296">
        <f t="shared" si="5"/>
        <v>626.84901306328743</v>
      </c>
      <c r="D21" s="296">
        <f t="shared" si="5"/>
        <v>703.04238912469611</v>
      </c>
      <c r="E21" s="296">
        <f t="shared" si="5"/>
        <v>791.42861987199774</v>
      </c>
      <c r="F21" s="296">
        <f t="shared" si="5"/>
        <v>900.09990990077995</v>
      </c>
      <c r="G21" s="296">
        <f t="shared" si="5"/>
        <v>1019.8481101240388</v>
      </c>
      <c r="H21" s="296">
        <f t="shared" si="5"/>
        <v>1155.5895942443135</v>
      </c>
      <c r="I21" s="296">
        <f t="shared" si="5"/>
        <v>1309.4630565149218</v>
      </c>
      <c r="J21" s="249"/>
      <c r="K21" s="249"/>
      <c r="L21" s="249"/>
      <c r="M21" s="249"/>
      <c r="N21" s="249"/>
      <c r="O21" s="249"/>
      <c r="P21" s="249"/>
      <c r="Q21" s="249"/>
      <c r="R21" s="249"/>
      <c r="S21" s="249"/>
      <c r="T21" s="249"/>
      <c r="U21" s="249"/>
      <c r="V21" s="249"/>
      <c r="W21" s="249"/>
      <c r="X21" s="249"/>
      <c r="Y21" s="249"/>
      <c r="Z21" s="249"/>
      <c r="AA21" s="12" t="s">
        <v>112</v>
      </c>
      <c r="AB21" s="12">
        <v>534.20600000000002</v>
      </c>
      <c r="AC21" s="12">
        <v>626.84901306328743</v>
      </c>
      <c r="AD21" s="12">
        <v>703.04238912469611</v>
      </c>
      <c r="AE21" s="12">
        <v>791.42861987199774</v>
      </c>
      <c r="AF21" s="12">
        <v>900.09990990077995</v>
      </c>
      <c r="AG21" s="12">
        <v>1019.8481101240388</v>
      </c>
      <c r="AH21" s="12">
        <v>1155.5895942443135</v>
      </c>
      <c r="AI21" s="12">
        <v>1309.4630565149218</v>
      </c>
    </row>
    <row r="22" spans="1:35" ht="18" thickTop="1" thickBot="1" x14ac:dyDescent="0.25">
      <c r="A22" s="324" t="s">
        <v>72</v>
      </c>
      <c r="B22" s="288">
        <f t="shared" ref="B22:I22" si="6">B21+B7</f>
        <v>668.55320499999993</v>
      </c>
      <c r="C22" s="288">
        <f t="shared" si="6"/>
        <v>789.92404261245088</v>
      </c>
      <c r="D22" s="288">
        <f t="shared" si="6"/>
        <v>894.86844425530444</v>
      </c>
      <c r="E22" s="288">
        <f t="shared" si="6"/>
        <v>1004.9584670387751</v>
      </c>
      <c r="F22" s="288">
        <f t="shared" si="6"/>
        <v>1139.535353254352</v>
      </c>
      <c r="G22" s="288">
        <f t="shared" si="6"/>
        <v>1288.7735494360645</v>
      </c>
      <c r="H22" s="288">
        <f t="shared" si="6"/>
        <v>1457.5546351738988</v>
      </c>
      <c r="I22" s="288">
        <f t="shared" si="6"/>
        <v>1648.437227460877</v>
      </c>
      <c r="J22" s="249"/>
      <c r="K22" s="249"/>
      <c r="L22" s="249"/>
      <c r="M22" s="249"/>
      <c r="N22" s="249"/>
      <c r="O22" s="249"/>
      <c r="P22" s="249"/>
      <c r="Q22" s="249"/>
      <c r="R22" s="249"/>
      <c r="S22" s="249"/>
      <c r="T22" s="249"/>
      <c r="U22" s="249"/>
      <c r="V22" s="249"/>
      <c r="W22" s="249"/>
      <c r="X22" s="249"/>
      <c r="Y22" s="249"/>
      <c r="Z22" s="249"/>
      <c r="AA22" s="12" t="s">
        <v>72</v>
      </c>
      <c r="AB22" s="12">
        <v>668.55320499999993</v>
      </c>
      <c r="AC22" s="12">
        <v>789.92404261245088</v>
      </c>
      <c r="AD22" s="12">
        <v>894.86844425530444</v>
      </c>
      <c r="AE22" s="12">
        <v>1004.9584670387751</v>
      </c>
      <c r="AF22" s="12">
        <v>1139.535353254352</v>
      </c>
      <c r="AG22" s="12">
        <v>1288.7735494360645</v>
      </c>
      <c r="AH22" s="12">
        <v>1457.5546351738988</v>
      </c>
      <c r="AI22" s="12">
        <v>1648.437227460877</v>
      </c>
    </row>
    <row r="23" spans="1:35" ht="17" thickTop="1" x14ac:dyDescent="0.2"/>
  </sheetData>
  <sheetProtection password="CC1A" sheet="1" objects="1" scenarios="1"/>
  <mergeCells count="1">
    <mergeCell ref="B1:I1"/>
  </mergeCells>
  <conditionalFormatting sqref="B4:I22">
    <cfRule type="cellIs" dxfId="1" priority="1" operator="notEqual">
      <formula>AB4</formula>
    </cfRule>
  </conditionalFormatting>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Introduction</vt:lpstr>
      <vt:lpstr>Methodology</vt:lpstr>
      <vt:lpstr>Assumptions - Defaults</vt:lpstr>
      <vt:lpstr>Revenues - Defaults</vt:lpstr>
      <vt:lpstr>Expenditures - Defaults</vt:lpstr>
      <vt:lpstr>Deficit - Defaults</vt:lpstr>
      <vt:lpstr>Assumptions</vt:lpstr>
      <vt:lpstr>Revenues</vt:lpstr>
      <vt:lpstr>Expenditures</vt:lpstr>
      <vt:lpstr>Deficit</vt:lpstr>
      <vt:lpstr>Revenues!_ftn1</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IDEAS</dc:creator>
  <cp:lastModifiedBy>Saad Khalid</cp:lastModifiedBy>
  <dcterms:created xsi:type="dcterms:W3CDTF">2014-08-21T10:15:39Z</dcterms:created>
  <dcterms:modified xsi:type="dcterms:W3CDTF">2018-05-22T11:43:21Z</dcterms:modified>
</cp:coreProperties>
</file>