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C746A684-8134-4284-9CFF-C95C3DF4AAC0}" xr6:coauthVersionLast="45" xr6:coauthVersionMax="45" xr10:uidLastSave="{00000000-0000-0000-0000-000000000000}"/>
  <bookViews>
    <workbookView xWindow="-108" yWindow="-108" windowWidth="23256" windowHeight="12720" firstSheet="6" activeTab="1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nUmf~" sheetId="12" r:id="rId7"/>
    <sheet name="Datasheet" sheetId="2" r:id="rId8"/>
    <sheet name="Umf+Ut~Simulationvalues" sheetId="5" r:id="rId9"/>
    <sheet name="Sim_CASES" sheetId="9" r:id="rId10"/>
    <sheet name="CASES_STEP" sheetId="8" r:id="rId11"/>
    <sheet name="V_DP" sheetId="13" r:id="rId12"/>
    <sheet name="h_bed-dp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E29" i="15" l="1"/>
  <c r="E34" i="15"/>
  <c r="E38" i="15"/>
  <c r="B24" i="15"/>
  <c r="K2" i="15" l="1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B1" i="15"/>
  <c r="D1" i="15" s="1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C8" i="12"/>
  <c r="L6" i="12" s="1"/>
  <c r="L4" i="12" s="1"/>
  <c r="H7" i="5" s="1"/>
  <c r="C17" i="12"/>
  <c r="C13" i="12"/>
  <c r="L8" i="12" l="1"/>
  <c r="L9" i="12" s="1"/>
  <c r="C31" i="9"/>
  <c r="C32" i="9"/>
  <c r="C38" i="9" s="1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D14" i="2"/>
  <c r="E14" i="2" s="1"/>
  <c r="C14" i="2"/>
  <c r="B15" i="2"/>
  <c r="E13" i="2"/>
  <c r="C12" i="5" l="1"/>
  <c r="C17" i="5"/>
  <c r="C16" i="5"/>
  <c r="C9" i="5"/>
  <c r="C15" i="5"/>
  <c r="C14" i="5"/>
  <c r="C13" i="5"/>
  <c r="C10" i="5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<sst xmlns="http://schemas.openxmlformats.org/spreadsheetml/2006/main" count="1782" uniqueCount="473">
  <si>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</si>
  <si>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</si>
  <si>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</si>
  <si>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</si>
  <si>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</si>
  <si>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</si>
  <si>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</si>
  <si>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</si>
  <si>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</si>
  <si>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</si>
  <si>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</si>
  <si>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</si>
  <si>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</si>
  <si>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</si>
  <si>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</si>
  <si>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</si>
  <si>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</si>
  <si>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</si>
  <si>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</si>
  <si>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</si>
  <si>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</si>
  <si>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</si>
  <si>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</si>
  <si>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</si>
  <si>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</si>
  <si>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</si>
  <si>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</si>
  <si>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</si>
  <si>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</si>
  <si>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</si>
  <si>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</si>
  <si>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</si>
  <si>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</si>
  <si>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</si>
  <si>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</si>
  <si>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</si>
  <si>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</si>
  <si>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</si>
  <si>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</si>
  <si>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</si>
  <si>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</si>
  <si>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</si>
  <si>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</si>
  <si>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</si>
  <si>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</si>
  <si>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</si>
  <si>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</si>
  <si>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</si>
  <si>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</si>
  <si>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</si>
  <si>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</si>
  <si>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</si>
  <si>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</si>
  <si>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</si>
  <si>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</si>
  <si>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</si>
  <si>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</si>
  <si>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</si>
  <si>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</si>
  <si>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</si>
  <si>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</si>
  <si>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</si>
  <si>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</si>
  <si>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</si>
  <si>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</si>
  <si>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</si>
  <si>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</si>
  <si>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</si>
  <si>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</si>
  <si>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</si>
  <si>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</si>
  <si>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</si>
  <si>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</si>
  <si>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</si>
  <si>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</si>
  <si>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</si>
  <si>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</si>
  <si>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</si>
  <si>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</si>
  <si>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</si>
  <si>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</si>
  <si>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</si>
  <si>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</si>
  <si>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</si>
  <si>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</si>
  <si>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</si>
  <si>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</si>
  <si>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</si>
  <si>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</si>
  <si>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</si>
  <si>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</si>
  <si>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</si>
  <si>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</si>
  <si>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</si>
  <si>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</si>
  <si>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</si>
  <si>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</si>
  <si>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</si>
  <si>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</si>
  <si>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</si>
  <si>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</si>
  <si>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</si>
  <si>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</si>
  <si>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</si>
  <si>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</si>
  <si>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</si>
  <si>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</si>
  <si>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</si>
  <si>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</si>
  <si>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</si>
  <si>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</si>
  <si>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</si>
  <si>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</si>
  <si>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</si>
  <si>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</si>
  <si>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</si>
  <si>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</si>
  <si>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</si>
  <si>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</si>
  <si>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</si>
  <si>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</si>
  <si>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</si>
  <si>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</si>
  <si>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</si>
  <si>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</si>
  <si>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</si>
  <si>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</si>
  <si>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</si>
  <si>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</si>
  <si>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</si>
  <si>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</si>
  <si>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</si>
  <si>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</si>
  <si>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</si>
  <si>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</si>
  <si>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</si>
  <si>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</si>
  <si>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</si>
  <si>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</si>
  <si>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</si>
  <si>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</si>
  <si>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</si>
  <si>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</si>
  <si>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</si>
  <si>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</si>
  <si>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</si>
  <si>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</si>
  <si>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</si>
  <si>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</si>
  <si>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</si>
  <si>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</si>
  <si>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</si>
  <si>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</si>
  <si>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</si>
  <si>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</si>
  <si>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</si>
  <si>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</si>
  <si>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</si>
  <si>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</si>
  <si>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</si>
  <si>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</si>
  <si>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</si>
  <si>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</si>
  <si>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</si>
  <si>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</si>
  <si>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</si>
  <si>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</si>
  <si>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</si>
  <si>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</si>
  <si>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</si>
  <si>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</si>
  <si>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</si>
  <si>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</si>
  <si>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</si>
  <si>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</si>
  <si>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</si>
  <si>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</si>
  <si>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</si>
  <si>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</si>
  <si>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</si>
  <si>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</si>
  <si>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</si>
  <si>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</si>
  <si>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</si>
  <si>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</si>
  <si>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</si>
  <si>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</si>
  <si>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</si>
  <si>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</si>
  <si>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</si>
  <si>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</si>
  <si>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</si>
  <si>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</si>
  <si>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</si>
  <si>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</si>
  <si>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</si>
  <si>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</si>
  <si>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</si>
  <si>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</si>
  <si>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</si>
  <si>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</si>
  <si>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</si>
  <si>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</si>
  <si>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</si>
  <si>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</si>
  <si>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</si>
  <si>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</si>
  <si>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</si>
  <si>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</si>
  <si>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</si>
  <si>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</si>
  <si>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</si>
  <si>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</si>
  <si>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</si>
  <si>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</si>
  <si>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</si>
  <si>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</si>
  <si>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</si>
  <si>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</si>
  <si>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</si>
  <si>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</si>
  <si>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</si>
  <si>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</si>
  <si>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</si>
  <si>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</si>
  <si>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</si>
  <si>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</si>
  <si>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</si>
  <si>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</si>
  <si>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</si>
  <si>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</si>
  <si>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</si>
  <si>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</si>
  <si>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</si>
  <si>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</si>
  <si>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</si>
  <si>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</si>
  <si>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</si>
  <si>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</si>
  <si>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</si>
  <si>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</si>
  <si>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</si>
  <si>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</si>
  <si>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</si>
  <si>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</si>
  <si>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</si>
  <si>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</si>
  <si>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</si>
  <si>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</si>
  <si>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</si>
  <si>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</si>
  <si>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</si>
  <si>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</si>
  <si>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</si>
  <si>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</si>
  <si>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</si>
  <si>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</si>
  <si>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</si>
  <si>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</si>
  <si>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</si>
  <si>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</si>
  <si>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</si>
  <si>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</si>
  <si>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</si>
  <si>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</si>
  <si>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</si>
  <si>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</si>
  <si>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</si>
  <si>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</si>
  <si>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</si>
  <si>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</si>
  <si>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</si>
  <si>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</si>
  <si>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</si>
  <si>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</si>
  <si>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</si>
  <si>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</si>
  <si>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</si>
  <si>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</si>
  <si>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</si>
  <si>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</si>
  <si>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</si>
  <si>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</si>
  <si>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</si>
  <si>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</si>
  <si>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</si>
  <si>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</si>
  <si>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</si>
  <si>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</si>
  <si>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</si>
  <si>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</si>
  <si>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</si>
  <si>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</si>
  <si>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</si>
  <si>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</si>
  <si>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</si>
  <si>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</si>
  <si>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</si>
  <si>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</si>
  <si>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</si>
  <si>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</si>
  <si>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</si>
  <si>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</si>
  <si>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</si>
  <si>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</si>
  <si>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</si>
  <si>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</si>
  <si>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</si>
  <si>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</si>
  <si>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</si>
  <si>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</si>
  <si>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</si>
  <si>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</si>
  <si>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</si>
  <si>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</si>
  <si>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</si>
  <si>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</si>
  <si>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</si>
  <si>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</si>
  <si>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</si>
  <si>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</si>
  <si>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</si>
  <si>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</si>
  <si>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</si>
  <si>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</si>
  <si>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</si>
  <si>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</si>
  <si>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</si>
  <si>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</si>
  <si>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</si>
  <si>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</si>
  <si>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</si>
  <si>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</si>
  <si>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</si>
  <si>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</si>
  <si>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</si>
  <si>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</si>
  <si>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</si>
  <si>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</si>
  <si>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</si>
  <si>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</si>
  <si>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</si>
  <si>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</si>
  <si>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</si>
  <si>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</si>
  <si>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</si>
  <si>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</si>
  <si>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</si>
  <si>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</si>
  <si>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</si>
  <si>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</si>
  <si>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</si>
  <si>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</si>
  <si>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</si>
  <si>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</si>
  <si>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</si>
  <si>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</si>
  <si>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</si>
  <si>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</si>
  <si>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</si>
  <si>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</si>
  <si>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</si>
  <si>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</si>
  <si>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</si>
  <si>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</si>
  <si>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</si>
  <si>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</si>
  <si>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</si>
  <si>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</si>
  <si>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</si>
  <si>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</si>
  <si>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</si>
  <si>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</si>
  <si>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</si>
  <si>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</si>
  <si>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</si>
  <si>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</si>
  <si>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</si>
  <si>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</si>
  <si>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</si>
  <si>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</si>
  <si>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</si>
  <si>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</si>
  <si>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</si>
  <si>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</si>
  <si>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</si>
  <si>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</si>
  <si>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</si>
  <si>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</si>
  <si>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</si>
  <si>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</si>
  <si>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</si>
  <si>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</si>
  <si>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</si>
  <si>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</si>
  <si>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</si>
  <si>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</si>
  <si>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</si>
  <si>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</si>
  <si>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</si>
  <si>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</si>
  <si>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</si>
  <si>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</si>
  <si>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</si>
  <si>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</si>
  <si>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</si>
  <si>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</si>
  <si>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</si>
  <si>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</si>
  <si>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</si>
  <si>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</si>
  <si>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</si>
  <si>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</si>
  <si>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</si>
  <si>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</si>
  <si>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</si>
  <si>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</si>
  <si>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</si>
  <si>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</si>
  <si>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</si>
  <si>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</si>
  <si>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</si>
  <si>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</si>
  <si>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</si>
  <si>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</si>
  <si>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</si>
  <si>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</si>
  <si>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</si>
  <si>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</si>
  <si>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</si>
  <si>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</si>
  <si>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</si>
  <si>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</si>
  <si>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</si>
  <si>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</si>
  <si>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</si>
  <si>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</si>
  <si>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</si>
  <si>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</si>
  <si>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</si>
  <si>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</si>
  <si>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</si>
  <si>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</si>
  <si>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</si>
  <si>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</si>
  <si>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</si>
  <si>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</si>
  <si>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</si>
  <si>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</si>
  <si>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</si>
  <si>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</si>
  <si>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</si>
  <si>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</si>
  <si>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</si>
  <si>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</si>
  <si>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</si>
  <si>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</si>
  <si>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</si>
  <si>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</si>
  <si>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</si>
  <si>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</si>
  <si>
    <t>Ergun</t>
    <phoneticPr fontId="23" type="noConversion"/>
  </si>
  <si>
    <t>Mean, υmf</t>
  </si>
  <si>
    <t>dpvf0.43newstl</t>
    <phoneticPr fontId="23" type="noConversion"/>
  </si>
  <si>
    <r>
      <t>7υmf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</si>
  <si>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9υmf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</si>
  <si>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11υmf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</si>
  <si>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13υmf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</si>
  <si>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15υmf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</si>
  <si>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t>nparticels</t>
    <phoneticPr fontId="23" type="noConversion"/>
  </si>
  <si>
    <t>p</t>
    <phoneticPr fontId="23" type="noConversion"/>
  </si>
  <si>
    <t>dp_umf-Ergun</t>
    <phoneticPr fontId="23" type="noConversion"/>
  </si>
  <si>
    <t>Pa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</si>
</sst>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 x14ac:knownFonts="1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3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0" borderId="0" xfId="0" applyAlignment="1">
      <alignment vertical="center"/>
    </xf>
    <xf numFmtId="176" fontId="0" fillId="2" borderId="0" xfId="0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v-dp </a:t>
            </a:r>
            <a:endParaRPr lang="zh-CN"/>
          </a:p>
        </c:rich>
      </c:tx>
      <c:layout>
        <c:manualLayout>
          <c:xMode val="edge"/>
          <c:yMode val="edge"/>
          <c:x val="0.4734260293587869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50B-ACE9-A4E8536F6B93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50B-ACE9-A4E8536F6B93}"/>
            </c:ext>
          </c:extLst>
        </c:ser>
        <c:ser>
          <c:idx val="2"/>
          <c:order val="2"/>
          <c:tx>
            <c:strRef>
              <c:f>V_DP!$L$11</c:f>
              <c:strCache>
                <c:ptCount val="1"/>
                <c:pt idx="0">
                  <c:v>dpvf0.43newstl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V_DP!$L$12:$L$27</c:f>
              <c:numCache>
                <c:formatCode>General_)</c:formatCode>
                <c:ptCount val="16"/>
                <c:pt idx="0">
                  <c:v>32.5019961538462</c:v>
                </c:pt>
                <c:pt idx="1">
                  <c:v>66.284885897435899</c:v>
                </c:pt>
                <c:pt idx="2">
                  <c:v>101.23896256410301</c:v>
                </c:pt>
                <c:pt idx="3">
                  <c:v>137.02705499999999</c:v>
                </c:pt>
                <c:pt idx="4">
                  <c:v>157.48212051282101</c:v>
                </c:pt>
                <c:pt idx="5">
                  <c:v>161.83936153846199</c:v>
                </c:pt>
                <c:pt idx="6">
                  <c:v>164.36367749999999</c:v>
                </c:pt>
                <c:pt idx="7">
                  <c:v>165.07909000000001</c:v>
                </c:pt>
                <c:pt idx="8">
                  <c:v>163.060841025641</c:v>
                </c:pt>
                <c:pt idx="9">
                  <c:v>160.26755524999999</c:v>
                </c:pt>
                <c:pt idx="10">
                  <c:v>159.281731794872</c:v>
                </c:pt>
                <c:pt idx="11">
                  <c:v>163.51518051282099</c:v>
                </c:pt>
                <c:pt idx="12">
                  <c:v>161.83223649999999</c:v>
                </c:pt>
                <c:pt idx="13">
                  <c:v>168.28980948717901</c:v>
                </c:pt>
                <c:pt idx="14">
                  <c:v>170.45188325000001</c:v>
                </c:pt>
                <c:pt idx="15">
                  <c:v>173.596186923077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1-450B-ACE9-A4E8536F6B93}"/>
            </c:ext>
          </c:extLst>
        </c:ser>
        <c:ser>
          <c:idx val="3"/>
          <c:order val="3"/>
          <c:tx>
            <c:v>dp_Umf-Ergun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V_DP!$J$29</c:f>
              <c:numCache>
                <c:formatCode>General_)</c:formatCode>
                <c:ptCount val="1"/>
                <c:pt idx="0">
                  <c:v>188.88308538424201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1-450B-ACE9-A4E8536F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7900848"/>
        <c:axId val="982471888"/>
      </c:lineChart>
      <c:catAx>
        <c:axId val="9579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71888"/>
        <c:crosses val="autoZero"/>
        <c:auto val="1"/>
        <c:lblAlgn val="ctr"/>
        <c:lblOffset val="100"/>
        <c:noMultiLvlLbl val="0"/>
      </c:catAx>
      <c:valAx>
        <c:axId val="98247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00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64088942142212"/>
                  <c:y val="-0.17815190806077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V_DP!$I$12:$I$16</c:f>
              <c:numCache>
                <c:formatCode>General_)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V_DP!$J$12:$J$16</c:f>
              <c:numCache>
                <c:formatCode>General_)</c:formatCode>
                <c:ptCount val="5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517-825E-1E3A6F7D29E3}"/>
            </c:ext>
          </c:extLst>
        </c:ser>
        <c:ser>
          <c:idx val="1"/>
          <c:order val="1"/>
          <c:tx>
            <c:v>v3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6.1307592434905252E-2"/>
                  <c:y val="6.350444669965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V_DP!$I$17:$I$21</c:f>
              <c:numCache>
                <c:formatCode>General_)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</c:numCache>
            </c:numRef>
          </c:xVal>
          <c:yVal>
            <c:numRef>
              <c:f>V_DP!$J$17:$J$21</c:f>
              <c:numCache>
                <c:formatCode>General_)</c:formatCode>
                <c:ptCount val="5"/>
                <c:pt idx="0">
                  <c:v>161.28121025640999</c:v>
                </c:pt>
                <c:pt idx="1">
                  <c:v>163.93140500000001</c:v>
                </c:pt>
                <c:pt idx="2">
                  <c:v>164.18641249999999</c:v>
                </c:pt>
                <c:pt idx="3">
                  <c:v>163.007787179487</c:v>
                </c:pt>
                <c:pt idx="4">
                  <c:v>159.72105875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C5-4517-825E-1E3A6F7D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74512"/>
        <c:axId val="951980912"/>
      </c:scatterChart>
      <c:valAx>
        <c:axId val="957874512"/>
        <c:scaling>
          <c:orientation val="minMax"/>
          <c:max val="0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980912"/>
        <c:crosses val="autoZero"/>
        <c:crossBetween val="midCat"/>
        <c:majorUnit val="5.000000000000001E-2"/>
        <c:minorUnit val="1.0000000000000002E-2"/>
      </c:valAx>
      <c:valAx>
        <c:axId val="9519809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8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2</xdr:row>
      <xdr:rowOff>52753</xdr:rowOff>
    </xdr:from>
    <xdr:to>
      <xdr:col>20</xdr:col>
      <xdr:colOff>594358</xdr:colOff>
      <xdr:row>24</xdr:row>
      <xdr:rowOff>1757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C5407F-7B38-4A20-A273-7BA48AD8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17587</xdr:colOff>
      <xdr:row>24</xdr:row>
      <xdr:rowOff>76199</xdr:rowOff>
    </xdr:from>
    <xdr:to>
      <xdr:col>21</xdr:col>
      <xdr:colOff>510507</xdr:colOff>
      <xdr:row>36</xdr:row>
      <xdr:rowOff>29894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EC40E1-EBFF-479F-BE01-8697539C3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601979</xdr:colOff>
      <xdr:row>40</xdr:row>
      <xdr:rowOff>106680</xdr:rowOff>
    </xdr:from>
    <xdr:to>
      <xdr:col>6</xdr:col>
      <xdr:colOff>584448</xdr:colOff>
      <xdr:row>48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B48863-1B2B-4792-9523-BFDDA9623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4659" y="6553200"/>
          <a:ext cx="2809489" cy="1150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 x14ac:dyDescent="0.2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 x14ac:dyDescent="0.2">
      <c r="D1" s="1" t="s">
        <v>0</v>
      </c>
    </row>
    <row r="2" spans="1:10" ht="12" customHeight="1" x14ac:dyDescent="0.2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 x14ac:dyDescent="0.2"/>
    <row r="4" spans="1:10" ht="12" customHeight="1" x14ac:dyDescent="0.2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 x14ac:dyDescent="0.2"/>
    <row r="6" spans="1:10" ht="12" customHeight="1" x14ac:dyDescent="0.2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 x14ac:dyDescent="0.2"/>
    <row r="8" spans="1:10" ht="12" customHeight="1" x14ac:dyDescent="0.2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 x14ac:dyDescent="0.2"/>
    <row r="10" spans="1:10" ht="12" customHeight="1" x14ac:dyDescent="0.2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 x14ac:dyDescent="0.2">
      <c r="G11" s="2" t="s">
        <v>17</v>
      </c>
      <c r="H11" s="8">
        <f>-SQRT(H10/0.75)</f>
        <v>-126.46407329335587</v>
      </c>
    </row>
    <row r="12" spans="1:10" ht="12" customHeight="1" x14ac:dyDescent="0.2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 x14ac:dyDescent="0.2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 x14ac:dyDescent="0.2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 x14ac:dyDescent="0.2">
      <c r="B15" s="2"/>
      <c r="C15" s="10"/>
      <c r="E15" s="4" t="s">
        <v>26</v>
      </c>
      <c r="F15" s="11">
        <v>0.75752858208154095</v>
      </c>
    </row>
    <row r="16" spans="1:10" ht="12" customHeight="1" x14ac:dyDescent="0.2">
      <c r="E16" s="2" t="s">
        <v>27</v>
      </c>
      <c r="F16" s="9">
        <f>1.28+LOG(F15)/LOG(0.85)</f>
        <v>2.9886871729204145</v>
      </c>
    </row>
    <row r="17" spans="1:13" ht="12" customHeight="1" x14ac:dyDescent="0.2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 x14ac:dyDescent="0.2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 x14ac:dyDescent="0.3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 x14ac:dyDescent="0.2"/>
    <row r="21" spans="1:13" ht="12" customHeight="1" x14ac:dyDescent="0.3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 x14ac:dyDescent="0.3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 x14ac:dyDescent="0.3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 x14ac:dyDescent="0.2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 x14ac:dyDescent="0.2"/>
    <row r="26" spans="1:13" ht="12" customHeight="1" x14ac:dyDescent="0.2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 x14ac:dyDescent="0.2"/>
    <row r="28" spans="1:13" ht="12" customHeight="1" x14ac:dyDescent="0.2">
      <c r="G28" s="2" t="s">
        <v>10</v>
      </c>
      <c r="H28" s="5">
        <v>4.6899999999999997E-2</v>
      </c>
    </row>
    <row r="29" spans="1:13" ht="12" customHeight="1" x14ac:dyDescent="0.2">
      <c r="H29" s="16"/>
      <c r="M29" s="28"/>
    </row>
    <row r="30" spans="1:13" ht="12" customHeight="1" x14ac:dyDescent="0.2">
      <c r="G30" s="2" t="s">
        <v>13</v>
      </c>
      <c r="H30" s="6">
        <v>1.9750000000000001</v>
      </c>
    </row>
    <row r="31" spans="1:13" ht="12" customHeight="1" x14ac:dyDescent="0.2"/>
    <row r="32" spans="1:13" ht="12" customHeight="1" x14ac:dyDescent="0.2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 x14ac:dyDescent="0.2">
      <c r="G33" s="2" t="s">
        <v>44</v>
      </c>
      <c r="H33" s="8">
        <f>-SQRT(H32/0.75)</f>
        <v>-36.271493970844375</v>
      </c>
    </row>
    <row r="34" spans="1:10" ht="12" customHeight="1" x14ac:dyDescent="0.2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 x14ac:dyDescent="0.2">
      <c r="A35" s="2" t="s">
        <v>5</v>
      </c>
    </row>
    <row r="36" spans="1:10" ht="12" customHeight="1" x14ac:dyDescent="0.2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 x14ac:dyDescent="0.2"/>
    <row r="38" spans="1:10" ht="12" customHeight="1" x14ac:dyDescent="0.2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 x14ac:dyDescent="0.2"/>
    <row r="40" spans="1:10" ht="12" customHeight="1" x14ac:dyDescent="0.3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 x14ac:dyDescent="0.3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 x14ac:dyDescent="0.3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 x14ac:dyDescent="0.2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 x14ac:dyDescent="0.2"/>
    <row r="45" spans="1:10" ht="12" customHeight="1" x14ac:dyDescent="0.2"/>
    <row r="46" spans="1:10" ht="12" customHeight="1" x14ac:dyDescent="0.2"/>
    <row r="47" spans="1:10" ht="12" customHeight="1" x14ac:dyDescent="0.2">
      <c r="A47" t="s">
        <v>330</v>
      </c>
    </row>
    <row r="48" spans="1:10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workbookViewId="0">
      <selection activeCell="B35" sqref="B35:D36"/>
    </sheetView>
  </sheetViews>
  <sheetFormatPr defaultRowHeight="12" x14ac:dyDescent="0.2"/>
  <cols>
    <col min="3" max="3" width="22.109375" customWidth="1"/>
  </cols>
  <sheetData>
    <row r="1" spans="1:21" x14ac:dyDescent="0.2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 x14ac:dyDescent="0.2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 x14ac:dyDescent="0.2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 x14ac:dyDescent="0.2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 x14ac:dyDescent="0.2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 x14ac:dyDescent="0.2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 x14ac:dyDescent="0.2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 x14ac:dyDescent="0.2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 x14ac:dyDescent="0.2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 x14ac:dyDescent="0.2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 x14ac:dyDescent="0.2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 x14ac:dyDescent="0.2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 x14ac:dyDescent="0.2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 x14ac:dyDescent="0.2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 x14ac:dyDescent="0.2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 x14ac:dyDescent="0.2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 x14ac:dyDescent="0.2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 x14ac:dyDescent="0.2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 x14ac:dyDescent="0.2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 x14ac:dyDescent="0.2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 x14ac:dyDescent="0.2">
      <c r="A29" s="55" t="s">
        <v>461</v>
      </c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 x14ac:dyDescent="0.25">
      <c r="A31" s="55"/>
      <c r="B31" s="17" t="s">
        <v>72</v>
      </c>
      <c r="C31" s="17">
        <f>1.75*(C45*C35*C43)^2/(C48*C46^3*C47^2)</f>
        <v>1928.6202295869973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 x14ac:dyDescent="0.25">
      <c r="A32" s="55"/>
      <c r="B32" s="19" t="s">
        <v>73</v>
      </c>
      <c r="C32" s="20">
        <f>150*(1-C46)*C45*C35*C43/(C47*C46^3*C48^2)</f>
        <v>10066.251247688817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 x14ac:dyDescent="0.25">
      <c r="A33" s="55"/>
      <c r="B33" s="17" t="s">
        <v>74</v>
      </c>
      <c r="C33" s="21">
        <f>C45^3*C43*(C44-C43)*C49/(C47^2)</f>
        <v>11994.87137546046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 x14ac:dyDescent="0.25">
      <c r="A34" s="55"/>
      <c r="B34" s="17" t="s">
        <v>75</v>
      </c>
      <c r="C34" s="21">
        <f>C31+C32-C33</f>
        <v>1.0181535435549449E-4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 x14ac:dyDescent="0.3">
      <c r="A35" s="55"/>
      <c r="B35" s="29" t="s">
        <v>76</v>
      </c>
      <c r="C35" s="30">
        <v>0.28159689850328318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 x14ac:dyDescent="0.25">
      <c r="A36" s="55"/>
      <c r="B36" s="32"/>
      <c r="C36" s="33">
        <f>100*C35</f>
        <v>28.159689850328316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 x14ac:dyDescent="0.25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 x14ac:dyDescent="0.35">
      <c r="A38" s="55"/>
      <c r="B38" s="22" t="s">
        <v>57</v>
      </c>
      <c r="C38" s="23">
        <f>(C43*C45*C32)/C47</f>
        <v>334616.16436449857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 x14ac:dyDescent="0.25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 x14ac:dyDescent="0.25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 x14ac:dyDescent="0.25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 x14ac:dyDescent="0.25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 x14ac:dyDescent="0.35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 x14ac:dyDescent="0.35">
      <c r="A44" s="55"/>
      <c r="B44" s="19" t="s">
        <v>60</v>
      </c>
      <c r="C44" s="18">
        <v>2670.7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 x14ac:dyDescent="0.35">
      <c r="A45" s="55"/>
      <c r="B45" s="19" t="s">
        <v>62</v>
      </c>
      <c r="C45" s="25">
        <v>5.0000000000000001E-4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 x14ac:dyDescent="0.25">
      <c r="A46" s="55"/>
      <c r="B46" s="19" t="s">
        <v>52</v>
      </c>
      <c r="C46" s="21">
        <v>0.43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 x14ac:dyDescent="0.25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 x14ac:dyDescent="0.25">
      <c r="A48" s="55"/>
      <c r="B48" s="19" t="s">
        <v>55</v>
      </c>
      <c r="C48" s="21">
        <v>1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 x14ac:dyDescent="0.25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T53" sqref="T53"/>
    </sheetView>
  </sheetViews>
  <sheetFormatPr defaultRowHeight="12" x14ac:dyDescent="0.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 x14ac:dyDescent="0.2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 x14ac:dyDescent="0.2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 x14ac:dyDescent="0.2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 x14ac:dyDescent="0.2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 x14ac:dyDescent="0.2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 x14ac:dyDescent="0.2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 x14ac:dyDescent="0.2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 x14ac:dyDescent="0.2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 x14ac:dyDescent="0.2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 x14ac:dyDescent="0.2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 x14ac:dyDescent="0.2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 x14ac:dyDescent="0.2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 x14ac:dyDescent="0.2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 x14ac:dyDescent="0.2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 x14ac:dyDescent="0.2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 x14ac:dyDescent="0.2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 x14ac:dyDescent="0.2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 x14ac:dyDescent="0.2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 x14ac:dyDescent="0.2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 x14ac:dyDescent="0.2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 x14ac:dyDescent="0.2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 x14ac:dyDescent="0.2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 x14ac:dyDescent="0.2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 x14ac:dyDescent="0.2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 x14ac:dyDescent="0.2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 x14ac:dyDescent="0.2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 x14ac:dyDescent="0.2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 x14ac:dyDescent="0.2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 x14ac:dyDescent="0.2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 x14ac:dyDescent="0.2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 x14ac:dyDescent="0.2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 x14ac:dyDescent="0.2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 x14ac:dyDescent="0.2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 x14ac:dyDescent="0.2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 x14ac:dyDescent="0.2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 x14ac:dyDescent="0.2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 x14ac:dyDescent="0.2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 x14ac:dyDescent="0.2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 x14ac:dyDescent="0.2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 x14ac:dyDescent="0.2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 x14ac:dyDescent="0.2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 x14ac:dyDescent="0.2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 x14ac:dyDescent="0.2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 x14ac:dyDescent="0.2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 x14ac:dyDescent="0.2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 x14ac:dyDescent="0.2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 x14ac:dyDescent="0.2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 x14ac:dyDescent="0.2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 x14ac:dyDescent="0.2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 x14ac:dyDescent="0.2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 x14ac:dyDescent="0.2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 x14ac:dyDescent="0.2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 x14ac:dyDescent="0.2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 x14ac:dyDescent="0.2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 x14ac:dyDescent="0.2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 x14ac:dyDescent="0.2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 x14ac:dyDescent="0.2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 x14ac:dyDescent="0.2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 x14ac:dyDescent="0.2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 x14ac:dyDescent="0.2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 x14ac:dyDescent="0.2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 x14ac:dyDescent="0.2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 x14ac:dyDescent="0.2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 x14ac:dyDescent="0.2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 x14ac:dyDescent="0.2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 x14ac:dyDescent="0.2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 x14ac:dyDescent="0.2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 x14ac:dyDescent="0.2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 x14ac:dyDescent="0.2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 x14ac:dyDescent="0.2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 x14ac:dyDescent="0.2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 x14ac:dyDescent="0.2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 x14ac:dyDescent="0.2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 x14ac:dyDescent="0.2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 x14ac:dyDescent="0.2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 x14ac:dyDescent="0.2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 x14ac:dyDescent="0.2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 x14ac:dyDescent="0.2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 x14ac:dyDescent="0.2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 x14ac:dyDescent="0.2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 x14ac:dyDescent="0.2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 x14ac:dyDescent="0.2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 x14ac:dyDescent="0.2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 x14ac:dyDescent="0.2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 x14ac:dyDescent="0.2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 x14ac:dyDescent="0.2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 x14ac:dyDescent="0.2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 x14ac:dyDescent="0.2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 x14ac:dyDescent="0.2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 x14ac:dyDescent="0.2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 x14ac:dyDescent="0.2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 x14ac:dyDescent="0.2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 x14ac:dyDescent="0.2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 x14ac:dyDescent="0.2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 x14ac:dyDescent="0.2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 x14ac:dyDescent="0.2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 x14ac:dyDescent="0.2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 x14ac:dyDescent="0.2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 x14ac:dyDescent="0.2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 x14ac:dyDescent="0.2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 x14ac:dyDescent="0.2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 x14ac:dyDescent="0.2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 x14ac:dyDescent="0.2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 x14ac:dyDescent="0.2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 x14ac:dyDescent="0.2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 x14ac:dyDescent="0.2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 x14ac:dyDescent="0.2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 x14ac:dyDescent="0.2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 x14ac:dyDescent="0.2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 x14ac:dyDescent="0.2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 x14ac:dyDescent="0.2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 x14ac:dyDescent="0.2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 x14ac:dyDescent="0.2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 x14ac:dyDescent="0.2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 x14ac:dyDescent="0.2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 x14ac:dyDescent="0.2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 x14ac:dyDescent="0.2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 x14ac:dyDescent="0.2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 x14ac:dyDescent="0.2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 x14ac:dyDescent="0.2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 x14ac:dyDescent="0.2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 x14ac:dyDescent="0.2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 x14ac:dyDescent="0.2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 x14ac:dyDescent="0.2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 x14ac:dyDescent="0.2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 x14ac:dyDescent="0.2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 x14ac:dyDescent="0.2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 x14ac:dyDescent="0.2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 x14ac:dyDescent="0.2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 x14ac:dyDescent="0.2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 x14ac:dyDescent="0.2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 x14ac:dyDescent="0.2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 x14ac:dyDescent="0.2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 x14ac:dyDescent="0.2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 x14ac:dyDescent="0.2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 x14ac:dyDescent="0.2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 x14ac:dyDescent="0.2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 x14ac:dyDescent="0.2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 x14ac:dyDescent="0.2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 x14ac:dyDescent="0.2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 x14ac:dyDescent="0.2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 x14ac:dyDescent="0.2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 x14ac:dyDescent="0.2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 x14ac:dyDescent="0.2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 x14ac:dyDescent="0.2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 x14ac:dyDescent="0.2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 x14ac:dyDescent="0.2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 x14ac:dyDescent="0.2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 x14ac:dyDescent="0.2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 x14ac:dyDescent="0.2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 x14ac:dyDescent="0.2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 x14ac:dyDescent="0.2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 x14ac:dyDescent="0.2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 x14ac:dyDescent="0.2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 x14ac:dyDescent="0.2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 x14ac:dyDescent="0.2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 x14ac:dyDescent="0.2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 x14ac:dyDescent="0.2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 x14ac:dyDescent="0.2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 x14ac:dyDescent="0.2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 x14ac:dyDescent="0.2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 x14ac:dyDescent="0.2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 x14ac:dyDescent="0.2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 x14ac:dyDescent="0.2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 x14ac:dyDescent="0.2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 x14ac:dyDescent="0.2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 x14ac:dyDescent="0.2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 x14ac:dyDescent="0.2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 x14ac:dyDescent="0.2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 x14ac:dyDescent="0.2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 x14ac:dyDescent="0.2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 x14ac:dyDescent="0.2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 x14ac:dyDescent="0.2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 x14ac:dyDescent="0.2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 x14ac:dyDescent="0.2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 x14ac:dyDescent="0.2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 x14ac:dyDescent="0.2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 x14ac:dyDescent="0.2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 x14ac:dyDescent="0.2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 x14ac:dyDescent="0.2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 x14ac:dyDescent="0.2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 x14ac:dyDescent="0.2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 x14ac:dyDescent="0.2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 x14ac:dyDescent="0.2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 x14ac:dyDescent="0.2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 x14ac:dyDescent="0.2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 x14ac:dyDescent="0.2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 x14ac:dyDescent="0.2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 x14ac:dyDescent="0.2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 x14ac:dyDescent="0.2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 x14ac:dyDescent="0.2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 x14ac:dyDescent="0.2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 x14ac:dyDescent="0.2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 x14ac:dyDescent="0.2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 x14ac:dyDescent="0.2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 x14ac:dyDescent="0.2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 x14ac:dyDescent="0.2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 x14ac:dyDescent="0.2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 x14ac:dyDescent="0.2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 x14ac:dyDescent="0.2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 x14ac:dyDescent="0.2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 x14ac:dyDescent="0.2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 x14ac:dyDescent="0.2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 x14ac:dyDescent="0.2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 x14ac:dyDescent="0.2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 x14ac:dyDescent="0.2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 x14ac:dyDescent="0.2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 x14ac:dyDescent="0.2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 x14ac:dyDescent="0.2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 x14ac:dyDescent="0.2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 x14ac:dyDescent="0.2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 x14ac:dyDescent="0.2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 x14ac:dyDescent="0.2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 x14ac:dyDescent="0.2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 x14ac:dyDescent="0.2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 x14ac:dyDescent="0.2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 x14ac:dyDescent="0.2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 x14ac:dyDescent="0.2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 x14ac:dyDescent="0.2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 x14ac:dyDescent="0.2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 x14ac:dyDescent="0.2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 x14ac:dyDescent="0.2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 x14ac:dyDescent="0.2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 x14ac:dyDescent="0.2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 x14ac:dyDescent="0.2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 x14ac:dyDescent="0.2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 x14ac:dyDescent="0.2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 x14ac:dyDescent="0.2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 x14ac:dyDescent="0.2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 x14ac:dyDescent="0.2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 x14ac:dyDescent="0.2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 x14ac:dyDescent="0.2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 x14ac:dyDescent="0.2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 x14ac:dyDescent="0.2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 x14ac:dyDescent="0.2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 x14ac:dyDescent="0.2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 x14ac:dyDescent="0.2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 x14ac:dyDescent="0.2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 x14ac:dyDescent="0.2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 x14ac:dyDescent="0.2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 x14ac:dyDescent="0.2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 x14ac:dyDescent="0.2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 x14ac:dyDescent="0.2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 x14ac:dyDescent="0.2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 x14ac:dyDescent="0.2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 x14ac:dyDescent="0.2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 x14ac:dyDescent="0.2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 x14ac:dyDescent="0.2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 x14ac:dyDescent="0.2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 x14ac:dyDescent="0.2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 x14ac:dyDescent="0.2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 x14ac:dyDescent="0.2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 x14ac:dyDescent="0.2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 x14ac:dyDescent="0.2">
      <c r="AU254" s="48">
        <v>0</v>
      </c>
      <c r="AV254" s="48">
        <v>0</v>
      </c>
      <c r="AW254" s="48">
        <v>0</v>
      </c>
      <c r="AX254" s="48">
        <v>-2</v>
      </c>
    </row>
    <row r="255" spans="42:50" x14ac:dyDescent="0.2">
      <c r="AU255" s="48">
        <v>1</v>
      </c>
      <c r="AV255" s="48">
        <v>0</v>
      </c>
      <c r="AW255" s="48">
        <v>0</v>
      </c>
      <c r="AX255" s="48">
        <v>-2</v>
      </c>
    </row>
    <row r="256" spans="42:50" x14ac:dyDescent="0.2">
      <c r="AU256" s="48">
        <v>-1</v>
      </c>
      <c r="AV256" s="48">
        <v>0</v>
      </c>
      <c r="AW256" s="48">
        <v>0</v>
      </c>
      <c r="AX256" s="48">
        <v>-2</v>
      </c>
    </row>
    <row r="257" spans="47:50" x14ac:dyDescent="0.2">
      <c r="AU257" s="48">
        <v>0</v>
      </c>
      <c r="AV257" s="48">
        <v>1</v>
      </c>
      <c r="AW257" s="48">
        <v>0</v>
      </c>
      <c r="AX257" s="48">
        <v>-2</v>
      </c>
    </row>
    <row r="258" spans="47:50" x14ac:dyDescent="0.2">
      <c r="AU258" s="48">
        <v>1</v>
      </c>
      <c r="AV258" s="48">
        <v>1</v>
      </c>
      <c r="AW258" s="48">
        <v>0</v>
      </c>
      <c r="AX258" s="48">
        <v>-2</v>
      </c>
    </row>
    <row r="259" spans="47:50" x14ac:dyDescent="0.2">
      <c r="AU259" s="48">
        <v>-1</v>
      </c>
      <c r="AV259" s="48">
        <v>1</v>
      </c>
      <c r="AW259" s="48">
        <v>0</v>
      </c>
      <c r="AX259" s="48">
        <v>-2</v>
      </c>
    </row>
    <row r="260" spans="47:50" x14ac:dyDescent="0.2">
      <c r="AU260" s="48">
        <v>0</v>
      </c>
      <c r="AV260" s="48">
        <v>2</v>
      </c>
      <c r="AW260" s="48">
        <v>0</v>
      </c>
      <c r="AX260" s="48">
        <v>-2</v>
      </c>
    </row>
    <row r="261" spans="47:50" x14ac:dyDescent="0.2">
      <c r="AU261" s="48">
        <v>1</v>
      </c>
      <c r="AV261" s="48">
        <v>2</v>
      </c>
      <c r="AW261" s="48">
        <v>0</v>
      </c>
      <c r="AX261" s="48">
        <v>-2</v>
      </c>
    </row>
    <row r="262" spans="47:50" x14ac:dyDescent="0.2">
      <c r="AU262" s="48">
        <v>-1</v>
      </c>
      <c r="AV262" s="48">
        <v>2</v>
      </c>
      <c r="AW262" s="48">
        <v>0</v>
      </c>
      <c r="AX262" s="48">
        <v>-2</v>
      </c>
    </row>
    <row r="263" spans="47:50" x14ac:dyDescent="0.2">
      <c r="AU263" s="48">
        <v>0</v>
      </c>
      <c r="AV263" s="48">
        <v>3</v>
      </c>
      <c r="AW263" s="48">
        <v>0</v>
      </c>
      <c r="AX263" s="48">
        <v>-2</v>
      </c>
    </row>
    <row r="264" spans="47:50" x14ac:dyDescent="0.2">
      <c r="AU264" s="48">
        <v>1</v>
      </c>
      <c r="AV264" s="48">
        <v>3</v>
      </c>
      <c r="AW264" s="48">
        <v>0</v>
      </c>
      <c r="AX264" s="48">
        <v>-2</v>
      </c>
    </row>
    <row r="265" spans="47:50" x14ac:dyDescent="0.2">
      <c r="AU265" s="48">
        <v>-1</v>
      </c>
      <c r="AV265" s="48">
        <v>3</v>
      </c>
      <c r="AW265" s="48">
        <v>0</v>
      </c>
      <c r="AX265" s="48">
        <v>-2</v>
      </c>
    </row>
    <row r="266" spans="47:50" x14ac:dyDescent="0.2">
      <c r="AU266" s="48">
        <v>0</v>
      </c>
      <c r="AV266" s="48">
        <v>-1</v>
      </c>
      <c r="AW266" s="48">
        <v>0</v>
      </c>
      <c r="AX266" s="48">
        <v>-2</v>
      </c>
    </row>
    <row r="267" spans="47:50" x14ac:dyDescent="0.2">
      <c r="AU267" s="48">
        <v>1</v>
      </c>
      <c r="AV267" s="48">
        <v>-1</v>
      </c>
      <c r="AW267" s="48">
        <v>0</v>
      </c>
      <c r="AX267" s="48">
        <v>-2</v>
      </c>
    </row>
    <row r="268" spans="47:50" x14ac:dyDescent="0.2">
      <c r="AU268" s="48">
        <v>-1</v>
      </c>
      <c r="AV268" s="48">
        <v>-1</v>
      </c>
      <c r="AW268" s="48">
        <v>0</v>
      </c>
      <c r="AX268" s="48">
        <v>-2</v>
      </c>
    </row>
    <row r="269" spans="47:50" x14ac:dyDescent="0.2">
      <c r="AU269" s="48">
        <v>0</v>
      </c>
      <c r="AV269" s="48">
        <v>-2</v>
      </c>
      <c r="AW269" s="48">
        <v>0</v>
      </c>
      <c r="AX269" s="48">
        <v>-2</v>
      </c>
    </row>
    <row r="270" spans="47:50" x14ac:dyDescent="0.2">
      <c r="AU270" s="48">
        <v>1</v>
      </c>
      <c r="AV270" s="48">
        <v>-2</v>
      </c>
      <c r="AW270" s="48">
        <v>0</v>
      </c>
      <c r="AX270" s="48">
        <v>-2</v>
      </c>
    </row>
    <row r="271" spans="47:50" x14ac:dyDescent="0.2">
      <c r="AU271" s="48">
        <v>-1</v>
      </c>
      <c r="AV271" s="48">
        <v>-2</v>
      </c>
      <c r="AW271" s="48">
        <v>0</v>
      </c>
      <c r="AX271" s="48">
        <v>-2</v>
      </c>
    </row>
    <row r="272" spans="47:50" x14ac:dyDescent="0.2">
      <c r="AU272" s="48">
        <v>0</v>
      </c>
      <c r="AV272" s="48">
        <v>-3</v>
      </c>
      <c r="AW272" s="48">
        <v>0</v>
      </c>
      <c r="AX272" s="48">
        <v>-2</v>
      </c>
    </row>
    <row r="273" spans="47:50" x14ac:dyDescent="0.2">
      <c r="AU273" s="48">
        <v>1</v>
      </c>
      <c r="AV273" s="48">
        <v>-3</v>
      </c>
      <c r="AW273" s="48">
        <v>0</v>
      </c>
      <c r="AX273" s="48">
        <v>-2</v>
      </c>
    </row>
    <row r="274" spans="47:50" x14ac:dyDescent="0.2">
      <c r="AU274" s="48">
        <v>-1</v>
      </c>
      <c r="AV274" s="48">
        <v>-3</v>
      </c>
      <c r="AW274" s="48">
        <v>0</v>
      </c>
      <c r="AX274" s="48">
        <v>-2</v>
      </c>
    </row>
    <row r="275" spans="47:50" x14ac:dyDescent="0.2">
      <c r="AU275" s="48">
        <v>0</v>
      </c>
      <c r="AV275" s="48">
        <v>0</v>
      </c>
      <c r="AW275" s="48">
        <v>1</v>
      </c>
      <c r="AX275" s="48">
        <v>-2</v>
      </c>
    </row>
    <row r="276" spans="47:50" x14ac:dyDescent="0.2">
      <c r="AU276" s="48">
        <v>1</v>
      </c>
      <c r="AV276" s="48">
        <v>0</v>
      </c>
      <c r="AW276" s="48">
        <v>1</v>
      </c>
      <c r="AX276" s="48">
        <v>-2</v>
      </c>
    </row>
    <row r="277" spans="47:50" x14ac:dyDescent="0.2">
      <c r="AU277" s="48">
        <v>-1</v>
      </c>
      <c r="AV277" s="48">
        <v>0</v>
      </c>
      <c r="AW277" s="48">
        <v>1</v>
      </c>
      <c r="AX277" s="48">
        <v>-2</v>
      </c>
    </row>
    <row r="278" spans="47:50" x14ac:dyDescent="0.2">
      <c r="AU278" s="48">
        <v>0</v>
      </c>
      <c r="AV278" s="48">
        <v>1</v>
      </c>
      <c r="AW278" s="48">
        <v>1</v>
      </c>
      <c r="AX278" s="48">
        <v>-2</v>
      </c>
    </row>
    <row r="279" spans="47:50" x14ac:dyDescent="0.2">
      <c r="AU279" s="48">
        <v>1</v>
      </c>
      <c r="AV279" s="48">
        <v>1</v>
      </c>
      <c r="AW279" s="48">
        <v>1</v>
      </c>
      <c r="AX279" s="48">
        <v>-2</v>
      </c>
    </row>
    <row r="280" spans="47:50" x14ac:dyDescent="0.2">
      <c r="AU280" s="48">
        <v>-1</v>
      </c>
      <c r="AV280" s="48">
        <v>1</v>
      </c>
      <c r="AW280" s="48">
        <v>1</v>
      </c>
      <c r="AX280" s="48">
        <v>-2</v>
      </c>
    </row>
    <row r="281" spans="47:50" x14ac:dyDescent="0.2">
      <c r="AU281" s="48">
        <v>0</v>
      </c>
      <c r="AV281" s="48">
        <v>2</v>
      </c>
      <c r="AW281" s="48">
        <v>1</v>
      </c>
      <c r="AX281" s="48">
        <v>-2</v>
      </c>
    </row>
    <row r="282" spans="47:50" x14ac:dyDescent="0.2">
      <c r="AU282" s="48">
        <v>1</v>
      </c>
      <c r="AV282" s="48">
        <v>2</v>
      </c>
      <c r="AW282" s="48">
        <v>1</v>
      </c>
      <c r="AX282" s="48">
        <v>-2</v>
      </c>
    </row>
    <row r="283" spans="47:50" x14ac:dyDescent="0.2">
      <c r="AU283" s="48">
        <v>-1</v>
      </c>
      <c r="AV283" s="48">
        <v>2</v>
      </c>
      <c r="AW283" s="48">
        <v>1</v>
      </c>
      <c r="AX283" s="48">
        <v>-2</v>
      </c>
    </row>
    <row r="284" spans="47:50" x14ac:dyDescent="0.2">
      <c r="AU284" s="48">
        <v>0</v>
      </c>
      <c r="AV284" s="48">
        <v>3</v>
      </c>
      <c r="AW284" s="48">
        <v>1</v>
      </c>
      <c r="AX284" s="48">
        <v>-2</v>
      </c>
    </row>
    <row r="285" spans="47:50" x14ac:dyDescent="0.2">
      <c r="AU285" s="48">
        <v>1</v>
      </c>
      <c r="AV285" s="48">
        <v>3</v>
      </c>
      <c r="AW285" s="48">
        <v>1</v>
      </c>
      <c r="AX285" s="48">
        <v>-2</v>
      </c>
    </row>
    <row r="286" spans="47:50" x14ac:dyDescent="0.2">
      <c r="AU286" s="48">
        <v>-1</v>
      </c>
      <c r="AV286" s="48">
        <v>3</v>
      </c>
      <c r="AW286" s="48">
        <v>1</v>
      </c>
      <c r="AX286" s="48">
        <v>-2</v>
      </c>
    </row>
    <row r="287" spans="47:50" x14ac:dyDescent="0.2">
      <c r="AU287" s="48">
        <v>0</v>
      </c>
      <c r="AV287" s="48">
        <v>-1</v>
      </c>
      <c r="AW287" s="48">
        <v>1</v>
      </c>
      <c r="AX287" s="48">
        <v>-2</v>
      </c>
    </row>
    <row r="288" spans="47:50" x14ac:dyDescent="0.2">
      <c r="AU288" s="48">
        <v>1</v>
      </c>
      <c r="AV288" s="48">
        <v>-1</v>
      </c>
      <c r="AW288" s="48">
        <v>1</v>
      </c>
      <c r="AX288" s="48">
        <v>-2</v>
      </c>
    </row>
    <row r="289" spans="47:50" x14ac:dyDescent="0.2">
      <c r="AU289" s="48">
        <v>-1</v>
      </c>
      <c r="AV289" s="48">
        <v>-1</v>
      </c>
      <c r="AW289" s="48">
        <v>1</v>
      </c>
      <c r="AX289" s="48">
        <v>-2</v>
      </c>
    </row>
    <row r="290" spans="47:50" x14ac:dyDescent="0.2">
      <c r="AU290" s="48">
        <v>0</v>
      </c>
      <c r="AV290" s="48">
        <v>-2</v>
      </c>
      <c r="AW290" s="48">
        <v>1</v>
      </c>
      <c r="AX290" s="48">
        <v>-2</v>
      </c>
    </row>
    <row r="291" spans="47:50" x14ac:dyDescent="0.2">
      <c r="AU291" s="48">
        <v>1</v>
      </c>
      <c r="AV291" s="48">
        <v>-2</v>
      </c>
      <c r="AW291" s="48">
        <v>1</v>
      </c>
      <c r="AX291" s="48">
        <v>-2</v>
      </c>
    </row>
    <row r="292" spans="47:50" x14ac:dyDescent="0.2">
      <c r="AU292" s="48">
        <v>-1</v>
      </c>
      <c r="AV292" s="48">
        <v>-2</v>
      </c>
      <c r="AW292" s="48">
        <v>1</v>
      </c>
      <c r="AX292" s="48">
        <v>-2</v>
      </c>
    </row>
    <row r="293" spans="47:50" x14ac:dyDescent="0.2">
      <c r="AU293" s="48">
        <v>0</v>
      </c>
      <c r="AV293" s="48">
        <v>-3</v>
      </c>
      <c r="AW293" s="48">
        <v>1</v>
      </c>
      <c r="AX293" s="48">
        <v>-2</v>
      </c>
    </row>
    <row r="294" spans="47:50" x14ac:dyDescent="0.2">
      <c r="AU294" s="48">
        <v>1</v>
      </c>
      <c r="AV294" s="48">
        <v>-3</v>
      </c>
      <c r="AW294" s="48">
        <v>1</v>
      </c>
      <c r="AX294" s="48">
        <v>-2</v>
      </c>
    </row>
    <row r="295" spans="47:50" x14ac:dyDescent="0.2">
      <c r="AU295" s="48">
        <v>-1</v>
      </c>
      <c r="AV295" s="48">
        <v>-3</v>
      </c>
      <c r="AW295" s="48">
        <v>1</v>
      </c>
      <c r="AX295" s="48">
        <v>-2</v>
      </c>
    </row>
    <row r="296" spans="47:50" x14ac:dyDescent="0.2">
      <c r="AU296" s="48">
        <v>0</v>
      </c>
      <c r="AV296" s="48">
        <v>0</v>
      </c>
      <c r="AW296" s="48">
        <v>-1</v>
      </c>
      <c r="AX296" s="48">
        <v>-2</v>
      </c>
    </row>
    <row r="297" spans="47:50" x14ac:dyDescent="0.2">
      <c r="AU297" s="48">
        <v>1</v>
      </c>
      <c r="AV297" s="48">
        <v>0</v>
      </c>
      <c r="AW297" s="48">
        <v>-1</v>
      </c>
      <c r="AX297" s="48">
        <v>-2</v>
      </c>
    </row>
    <row r="298" spans="47:50" x14ac:dyDescent="0.2">
      <c r="AU298" s="48">
        <v>-1</v>
      </c>
      <c r="AV298" s="48">
        <v>0</v>
      </c>
      <c r="AW298" s="48">
        <v>-1</v>
      </c>
      <c r="AX298" s="48">
        <v>-2</v>
      </c>
    </row>
    <row r="299" spans="47:50" x14ac:dyDescent="0.2">
      <c r="AU299" s="48">
        <v>0</v>
      </c>
      <c r="AV299" s="48">
        <v>1</v>
      </c>
      <c r="AW299" s="48">
        <v>-1</v>
      </c>
      <c r="AX299" s="48">
        <v>-2</v>
      </c>
    </row>
    <row r="300" spans="47:50" x14ac:dyDescent="0.2">
      <c r="AU300" s="48">
        <v>1</v>
      </c>
      <c r="AV300" s="48">
        <v>1</v>
      </c>
      <c r="AW300" s="48">
        <v>-1</v>
      </c>
      <c r="AX300" s="48">
        <v>-2</v>
      </c>
    </row>
    <row r="301" spans="47:50" x14ac:dyDescent="0.2">
      <c r="AU301" s="48">
        <v>-1</v>
      </c>
      <c r="AV301" s="48">
        <v>1</v>
      </c>
      <c r="AW301" s="48">
        <v>-1</v>
      </c>
      <c r="AX301" s="48">
        <v>-2</v>
      </c>
    </row>
    <row r="302" spans="47:50" x14ac:dyDescent="0.2">
      <c r="AU302" s="48">
        <v>0</v>
      </c>
      <c r="AV302" s="48">
        <v>2</v>
      </c>
      <c r="AW302" s="48">
        <v>-1</v>
      </c>
      <c r="AX302" s="48">
        <v>-2</v>
      </c>
    </row>
    <row r="303" spans="47:50" x14ac:dyDescent="0.2">
      <c r="AU303" s="48">
        <v>1</v>
      </c>
      <c r="AV303" s="48">
        <v>2</v>
      </c>
      <c r="AW303" s="48">
        <v>-1</v>
      </c>
      <c r="AX303" s="48">
        <v>-2</v>
      </c>
    </row>
    <row r="304" spans="47:50" x14ac:dyDescent="0.2">
      <c r="AU304" s="48">
        <v>-1</v>
      </c>
      <c r="AV304" s="48">
        <v>2</v>
      </c>
      <c r="AW304" s="48">
        <v>-1</v>
      </c>
      <c r="AX304" s="48">
        <v>-2</v>
      </c>
    </row>
    <row r="305" spans="26:50" x14ac:dyDescent="0.2">
      <c r="AU305" s="48">
        <v>0</v>
      </c>
      <c r="AV305" s="48">
        <v>3</v>
      </c>
      <c r="AW305" s="48">
        <v>-1</v>
      </c>
      <c r="AX305" s="48">
        <v>-2</v>
      </c>
    </row>
    <row r="306" spans="26:50" x14ac:dyDescent="0.2">
      <c r="AU306" s="48">
        <v>1</v>
      </c>
      <c r="AV306" s="48">
        <v>3</v>
      </c>
      <c r="AW306" s="48">
        <v>-1</v>
      </c>
      <c r="AX306" s="48">
        <v>-2</v>
      </c>
    </row>
    <row r="307" spans="26:50" x14ac:dyDescent="0.2">
      <c r="AU307" s="48">
        <v>-1</v>
      </c>
      <c r="AV307" s="48">
        <v>3</v>
      </c>
      <c r="AW307" s="48">
        <v>-1</v>
      </c>
      <c r="AX307" s="48">
        <v>-2</v>
      </c>
    </row>
    <row r="308" spans="26:50" x14ac:dyDescent="0.2">
      <c r="AU308" s="48">
        <v>0</v>
      </c>
      <c r="AV308" s="48">
        <v>-1</v>
      </c>
      <c r="AW308" s="48">
        <v>-1</v>
      </c>
      <c r="AX308" s="48">
        <v>-2</v>
      </c>
    </row>
    <row r="309" spans="26:50" x14ac:dyDescent="0.2">
      <c r="AU309" s="48">
        <v>1</v>
      </c>
      <c r="AV309" s="48">
        <v>-1</v>
      </c>
      <c r="AW309" s="48">
        <v>-1</v>
      </c>
      <c r="AX309" s="48">
        <v>-2</v>
      </c>
    </row>
    <row r="310" spans="26:50" x14ac:dyDescent="0.2">
      <c r="AU310" s="48">
        <v>-1</v>
      </c>
      <c r="AV310" s="48">
        <v>-1</v>
      </c>
      <c r="AW310" s="48">
        <v>-1</v>
      </c>
      <c r="AX310" s="48">
        <v>-2</v>
      </c>
    </row>
    <row r="311" spans="26:50" x14ac:dyDescent="0.2">
      <c r="AU311" s="48">
        <v>0</v>
      </c>
      <c r="AV311" s="48">
        <v>-2</v>
      </c>
      <c r="AW311" s="48">
        <v>-1</v>
      </c>
      <c r="AX311" s="48">
        <v>-2</v>
      </c>
    </row>
    <row r="312" spans="26:50" x14ac:dyDescent="0.2">
      <c r="AU312" s="48">
        <v>1</v>
      </c>
      <c r="AV312" s="48">
        <v>-2</v>
      </c>
      <c r="AW312" s="48">
        <v>-1</v>
      </c>
      <c r="AX312" s="48">
        <v>-2</v>
      </c>
    </row>
    <row r="313" spans="26:50" x14ac:dyDescent="0.2">
      <c r="AU313" s="48">
        <v>-1</v>
      </c>
      <c r="AV313" s="48">
        <v>-2</v>
      </c>
      <c r="AW313" s="48">
        <v>-1</v>
      </c>
      <c r="AX313" s="48">
        <v>-2</v>
      </c>
    </row>
    <row r="314" spans="26:50" x14ac:dyDescent="0.2">
      <c r="AU314" s="48">
        <v>0</v>
      </c>
      <c r="AV314" s="48">
        <v>-3</v>
      </c>
      <c r="AW314" s="48">
        <v>-1</v>
      </c>
      <c r="AX314" s="48">
        <v>-2</v>
      </c>
    </row>
    <row r="315" spans="26:50" x14ac:dyDescent="0.2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 x14ac:dyDescent="0.2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abSelected="1" topLeftCell="F4" zoomScale="130" zoomScaleNormal="130" workbookViewId="0">
      <selection activeCell="I29" sqref="I29:J29"/>
    </sheetView>
  </sheetViews>
  <sheetFormatPr defaultRowHeight="12" x14ac:dyDescent="0.2"/>
  <cols>
    <col min="1" max="1" width="8.77734375" customWidth="1"/>
    <col min="9" max="9" width="11.44140625" customWidth="1"/>
    <col min="12" max="12" width="16.33203125" customWidth="1"/>
  </cols>
  <sheetData>
    <row r="1" spans="1:181" x14ac:dyDescent="0.2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 x14ac:dyDescent="0.2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 x14ac:dyDescent="0.2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 x14ac:dyDescent="0.2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 x14ac:dyDescent="0.2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 x14ac:dyDescent="0.2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 x14ac:dyDescent="0.2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 x14ac:dyDescent="0.2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 ht="13.2" x14ac:dyDescent="0.25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  <c r="I9" s="29" t="s">
        <v>462</v>
      </c>
      <c r="J9" s="30">
        <v>23.009645846749201</v>
      </c>
      <c r="K9" s="31" t="s">
        <v>23</v>
      </c>
      <c r="L9" s="29" t="s">
        <v>471</v>
      </c>
      <c r="M9" s="30">
        <v>188.88308538424201</v>
      </c>
      <c r="N9" s="30" t="s">
        <v>472</v>
      </c>
    </row>
    <row r="10" spans="1:181" ht="13.2" x14ac:dyDescent="0.25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  <c r="I10" s="32"/>
      <c r="J10" s="33">
        <v>0.23009645846749208</v>
      </c>
      <c r="K10" s="34" t="s">
        <v>50</v>
      </c>
    </row>
    <row r="11" spans="1:181" x14ac:dyDescent="0.2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2" t="s">
        <v>458</v>
      </c>
      <c r="J11" s="72" t="s">
        <v>460</v>
      </c>
      <c r="K11" s="72" t="s">
        <v>459</v>
      </c>
      <c r="L11" s="71" t="s">
        <v>463</v>
      </c>
      <c r="M11" t="s">
        <v>471</v>
      </c>
    </row>
    <row r="12" spans="1:181" x14ac:dyDescent="0.2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2">
        <v>0.05</v>
      </c>
      <c r="J12" s="72">
        <v>32.222455128205098</v>
      </c>
      <c r="K12" s="72">
        <v>32.222424102564098</v>
      </c>
      <c r="L12" s="71">
        <v>32.5019961538462</v>
      </c>
    </row>
    <row r="13" spans="1:181" x14ac:dyDescent="0.2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2">
        <v>0.1</v>
      </c>
      <c r="J13" s="72">
        <v>65.712307692307704</v>
      </c>
      <c r="K13" s="72">
        <v>65.712245641025604</v>
      </c>
      <c r="L13" s="71">
        <v>66.284885897435899</v>
      </c>
    </row>
    <row r="14" spans="1:181" x14ac:dyDescent="0.2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2">
        <v>0.15</v>
      </c>
      <c r="J14" s="72">
        <v>100.380762307692</v>
      </c>
      <c r="K14" s="72">
        <v>100.381103589744</v>
      </c>
      <c r="L14" s="71">
        <v>101.23896256410301</v>
      </c>
    </row>
    <row r="15" spans="1:181" x14ac:dyDescent="0.2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2">
        <v>0.2</v>
      </c>
      <c r="J15" s="72">
        <v>135.94047499999999</v>
      </c>
      <c r="K15" s="72">
        <v>135.94017249999999</v>
      </c>
      <c r="L15" s="71">
        <v>137.02705499999999</v>
      </c>
    </row>
    <row r="16" spans="1:181" x14ac:dyDescent="0.2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2">
        <v>0.25</v>
      </c>
      <c r="J16" s="72">
        <v>156.73471282051301</v>
      </c>
      <c r="K16" s="72">
        <v>156.75705128205101</v>
      </c>
      <c r="L16" s="71">
        <v>157.48212051282101</v>
      </c>
    </row>
    <row r="17" spans="1:12" x14ac:dyDescent="0.2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2">
        <v>0.3</v>
      </c>
      <c r="J17" s="72">
        <v>161.28121025640999</v>
      </c>
      <c r="K17" s="72">
        <v>161.25887179487199</v>
      </c>
      <c r="L17" s="71">
        <v>161.83936153846199</v>
      </c>
    </row>
    <row r="18" spans="1:12" x14ac:dyDescent="0.2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2">
        <v>0.35</v>
      </c>
      <c r="J18" s="72">
        <v>163.93140500000001</v>
      </c>
      <c r="K18" s="72">
        <v>164.04272499999999</v>
      </c>
      <c r="L18" s="71">
        <v>164.36367749999999</v>
      </c>
    </row>
    <row r="19" spans="1:12" x14ac:dyDescent="0.2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2">
        <v>0.4</v>
      </c>
      <c r="J19" s="72">
        <v>164.18641249999999</v>
      </c>
      <c r="K19" s="72">
        <v>164.05543</v>
      </c>
      <c r="L19" s="71">
        <v>165.07909000000001</v>
      </c>
    </row>
    <row r="20" spans="1:12" x14ac:dyDescent="0.2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2">
        <v>0.45</v>
      </c>
      <c r="J20" s="72">
        <v>163.007787179487</v>
      </c>
      <c r="K20" s="72">
        <v>161.51514358974401</v>
      </c>
      <c r="L20" s="71">
        <v>163.060841025641</v>
      </c>
    </row>
    <row r="21" spans="1:12" x14ac:dyDescent="0.2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2">
        <v>0.5</v>
      </c>
      <c r="J21" s="72">
        <v>159.72105875</v>
      </c>
      <c r="K21" s="72">
        <v>158.52470149999999</v>
      </c>
      <c r="L21" s="71">
        <v>160.26755524999999</v>
      </c>
    </row>
    <row r="22" spans="1:12" x14ac:dyDescent="0.2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2">
        <v>0.55000000000000004</v>
      </c>
      <c r="J22" s="72">
        <v>156.918818974359</v>
      </c>
      <c r="K22" s="61"/>
      <c r="L22" s="71">
        <v>159.281731794872</v>
      </c>
    </row>
    <row r="23" spans="1:12" x14ac:dyDescent="0.2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2">
        <v>0.6</v>
      </c>
      <c r="J23" s="72">
        <v>161.956142051282</v>
      </c>
      <c r="K23" s="61"/>
      <c r="L23" s="71">
        <v>163.51518051282099</v>
      </c>
    </row>
    <row r="24" spans="1:12" x14ac:dyDescent="0.2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2">
        <v>0.65</v>
      </c>
      <c r="J24" s="72">
        <v>161.20088874999999</v>
      </c>
      <c r="K24" s="61"/>
      <c r="L24" s="71">
        <v>161.83223649999999</v>
      </c>
    </row>
    <row r="25" spans="1:12" x14ac:dyDescent="0.2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2">
        <v>0.7</v>
      </c>
      <c r="J25" s="72">
        <v>168.32291384615399</v>
      </c>
      <c r="K25" s="61"/>
      <c r="L25" s="71">
        <v>168.28980948717901</v>
      </c>
    </row>
    <row r="26" spans="1:12" x14ac:dyDescent="0.2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2">
        <v>0.75</v>
      </c>
      <c r="J26" s="72">
        <v>170.73399474999999</v>
      </c>
      <c r="K26" s="61"/>
      <c r="L26" s="71">
        <v>170.45188325000001</v>
      </c>
    </row>
    <row r="27" spans="1:12" x14ac:dyDescent="0.2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2">
        <v>0.8</v>
      </c>
      <c r="J27" s="72">
        <v>170.527782051282</v>
      </c>
      <c r="K27" s="61"/>
      <c r="L27" s="71">
        <v>173.596186923077</v>
      </c>
    </row>
    <row r="28" spans="1:12" x14ac:dyDescent="0.2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  <c r="I28" s="61"/>
      <c r="J28" s="61"/>
      <c r="K28" s="61"/>
    </row>
    <row r="29" spans="1:12" x14ac:dyDescent="0.2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  <c r="I29">
        <v>0.23009645846749199</v>
      </c>
      <c r="J29">
        <v>188.88308538424201</v>
      </c>
    </row>
    <row r="30" spans="1:12" x14ac:dyDescent="0.2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2" x14ac:dyDescent="0.2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2" x14ac:dyDescent="0.2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 x14ac:dyDescent="0.2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 x14ac:dyDescent="0.2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 x14ac:dyDescent="0.2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 x14ac:dyDescent="0.2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 x14ac:dyDescent="0.2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 x14ac:dyDescent="0.2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 x14ac:dyDescent="0.2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 x14ac:dyDescent="0.2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 x14ac:dyDescent="0.2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 x14ac:dyDescent="0.2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 x14ac:dyDescent="0.2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 x14ac:dyDescent="0.2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 x14ac:dyDescent="0.2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 x14ac:dyDescent="0.2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 x14ac:dyDescent="0.2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 x14ac:dyDescent="0.2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 x14ac:dyDescent="0.2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 x14ac:dyDescent="0.2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 x14ac:dyDescent="0.2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 x14ac:dyDescent="0.2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 x14ac:dyDescent="0.2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 x14ac:dyDescent="0.2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 x14ac:dyDescent="0.2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 x14ac:dyDescent="0.2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 x14ac:dyDescent="0.2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 x14ac:dyDescent="0.2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 x14ac:dyDescent="0.2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 x14ac:dyDescent="0.2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 x14ac:dyDescent="0.2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 x14ac:dyDescent="0.2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 x14ac:dyDescent="0.2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 x14ac:dyDescent="0.2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 x14ac:dyDescent="0.2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 x14ac:dyDescent="0.2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 x14ac:dyDescent="0.2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 x14ac:dyDescent="0.2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 x14ac:dyDescent="0.2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 x14ac:dyDescent="0.2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 x14ac:dyDescent="0.2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 x14ac:dyDescent="0.2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 x14ac:dyDescent="0.2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 x14ac:dyDescent="0.2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 x14ac:dyDescent="0.2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 x14ac:dyDescent="0.2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 x14ac:dyDescent="0.2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 x14ac:dyDescent="0.2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 x14ac:dyDescent="0.2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 x14ac:dyDescent="0.2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 x14ac:dyDescent="0.2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 x14ac:dyDescent="0.2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 x14ac:dyDescent="0.2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 x14ac:dyDescent="0.2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 x14ac:dyDescent="0.2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 x14ac:dyDescent="0.2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 x14ac:dyDescent="0.2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 x14ac:dyDescent="0.2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 x14ac:dyDescent="0.2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 x14ac:dyDescent="0.2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 x14ac:dyDescent="0.2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 x14ac:dyDescent="0.2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 x14ac:dyDescent="0.2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 x14ac:dyDescent="0.2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 x14ac:dyDescent="0.2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 x14ac:dyDescent="0.2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 x14ac:dyDescent="0.2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 x14ac:dyDescent="0.2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 x14ac:dyDescent="0.2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 x14ac:dyDescent="0.2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 x14ac:dyDescent="0.2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 x14ac:dyDescent="0.2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 x14ac:dyDescent="0.2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 x14ac:dyDescent="0.2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 x14ac:dyDescent="0.2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 x14ac:dyDescent="0.2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 x14ac:dyDescent="0.2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 x14ac:dyDescent="0.2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 x14ac:dyDescent="0.2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 x14ac:dyDescent="0.2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 x14ac:dyDescent="0.2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 x14ac:dyDescent="0.2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 x14ac:dyDescent="0.2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 x14ac:dyDescent="0.2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 x14ac:dyDescent="0.2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 x14ac:dyDescent="0.2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 x14ac:dyDescent="0.2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 x14ac:dyDescent="0.2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 x14ac:dyDescent="0.2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 x14ac:dyDescent="0.2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 x14ac:dyDescent="0.2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 x14ac:dyDescent="0.2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 x14ac:dyDescent="0.2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 x14ac:dyDescent="0.2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 x14ac:dyDescent="0.2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 x14ac:dyDescent="0.2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 x14ac:dyDescent="0.2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 x14ac:dyDescent="0.2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 x14ac:dyDescent="0.2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 x14ac:dyDescent="0.2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 x14ac:dyDescent="0.2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 x14ac:dyDescent="0.2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 x14ac:dyDescent="0.2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 x14ac:dyDescent="0.2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 x14ac:dyDescent="0.2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 x14ac:dyDescent="0.2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 x14ac:dyDescent="0.2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 x14ac:dyDescent="0.2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 x14ac:dyDescent="0.2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 x14ac:dyDescent="0.2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 x14ac:dyDescent="0.2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 x14ac:dyDescent="0.2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 x14ac:dyDescent="0.2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 x14ac:dyDescent="0.2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 x14ac:dyDescent="0.2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 x14ac:dyDescent="0.2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 x14ac:dyDescent="0.2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 x14ac:dyDescent="0.2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 x14ac:dyDescent="0.2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 x14ac:dyDescent="0.2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 x14ac:dyDescent="0.2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 x14ac:dyDescent="0.2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 x14ac:dyDescent="0.2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 x14ac:dyDescent="0.2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 x14ac:dyDescent="0.2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 x14ac:dyDescent="0.2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 x14ac:dyDescent="0.2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 x14ac:dyDescent="0.2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 x14ac:dyDescent="0.2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 x14ac:dyDescent="0.2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 x14ac:dyDescent="0.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 x14ac:dyDescent="0.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 x14ac:dyDescent="0.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 x14ac:dyDescent="0.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 x14ac:dyDescent="0.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 x14ac:dyDescent="0.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 x14ac:dyDescent="0.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 x14ac:dyDescent="0.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 x14ac:dyDescent="0.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 x14ac:dyDescent="0.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 x14ac:dyDescent="0.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 x14ac:dyDescent="0.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 x14ac:dyDescent="0.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 x14ac:dyDescent="0.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 x14ac:dyDescent="0.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 x14ac:dyDescent="0.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 x14ac:dyDescent="0.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 x14ac:dyDescent="0.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 x14ac:dyDescent="0.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 x14ac:dyDescent="0.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 x14ac:dyDescent="0.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 x14ac:dyDescent="0.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 x14ac:dyDescent="0.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 x14ac:dyDescent="0.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 x14ac:dyDescent="0.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 x14ac:dyDescent="0.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 x14ac:dyDescent="0.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 x14ac:dyDescent="0.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 x14ac:dyDescent="0.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 x14ac:dyDescent="0.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 x14ac:dyDescent="0.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 x14ac:dyDescent="0.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 x14ac:dyDescent="0.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 x14ac:dyDescent="0.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 x14ac:dyDescent="0.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 x14ac:dyDescent="0.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 x14ac:dyDescent="0.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 x14ac:dyDescent="0.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 x14ac:dyDescent="0.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 x14ac:dyDescent="0.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topLeftCell="A16" workbookViewId="0">
      <selection activeCell="E29" sqref="E29"/>
    </sheetView>
  </sheetViews>
  <sheetFormatPr defaultRowHeight="12" x14ac:dyDescent="0.2"/>
  <cols>
    <col min="2" max="2" width="26" customWidth="1"/>
    <col min="4" max="4" width="12.109375" customWidth="1"/>
    <col min="5" max="5" width="11.33203125" customWidth="1"/>
    <col min="8" max="9" width="3" customWidth="1"/>
    <col min="10" max="10" width="2.77734375" customWidth="1"/>
    <col min="12" max="12" width="2.5546875" customWidth="1"/>
  </cols>
  <sheetData>
    <row r="1" spans="1:12" x14ac:dyDescent="0.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 x14ac:dyDescent="0.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 x14ac:dyDescent="0.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 x14ac:dyDescent="0.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 x14ac:dyDescent="0.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 x14ac:dyDescent="0.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 x14ac:dyDescent="0.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 x14ac:dyDescent="0.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 x14ac:dyDescent="0.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 x14ac:dyDescent="0.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 x14ac:dyDescent="0.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 x14ac:dyDescent="0.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 x14ac:dyDescent="0.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 x14ac:dyDescent="0.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 x14ac:dyDescent="0.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 x14ac:dyDescent="0.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 x14ac:dyDescent="0.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 x14ac:dyDescent="0.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 x14ac:dyDescent="0.35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 x14ac:dyDescent="0.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 x14ac:dyDescent="0.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 x14ac:dyDescent="0.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 x14ac:dyDescent="0.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 x14ac:dyDescent="0.2">
      <c r="A24" t="s">
        <v>469</v>
      </c>
      <c r="B24">
        <f>B18/(4/3*3.14*B17^3*B19)</f>
        <v>286191.33942078211</v>
      </c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 x14ac:dyDescent="0.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 x14ac:dyDescent="0.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 x14ac:dyDescent="0.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 x14ac:dyDescent="0.2">
      <c r="D28" t="s">
        <v>93</v>
      </c>
      <c r="E28" s="35">
        <v>0.23009645846749208</v>
      </c>
      <c r="F28" t="s">
        <v>98</v>
      </c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 x14ac:dyDescent="0.2">
      <c r="D29" s="61" t="s">
        <v>470</v>
      </c>
      <c r="E29" s="61">
        <f>150*D15*(1-E37)^2*E38*E28/(E37^3*E36^2)+1.75*D15*(1-E37)*E34*E28^2/(E37^3*E36)</f>
        <v>188.88308538424238</v>
      </c>
      <c r="F29" t="s">
        <v>472</v>
      </c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 x14ac:dyDescent="0.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 ht="13.2" x14ac:dyDescent="0.25">
      <c r="D31" s="17" t="s">
        <v>69</v>
      </c>
      <c r="E31" s="17" t="s">
        <v>68</v>
      </c>
      <c r="F31" s="17"/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 ht="13.2" x14ac:dyDescent="0.25">
      <c r="D32" s="17" t="s">
        <v>64</v>
      </c>
      <c r="E32" s="17">
        <v>293</v>
      </c>
      <c r="F32" s="17" t="s">
        <v>67</v>
      </c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4:12" ht="13.2" x14ac:dyDescent="0.25">
      <c r="D33" s="17" t="s">
        <v>65</v>
      </c>
      <c r="E33" s="17">
        <v>1</v>
      </c>
      <c r="F33" s="17" t="s">
        <v>66</v>
      </c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4:12" ht="16.8" x14ac:dyDescent="0.35">
      <c r="D34" s="19" t="s">
        <v>58</v>
      </c>
      <c r="E34" s="24">
        <f>1000*273*0.0012946*E33/E32</f>
        <v>1.2062313993174061</v>
      </c>
      <c r="F34" s="19" t="s">
        <v>59</v>
      </c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4:12" ht="16.8" x14ac:dyDescent="0.35">
      <c r="D35" s="19" t="s">
        <v>96</v>
      </c>
      <c r="E35" s="18">
        <v>2670.7</v>
      </c>
      <c r="F35" s="19" t="s">
        <v>61</v>
      </c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4:12" ht="15.6" x14ac:dyDescent="0.35">
      <c r="D36" s="19" t="s">
        <v>62</v>
      </c>
      <c r="E36" s="25">
        <v>5.0000000000000001E-4</v>
      </c>
      <c r="F36" s="19" t="s">
        <v>51</v>
      </c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4:12" ht="13.2" x14ac:dyDescent="0.25">
      <c r="D37" s="19" t="s">
        <v>87</v>
      </c>
      <c r="E37" s="21">
        <v>0.43</v>
      </c>
      <c r="F37" s="19"/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4:12" ht="13.2" x14ac:dyDescent="0.25">
      <c r="D38" s="19" t="s">
        <v>53</v>
      </c>
      <c r="E38" s="27">
        <f>((E32/273)^1.5)*383*0.0001717/(110+E32)/10</f>
        <v>1.8143517291582025E-5</v>
      </c>
      <c r="F38" s="19" t="s">
        <v>54</v>
      </c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4:12" ht="13.2" x14ac:dyDescent="0.25">
      <c r="D39" s="19" t="s">
        <v>55</v>
      </c>
      <c r="E39" s="21">
        <v>1</v>
      </c>
      <c r="F39" s="19" t="s">
        <v>70</v>
      </c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4:12" ht="15.6" x14ac:dyDescent="0.25">
      <c r="D40" s="19" t="s">
        <v>56</v>
      </c>
      <c r="E40" s="26">
        <v>9.81</v>
      </c>
      <c r="F40" s="19" t="s">
        <v>63</v>
      </c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4:12" x14ac:dyDescent="0.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4:12" x14ac:dyDescent="0.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4:12" x14ac:dyDescent="0.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4:12" x14ac:dyDescent="0.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4:12" x14ac:dyDescent="0.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4:12" x14ac:dyDescent="0.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4:12" x14ac:dyDescent="0.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4:12" x14ac:dyDescent="0.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 x14ac:dyDescent="0.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 x14ac:dyDescent="0.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 x14ac:dyDescent="0.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 x14ac:dyDescent="0.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 x14ac:dyDescent="0.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 x14ac:dyDescent="0.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 x14ac:dyDescent="0.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 x14ac:dyDescent="0.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 x14ac:dyDescent="0.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 x14ac:dyDescent="0.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 x14ac:dyDescent="0.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 x14ac:dyDescent="0.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 x14ac:dyDescent="0.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 x14ac:dyDescent="0.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 x14ac:dyDescent="0.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 x14ac:dyDescent="0.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 x14ac:dyDescent="0.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 x14ac:dyDescent="0.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 x14ac:dyDescent="0.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 x14ac:dyDescent="0.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 x14ac:dyDescent="0.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 x14ac:dyDescent="0.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 x14ac:dyDescent="0.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 x14ac:dyDescent="0.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 x14ac:dyDescent="0.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 x14ac:dyDescent="0.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 x14ac:dyDescent="0.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 x14ac:dyDescent="0.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 x14ac:dyDescent="0.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 x14ac:dyDescent="0.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 x14ac:dyDescent="0.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 x14ac:dyDescent="0.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 x14ac:dyDescent="0.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 x14ac:dyDescent="0.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 x14ac:dyDescent="0.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 x14ac:dyDescent="0.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 x14ac:dyDescent="0.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 x14ac:dyDescent="0.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 x14ac:dyDescent="0.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 x14ac:dyDescent="0.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 x14ac:dyDescent="0.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 x14ac:dyDescent="0.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 x14ac:dyDescent="0.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 x14ac:dyDescent="0.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 x14ac:dyDescent="0.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 x14ac:dyDescent="0.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 x14ac:dyDescent="0.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 x14ac:dyDescent="0.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 x14ac:dyDescent="0.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 x14ac:dyDescent="0.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 x14ac:dyDescent="0.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 x14ac:dyDescent="0.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 x14ac:dyDescent="0.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 x14ac:dyDescent="0.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 x14ac:dyDescent="0.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 x14ac:dyDescent="0.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 x14ac:dyDescent="0.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 x14ac:dyDescent="0.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 x14ac:dyDescent="0.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 x14ac:dyDescent="0.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 x14ac:dyDescent="0.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 x14ac:dyDescent="0.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 x14ac:dyDescent="0.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 x14ac:dyDescent="0.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 x14ac:dyDescent="0.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 x14ac:dyDescent="0.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 x14ac:dyDescent="0.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 x14ac:dyDescent="0.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 x14ac:dyDescent="0.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 x14ac:dyDescent="0.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 x14ac:dyDescent="0.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 x14ac:dyDescent="0.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 x14ac:dyDescent="0.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 x14ac:dyDescent="0.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 x14ac:dyDescent="0.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 x14ac:dyDescent="0.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 x14ac:dyDescent="0.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 x14ac:dyDescent="0.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 x14ac:dyDescent="0.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 x14ac:dyDescent="0.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 x14ac:dyDescent="0.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 x14ac:dyDescent="0.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 x14ac:dyDescent="0.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 x14ac:dyDescent="0.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 x14ac:dyDescent="0.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 x14ac:dyDescent="0.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 x14ac:dyDescent="0.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 x14ac:dyDescent="0.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 x14ac:dyDescent="0.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 x14ac:dyDescent="0.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 x14ac:dyDescent="0.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 x14ac:dyDescent="0.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 x14ac:dyDescent="0.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 x14ac:dyDescent="0.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 x14ac:dyDescent="0.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 x14ac:dyDescent="0.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 x14ac:dyDescent="0.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 x14ac:dyDescent="0.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 x14ac:dyDescent="0.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 x14ac:dyDescent="0.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 x14ac:dyDescent="0.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 x14ac:dyDescent="0.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 x14ac:dyDescent="0.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 x14ac:dyDescent="0.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 x14ac:dyDescent="0.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 x14ac:dyDescent="0.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 x14ac:dyDescent="0.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 x14ac:dyDescent="0.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 x14ac:dyDescent="0.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 x14ac:dyDescent="0.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 x14ac:dyDescent="0.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 x14ac:dyDescent="0.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 x14ac:dyDescent="0.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 x14ac:dyDescent="0.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 x14ac:dyDescent="0.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 x14ac:dyDescent="0.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 x14ac:dyDescent="0.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 x14ac:dyDescent="0.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 x14ac:dyDescent="0.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 x14ac:dyDescent="0.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 x14ac:dyDescent="0.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 x14ac:dyDescent="0.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 x14ac:dyDescent="0.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 x14ac:dyDescent="0.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 x14ac:dyDescent="0.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 x14ac:dyDescent="0.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 x14ac:dyDescent="0.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 x14ac:dyDescent="0.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 x14ac:dyDescent="0.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J36" sqref="J36"/>
    </sheetView>
  </sheetViews>
  <sheetFormatPr defaultRowHeight="12" x14ac:dyDescent="0.2"/>
  <cols>
    <col min="2" max="2" width="9.109375" customWidth="1"/>
    <col min="3" max="3" width="10.109375" style="48" customWidth="1"/>
  </cols>
  <sheetData>
    <row r="1" spans="1:9" x14ac:dyDescent="0.2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 x14ac:dyDescent="0.2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 x14ac:dyDescent="0.2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 x14ac:dyDescent="0.2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 x14ac:dyDescent="0.2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 x14ac:dyDescent="0.2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 x14ac:dyDescent="0.2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 x14ac:dyDescent="0.2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 x14ac:dyDescent="0.2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 x14ac:dyDescent="0.2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 x14ac:dyDescent="0.2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 x14ac:dyDescent="0.2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 x14ac:dyDescent="0.2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 x14ac:dyDescent="0.2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 x14ac:dyDescent="0.2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 x14ac:dyDescent="0.2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 x14ac:dyDescent="0.2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 x14ac:dyDescent="0.2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 x14ac:dyDescent="0.2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 x14ac:dyDescent="0.2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 x14ac:dyDescent="0.2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 x14ac:dyDescent="0.2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 x14ac:dyDescent="0.2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 x14ac:dyDescent="0.2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 x14ac:dyDescent="0.2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 x14ac:dyDescent="0.2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 x14ac:dyDescent="0.2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 x14ac:dyDescent="0.2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 x14ac:dyDescent="0.2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 x14ac:dyDescent="0.2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 x14ac:dyDescent="0.2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 x14ac:dyDescent="0.2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 x14ac:dyDescent="0.2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 x14ac:dyDescent="0.2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 x14ac:dyDescent="0.2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 x14ac:dyDescent="0.2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 x14ac:dyDescent="0.2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 x14ac:dyDescent="0.2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 x14ac:dyDescent="0.2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 x14ac:dyDescent="0.2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 x14ac:dyDescent="0.2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 x14ac:dyDescent="0.2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 x14ac:dyDescent="0.2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 x14ac:dyDescent="0.2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 x14ac:dyDescent="0.2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 x14ac:dyDescent="0.2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 x14ac:dyDescent="0.2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 x14ac:dyDescent="0.2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 x14ac:dyDescent="0.2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 x14ac:dyDescent="0.2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5" sqref="B5"/>
    </sheetView>
  </sheetViews>
  <sheetFormatPr defaultRowHeight="12" x14ac:dyDescent="0.2"/>
  <cols>
    <col min="2" max="2" width="17" customWidth="1"/>
  </cols>
  <sheetData>
    <row r="1" spans="1:21" x14ac:dyDescent="0.2">
      <c r="A1" t="s">
        <v>89</v>
      </c>
      <c r="B1">
        <v>33.700000000000003</v>
      </c>
    </row>
    <row r="2" spans="1:21" x14ac:dyDescent="0.2">
      <c r="A2" t="s">
        <v>90</v>
      </c>
      <c r="B2">
        <v>4.0800000000000003E-2</v>
      </c>
    </row>
    <row r="3" spans="1:21" x14ac:dyDescent="0.2">
      <c r="A3" t="s">
        <v>91</v>
      </c>
      <c r="B3">
        <f>(B28^3*B26)*(B27-B26)*9.81/(B30^2)</f>
        <v>11994.87137546046</v>
      </c>
    </row>
    <row r="4" spans="1:21" x14ac:dyDescent="0.2">
      <c r="A4" t="s">
        <v>92</v>
      </c>
      <c r="B4">
        <f>SQRT(B1^2+B2*B3)-B1</f>
        <v>6.6122903358118208</v>
      </c>
    </row>
    <row r="5" spans="1:21" x14ac:dyDescent="0.2">
      <c r="A5" t="s">
        <v>93</v>
      </c>
      <c r="B5">
        <f>B4*B30/B28/B26</f>
        <v>0.19891739530682484</v>
      </c>
      <c r="C5" t="s">
        <v>98</v>
      </c>
    </row>
    <row r="6" spans="1:21" x14ac:dyDescent="0.2">
      <c r="B6">
        <f>B5*100</f>
        <v>19.891739530682486</v>
      </c>
      <c r="C6" t="s">
        <v>99</v>
      </c>
    </row>
    <row r="8" spans="1:21" x14ac:dyDescent="0.2">
      <c r="P8" s="67" t="s">
        <v>94</v>
      </c>
      <c r="Q8" s="67"/>
      <c r="R8" s="67"/>
      <c r="S8" s="67"/>
      <c r="T8" s="67"/>
      <c r="U8" s="67"/>
    </row>
    <row r="9" spans="1:21" x14ac:dyDescent="0.2">
      <c r="P9" s="67"/>
      <c r="Q9" s="67"/>
      <c r="R9" s="67"/>
      <c r="S9" s="67"/>
      <c r="T9" s="67"/>
      <c r="U9" s="67"/>
    </row>
    <row r="10" spans="1:21" x14ac:dyDescent="0.2">
      <c r="P10" s="67"/>
      <c r="Q10" s="67"/>
      <c r="R10" s="67"/>
      <c r="S10" s="67"/>
      <c r="T10" s="67"/>
      <c r="U10" s="67"/>
    </row>
    <row r="11" spans="1:21" x14ac:dyDescent="0.2">
      <c r="P11" s="67"/>
      <c r="Q11" s="67"/>
      <c r="R11" s="67"/>
      <c r="S11" s="67"/>
      <c r="T11" s="67"/>
      <c r="U11" s="67"/>
    </row>
    <row r="23" spans="1:5" ht="13.2" x14ac:dyDescent="0.25">
      <c r="A23" s="17" t="s">
        <v>69</v>
      </c>
      <c r="B23" s="44" t="s">
        <v>68</v>
      </c>
      <c r="C23" s="17"/>
      <c r="D23" s="17"/>
      <c r="E23" s="17"/>
    </row>
    <row r="24" spans="1:5" ht="13.2" x14ac:dyDescent="0.25">
      <c r="A24" s="17" t="s">
        <v>64</v>
      </c>
      <c r="B24" s="17">
        <v>293</v>
      </c>
      <c r="C24" s="17" t="s">
        <v>67</v>
      </c>
      <c r="D24" s="17"/>
      <c r="E24" s="17"/>
    </row>
    <row r="25" spans="1:5" ht="13.2" x14ac:dyDescent="0.25">
      <c r="A25" s="17" t="s">
        <v>65</v>
      </c>
      <c r="B25" s="17">
        <v>1</v>
      </c>
      <c r="C25" s="17" t="s">
        <v>66</v>
      </c>
      <c r="D25" s="17"/>
      <c r="E25" s="17"/>
    </row>
    <row r="26" spans="1:5" ht="16.8" x14ac:dyDescent="0.35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 x14ac:dyDescent="0.35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 x14ac:dyDescent="0.35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 x14ac:dyDescent="0.25">
      <c r="A29" s="45" t="s">
        <v>87</v>
      </c>
      <c r="B29" s="46">
        <v>0.43</v>
      </c>
      <c r="C29" s="19"/>
      <c r="D29" s="19"/>
      <c r="E29" s="19"/>
    </row>
    <row r="30" spans="1:5" ht="13.2" x14ac:dyDescent="0.25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 x14ac:dyDescent="0.25">
      <c r="A31" s="19" t="s">
        <v>55</v>
      </c>
      <c r="B31" s="21">
        <v>1</v>
      </c>
      <c r="C31" s="19" t="s">
        <v>70</v>
      </c>
      <c r="D31" s="19"/>
      <c r="E31" s="19"/>
    </row>
    <row r="32" spans="1:5" ht="15.6" x14ac:dyDescent="0.25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 x14ac:dyDescent="0.2"/>
  <cols>
    <col min="2" max="2" width="12.88671875" customWidth="1"/>
  </cols>
  <sheetData>
    <row r="2" spans="1:3" x14ac:dyDescent="0.2">
      <c r="A2" t="s">
        <v>91</v>
      </c>
      <c r="B2">
        <f>B22^3*B20*(B21-B20)*9.81/B24^2</f>
        <v>11994.87137546046</v>
      </c>
    </row>
    <row r="3" spans="1:3" x14ac:dyDescent="0.2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 x14ac:dyDescent="0.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 x14ac:dyDescent="0.3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 x14ac:dyDescent="0.25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 x14ac:dyDescent="0.35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 x14ac:dyDescent="0.35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 x14ac:dyDescent="0.25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 x14ac:dyDescent="0.25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 x14ac:dyDescent="0.25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 x14ac:dyDescent="0.25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 x14ac:dyDescent="0.35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 x14ac:dyDescent="0.35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 x14ac:dyDescent="0.35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 x14ac:dyDescent="0.25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 x14ac:dyDescent="0.25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 x14ac:dyDescent="0.25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 x14ac:dyDescent="0.25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 x14ac:dyDescent="0.2">
      <c r="B23" s="68" t="s">
        <v>86</v>
      </c>
      <c r="C23" s="68"/>
      <c r="D23" s="68"/>
      <c r="E23" s="68"/>
      <c r="F23" s="68"/>
      <c r="G23" s="68"/>
      <c r="H23" s="68"/>
    </row>
    <row r="24" spans="1:17" x14ac:dyDescent="0.2">
      <c r="B24" s="68"/>
      <c r="C24" s="68"/>
      <c r="D24" s="68"/>
      <c r="E24" s="68"/>
      <c r="F24" s="68"/>
      <c r="G24" s="68"/>
      <c r="H24" s="68"/>
    </row>
    <row r="36" spans="20:20" x14ac:dyDescent="0.2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 x14ac:dyDescent="0.2"/>
  <sheetData>
    <row r="2" spans="1:17" x14ac:dyDescent="0.2">
      <c r="A2" t="s">
        <v>91</v>
      </c>
      <c r="B2">
        <f>B22^3*B20*(B21-B20)*9.81/B24^2</f>
        <v>11994.87137546046</v>
      </c>
    </row>
    <row r="3" spans="1:17" x14ac:dyDescent="0.2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 x14ac:dyDescent="0.2">
      <c r="Q9" s="64" t="s">
        <v>136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 x14ac:dyDescent="0.2"/>
  <cols>
    <col min="2" max="2" width="5.109375" customWidth="1"/>
    <col min="3" max="3" width="11.33203125" customWidth="1"/>
    <col min="6" max="6" width="19.33203125" bestFit="1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 x14ac:dyDescent="0.25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 x14ac:dyDescent="0.25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 x14ac:dyDescent="0.25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 x14ac:dyDescent="0.25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 x14ac:dyDescent="0.3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 x14ac:dyDescent="0.25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 x14ac:dyDescent="0.35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 x14ac:dyDescent="0.25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 x14ac:dyDescent="0.25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 x14ac:dyDescent="0.25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 x14ac:dyDescent="0.25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 x14ac:dyDescent="0.35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 x14ac:dyDescent="0.35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 x14ac:dyDescent="0.35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 x14ac:dyDescent="0.25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 x14ac:dyDescent="0.25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 x14ac:dyDescent="0.25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 x14ac:dyDescent="0.25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 x14ac:dyDescent="0.2">
      <c r="B24" s="68" t="s">
        <v>78</v>
      </c>
      <c r="C24" s="68"/>
      <c r="D24" s="68"/>
      <c r="E24" s="68"/>
      <c r="F24" s="68"/>
      <c r="G24" s="68"/>
      <c r="H24" s="68"/>
    </row>
    <row r="25" spans="1:14" x14ac:dyDescent="0.2">
      <c r="B25" s="68"/>
      <c r="C25" s="68"/>
      <c r="D25" s="68"/>
      <c r="E25" s="68"/>
      <c r="F25" s="68"/>
      <c r="G25" s="68"/>
      <c r="H25" s="68"/>
    </row>
    <row r="26" spans="1:14" x14ac:dyDescent="0.2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B10" sqref="B10:D19"/>
    </sheetView>
  </sheetViews>
  <sheetFormatPr defaultRowHeight="12" x14ac:dyDescent="0.2"/>
  <cols>
    <col min="3" max="3" width="15.6640625" customWidth="1"/>
  </cols>
  <sheetData>
    <row r="3" spans="2:14" ht="13.2" x14ac:dyDescent="0.25">
      <c r="B3" s="38" t="s">
        <v>93</v>
      </c>
      <c r="C3" s="41">
        <v>0.16539999999999999</v>
      </c>
      <c r="D3" s="35"/>
    </row>
    <row r="4" spans="2:14" ht="13.2" x14ac:dyDescent="0.25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 x14ac:dyDescent="0.35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 x14ac:dyDescent="0.25">
      <c r="B7" s="19"/>
      <c r="C7" s="17"/>
      <c r="D7" s="17"/>
      <c r="E7" s="17"/>
      <c r="F7" s="17"/>
      <c r="G7" s="17"/>
      <c r="H7" s="17"/>
    </row>
    <row r="8" spans="2:14" ht="15.6" x14ac:dyDescent="0.35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 x14ac:dyDescent="0.25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 x14ac:dyDescent="0.25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 x14ac:dyDescent="0.25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 x14ac:dyDescent="0.25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 x14ac:dyDescent="0.35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 x14ac:dyDescent="0.35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 x14ac:dyDescent="0.35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 x14ac:dyDescent="0.25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 x14ac:dyDescent="0.25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 x14ac:dyDescent="0.25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 x14ac:dyDescent="0.25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 x14ac:dyDescent="0.2">
      <c r="B23" s="68" t="s">
        <v>86</v>
      </c>
      <c r="C23" s="68"/>
      <c r="D23" s="68"/>
      <c r="E23" s="68"/>
      <c r="F23" s="68"/>
      <c r="G23" s="68"/>
      <c r="H23" s="68"/>
    </row>
    <row r="24" spans="2:8" x14ac:dyDescent="0.2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7" workbookViewId="0">
      <selection activeCell="F39" sqref="F39"/>
    </sheetView>
  </sheetViews>
  <sheetFormatPr defaultColWidth="14.44140625" defaultRowHeight="15" customHeight="1" x14ac:dyDescent="0.2"/>
  <cols>
    <col min="1" max="2" width="8" customWidth="1"/>
    <col min="3" max="3" width="16.109375" customWidth="1"/>
    <col min="4" max="26" width="8" customWidth="1"/>
  </cols>
  <sheetData>
    <row r="1" spans="2:5" ht="12" customHeight="1" x14ac:dyDescent="0.2"/>
    <row r="2" spans="2:5" ht="12" customHeight="1" x14ac:dyDescent="0.2"/>
    <row r="3" spans="2:5" ht="12" customHeight="1" x14ac:dyDescent="0.2"/>
    <row r="4" spans="2:5" ht="12" customHeight="1" x14ac:dyDescent="0.2"/>
    <row r="5" spans="2:5" ht="12" customHeight="1" x14ac:dyDescent="0.2"/>
    <row r="6" spans="2:5" ht="12" customHeight="1" x14ac:dyDescent="0.2"/>
    <row r="7" spans="2:5" ht="12" customHeight="1" x14ac:dyDescent="0.2"/>
    <row r="8" spans="2:5" ht="12" customHeight="1" x14ac:dyDescent="0.3">
      <c r="B8" s="13" t="s">
        <v>45</v>
      </c>
      <c r="C8" s="13">
        <v>0.02</v>
      </c>
    </row>
    <row r="9" spans="2:5" ht="12" customHeight="1" x14ac:dyDescent="0.2"/>
    <row r="10" spans="2:5" ht="12" customHeight="1" x14ac:dyDescent="0.3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 x14ac:dyDescent="0.3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 x14ac:dyDescent="0.3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 x14ac:dyDescent="0.3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 x14ac:dyDescent="0.3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 x14ac:dyDescent="0.3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 x14ac:dyDescent="0.3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 x14ac:dyDescent="0.3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 x14ac:dyDescent="0.3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 x14ac:dyDescent="0.3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 x14ac:dyDescent="0.3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 x14ac:dyDescent="0.3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 x14ac:dyDescent="0.3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 x14ac:dyDescent="0.3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 x14ac:dyDescent="0.3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 x14ac:dyDescent="0.3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 x14ac:dyDescent="0.3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 x14ac:dyDescent="0.3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 x14ac:dyDescent="0.3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 x14ac:dyDescent="0.3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 x14ac:dyDescent="0.3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 x14ac:dyDescent="0.3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 x14ac:dyDescent="0.3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 x14ac:dyDescent="0.3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 x14ac:dyDescent="0.3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 x14ac:dyDescent="0.3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 x14ac:dyDescent="0.3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 x14ac:dyDescent="0.3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 x14ac:dyDescent="0.3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 x14ac:dyDescent="0.3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 x14ac:dyDescent="0.3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 x14ac:dyDescent="0.3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 x14ac:dyDescent="0.2"/>
    <row r="43" spans="2:5" ht="12" customHeight="1" x14ac:dyDescent="0.2"/>
    <row r="44" spans="2:5" ht="12" customHeight="1" x14ac:dyDescent="0.2"/>
    <row r="45" spans="2:5" ht="12" customHeight="1" x14ac:dyDescent="0.2"/>
    <row r="46" spans="2:5" ht="12" customHeight="1" x14ac:dyDescent="0.2"/>
    <row r="47" spans="2:5" ht="12" customHeight="1" x14ac:dyDescent="0.2"/>
    <row r="48" spans="2:5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J18"/>
  <sheetViews>
    <sheetView zoomScale="130" zoomScaleNormal="130" workbookViewId="0">
      <selection activeCell="C9" sqref="C9"/>
    </sheetView>
  </sheetViews>
  <sheetFormatPr defaultRowHeight="12" x14ac:dyDescent="0.2"/>
  <cols>
    <col min="2" max="2" width="15.21875" customWidth="1"/>
    <col min="7" max="7" width="15.77734375" customWidth="1"/>
  </cols>
  <sheetData>
    <row r="3" spans="2:10" ht="14.4" x14ac:dyDescent="0.3">
      <c r="B3" s="35"/>
      <c r="C3" s="36" t="s">
        <v>81</v>
      </c>
      <c r="D3" s="35"/>
      <c r="H3" s="63" t="s">
        <v>132</v>
      </c>
    </row>
    <row r="4" spans="2:10" ht="14.4" x14ac:dyDescent="0.3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10" x14ac:dyDescent="0.2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10" x14ac:dyDescent="0.2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10" x14ac:dyDescent="0.2">
      <c r="B7" s="35"/>
      <c r="C7" s="35"/>
      <c r="D7" s="35"/>
      <c r="H7">
        <f>'nUmf~'!L4</f>
        <v>1.524451106058452</v>
      </c>
    </row>
    <row r="8" spans="2:10" ht="15.6" x14ac:dyDescent="0.35">
      <c r="B8" s="38" t="s">
        <v>82</v>
      </c>
      <c r="C8" s="39">
        <f>AVERAGE(C4:C6)</f>
        <v>23.009645846749208</v>
      </c>
      <c r="D8" s="35" t="s">
        <v>23</v>
      </c>
    </row>
    <row r="9" spans="2:10" x14ac:dyDescent="0.2">
      <c r="B9" s="35"/>
      <c r="C9" s="35">
        <f>C8/100</f>
        <v>0.23009645846749208</v>
      </c>
      <c r="D9" s="35" t="s">
        <v>98</v>
      </c>
    </row>
    <row r="10" spans="2:10" ht="15.6" x14ac:dyDescent="0.35">
      <c r="B10" s="40" t="s">
        <v>83</v>
      </c>
      <c r="C10" s="41">
        <f>3*$C$8</f>
        <v>69.028937540247625</v>
      </c>
      <c r="D10" s="42" t="s">
        <v>23</v>
      </c>
    </row>
    <row r="11" spans="2:10" ht="15.6" x14ac:dyDescent="0.35">
      <c r="B11" s="40" t="s">
        <v>84</v>
      </c>
      <c r="C11" s="41">
        <f>4*$C$8</f>
        <v>92.038583386996834</v>
      </c>
      <c r="D11" s="42" t="s">
        <v>23</v>
      </c>
    </row>
    <row r="12" spans="2:10" ht="15.6" x14ac:dyDescent="0.35">
      <c r="B12" s="40" t="s">
        <v>85</v>
      </c>
      <c r="C12" s="41">
        <f>5*$C$8</f>
        <v>115.04822923374604</v>
      </c>
      <c r="D12" s="42" t="s">
        <v>23</v>
      </c>
      <c r="J12" t="s">
        <v>470</v>
      </c>
    </row>
    <row r="13" spans="2:10" ht="15.6" x14ac:dyDescent="0.35">
      <c r="B13" s="40" t="s">
        <v>464</v>
      </c>
      <c r="C13">
        <f>C8*7</f>
        <v>161.06752092724446</v>
      </c>
    </row>
    <row r="14" spans="2:10" ht="15.6" x14ac:dyDescent="0.35">
      <c r="B14" s="40" t="s">
        <v>465</v>
      </c>
      <c r="C14">
        <f>C8*9</f>
        <v>207.08681262074288</v>
      </c>
    </row>
    <row r="15" spans="2:10" ht="15.6" x14ac:dyDescent="0.35">
      <c r="B15" s="40" t="s">
        <v>466</v>
      </c>
      <c r="C15">
        <f>C8*11</f>
        <v>253.10610431424129</v>
      </c>
    </row>
    <row r="16" spans="2:10" ht="15.6" x14ac:dyDescent="0.35">
      <c r="B16" s="40" t="s">
        <v>467</v>
      </c>
      <c r="C16">
        <f>C8*13</f>
        <v>299.12539600773971</v>
      </c>
    </row>
    <row r="17" spans="2:3" ht="15.6" x14ac:dyDescent="0.35">
      <c r="B17" s="40" t="s">
        <v>468</v>
      </c>
      <c r="C17">
        <f>15*C8</f>
        <v>345.14468770123813</v>
      </c>
    </row>
    <row r="18" spans="2:3" ht="13.2" x14ac:dyDescent="0.25">
      <c r="B18" s="40"/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nUmf~</vt:lpstr>
      <vt:lpstr>Datasheet</vt:lpstr>
      <vt:lpstr>Umf+Ut~Simulationvalues</vt:lpstr>
      <vt:lpstr>Sim_CASES</vt:lpstr>
      <vt:lpstr>CASES_STEP</vt:lpstr>
      <vt:lpstr>V_DP</vt:lpstr>
      <vt:lpstr>h_bed-dp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2020-10-12T04:07:01Z</dcterms:modified>
</cp:coreProperties>
</file>