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615"/>
  </bookViews>
  <sheets>
    <sheet name="final" sheetId="13" r:id="rId1"/>
    <sheet name="m4.10xlarge" sheetId="4" r:id="rId2"/>
    <sheet name="m3.large" sheetId="1" r:id="rId3"/>
    <sheet name="m3.2xlarge" sheetId="5" r:id="rId4"/>
    <sheet name="c3.8xlarge" sheetId="8" r:id="rId5"/>
    <sheet name="g2.2xlarge" sheetId="7" r:id="rId6"/>
    <sheet name="r3.4xlarge" sheetId="9" r:id="rId7"/>
    <sheet name="i2.8xlarge" sheetId="10" r:id="rId8"/>
    <sheet name="d2.8xlarge" sheetId="12" r:id="rId9"/>
  </sheets>
  <calcPr calcId="144525"/>
</workbook>
</file>

<file path=xl/calcChain.xml><?xml version="1.0" encoding="utf-8"?>
<calcChain xmlns="http://schemas.openxmlformats.org/spreadsheetml/2006/main">
  <c r="M23" i="13" l="1"/>
  <c r="M24" i="13"/>
  <c r="M25" i="13"/>
  <c r="M26" i="13"/>
  <c r="M27" i="13"/>
  <c r="M28" i="13"/>
  <c r="M29" i="13"/>
  <c r="M30" i="13"/>
  <c r="M33" i="13"/>
  <c r="M34" i="13"/>
  <c r="M35" i="13"/>
  <c r="M36" i="13"/>
  <c r="M37" i="13"/>
  <c r="M38" i="13"/>
  <c r="M39" i="13"/>
  <c r="M40" i="13"/>
  <c r="M43" i="13"/>
  <c r="M44" i="13"/>
  <c r="M45" i="13"/>
  <c r="M46" i="13"/>
  <c r="M47" i="13"/>
  <c r="M48" i="13"/>
  <c r="M49" i="13"/>
  <c r="M50" i="13"/>
  <c r="M53" i="13"/>
  <c r="M54" i="13"/>
  <c r="M55" i="13"/>
  <c r="M56" i="13"/>
  <c r="M57" i="13"/>
  <c r="M58" i="13"/>
  <c r="M59" i="13"/>
  <c r="M60" i="13"/>
  <c r="M63" i="13"/>
  <c r="M64" i="13"/>
  <c r="M65" i="13"/>
  <c r="M66" i="13"/>
  <c r="M67" i="13"/>
  <c r="M68" i="13"/>
  <c r="M69" i="13"/>
  <c r="M70" i="13"/>
  <c r="M73" i="13"/>
  <c r="M74" i="13"/>
  <c r="M75" i="13"/>
  <c r="M76" i="13"/>
  <c r="M77" i="13"/>
  <c r="M78" i="13"/>
  <c r="M79" i="13"/>
  <c r="M80" i="13"/>
  <c r="M83" i="13"/>
  <c r="M84" i="13"/>
  <c r="M85" i="13"/>
  <c r="M86" i="13"/>
  <c r="M87" i="13"/>
  <c r="M88" i="13"/>
  <c r="M89" i="13"/>
  <c r="M90" i="13"/>
  <c r="M15" i="13"/>
  <c r="M16" i="13"/>
  <c r="M17" i="13"/>
  <c r="M18" i="13"/>
  <c r="M19" i="13"/>
  <c r="M20" i="13"/>
  <c r="M14" i="13"/>
  <c r="L14" i="13" l="1"/>
  <c r="L15" i="13"/>
  <c r="L16" i="13"/>
  <c r="L17" i="13"/>
  <c r="L18" i="13"/>
  <c r="L19" i="13"/>
  <c r="L20" i="13"/>
  <c r="L85" i="13"/>
  <c r="L86" i="13"/>
  <c r="L87" i="13"/>
  <c r="L88" i="13"/>
  <c r="L89" i="13"/>
  <c r="L90" i="13"/>
  <c r="L75" i="13"/>
  <c r="L76" i="13"/>
  <c r="L77" i="13"/>
  <c r="L78" i="13"/>
  <c r="L79" i="13"/>
  <c r="L80" i="13"/>
  <c r="L65" i="13"/>
  <c r="L66" i="13"/>
  <c r="L67" i="13"/>
  <c r="L68" i="13"/>
  <c r="L69" i="13"/>
  <c r="L70" i="13"/>
  <c r="L55" i="13"/>
  <c r="L56" i="13"/>
  <c r="L57" i="13"/>
  <c r="L58" i="13"/>
  <c r="L59" i="13"/>
  <c r="L60" i="13"/>
  <c r="L45" i="13"/>
  <c r="L46" i="13"/>
  <c r="L47" i="13"/>
  <c r="L48" i="13"/>
  <c r="L49" i="13"/>
  <c r="L50" i="13"/>
  <c r="L35" i="13"/>
  <c r="L36" i="13"/>
  <c r="L37" i="13"/>
  <c r="L38" i="13"/>
  <c r="L39" i="13"/>
  <c r="L40" i="13"/>
  <c r="L25" i="13"/>
  <c r="L26" i="13"/>
  <c r="L27" i="13"/>
  <c r="L28" i="13"/>
  <c r="L29" i="13"/>
  <c r="L30" i="13"/>
  <c r="L44" i="13"/>
  <c r="L84" i="13"/>
  <c r="L74" i="13"/>
  <c r="L64" i="13"/>
  <c r="L54" i="13"/>
  <c r="L34" i="13"/>
  <c r="L24" i="13"/>
  <c r="D8" i="1"/>
  <c r="B90" i="13"/>
  <c r="E90" i="13" s="1"/>
  <c r="H85" i="13"/>
  <c r="H86" i="13"/>
  <c r="H87" i="13"/>
  <c r="H88" i="13"/>
  <c r="H84" i="13"/>
  <c r="E85" i="13"/>
  <c r="E86" i="13"/>
  <c r="E87" i="13"/>
  <c r="E88" i="13"/>
  <c r="E89" i="13"/>
  <c r="E84" i="13"/>
  <c r="B85" i="13"/>
  <c r="I85" i="13" s="1"/>
  <c r="B86" i="13"/>
  <c r="B87" i="13"/>
  <c r="C87" i="13" s="1"/>
  <c r="F87" i="13" s="1"/>
  <c r="B88" i="13"/>
  <c r="B89" i="13"/>
  <c r="D89" i="13" s="1"/>
  <c r="H89" i="13" s="1"/>
  <c r="B84" i="13"/>
  <c r="C89" i="13"/>
  <c r="I88" i="13"/>
  <c r="C88" i="13"/>
  <c r="F88" i="13" s="1"/>
  <c r="I87" i="13"/>
  <c r="I86" i="13"/>
  <c r="C85" i="13"/>
  <c r="F85" i="13" s="1"/>
  <c r="I84" i="13"/>
  <c r="G84" i="13"/>
  <c r="C84" i="13"/>
  <c r="F84" i="13" s="1"/>
  <c r="H75" i="13"/>
  <c r="H76" i="13"/>
  <c r="H77" i="13"/>
  <c r="H78" i="13"/>
  <c r="H74" i="13"/>
  <c r="F78" i="13"/>
  <c r="E75" i="13"/>
  <c r="E76" i="13"/>
  <c r="E77" i="13"/>
  <c r="E78" i="13"/>
  <c r="E79" i="13"/>
  <c r="E80" i="13"/>
  <c r="E74" i="13"/>
  <c r="C74" i="13"/>
  <c r="B75" i="13"/>
  <c r="I75" i="13" s="1"/>
  <c r="B76" i="13"/>
  <c r="B77" i="13"/>
  <c r="C77" i="13" s="1"/>
  <c r="F77" i="13" s="1"/>
  <c r="B78" i="13"/>
  <c r="B79" i="13"/>
  <c r="D79" i="13" s="1"/>
  <c r="H79" i="13" s="1"/>
  <c r="B80" i="13"/>
  <c r="I80" i="13" s="1"/>
  <c r="B74" i="13"/>
  <c r="C80" i="13"/>
  <c r="D80" i="13"/>
  <c r="H80" i="13" s="1"/>
  <c r="I78" i="13"/>
  <c r="C78" i="13"/>
  <c r="I77" i="13"/>
  <c r="I76" i="13"/>
  <c r="C75" i="13"/>
  <c r="F75" i="13" s="1"/>
  <c r="H65" i="13"/>
  <c r="H66" i="13"/>
  <c r="H64" i="13"/>
  <c r="E65" i="13"/>
  <c r="E66" i="13"/>
  <c r="E67" i="13"/>
  <c r="E68" i="13"/>
  <c r="E69" i="13"/>
  <c r="E70" i="13"/>
  <c r="E64" i="13"/>
  <c r="B65" i="13"/>
  <c r="C65" i="13" s="1"/>
  <c r="F65" i="13" s="1"/>
  <c r="B66" i="13"/>
  <c r="B67" i="13"/>
  <c r="B68" i="13"/>
  <c r="B69" i="13"/>
  <c r="C69" i="13" s="1"/>
  <c r="B70" i="13"/>
  <c r="B64" i="13"/>
  <c r="I64" i="13" s="1"/>
  <c r="C70" i="13"/>
  <c r="I70" i="13"/>
  <c r="D69" i="13"/>
  <c r="H69" i="13" s="1"/>
  <c r="C68" i="13"/>
  <c r="I68" i="13"/>
  <c r="I67" i="13"/>
  <c r="D67" i="13"/>
  <c r="H67" i="13" s="1"/>
  <c r="I66" i="13"/>
  <c r="I65" i="13"/>
  <c r="H55" i="13"/>
  <c r="H56" i="13"/>
  <c r="H54" i="13"/>
  <c r="E55" i="13"/>
  <c r="E56" i="13"/>
  <c r="E57" i="13"/>
  <c r="E58" i="13"/>
  <c r="E59" i="13"/>
  <c r="E60" i="13"/>
  <c r="E54" i="13"/>
  <c r="B55" i="13"/>
  <c r="I55" i="13" s="1"/>
  <c r="B56" i="13"/>
  <c r="I56" i="13" s="1"/>
  <c r="B57" i="13"/>
  <c r="B58" i="13"/>
  <c r="B59" i="13"/>
  <c r="I59" i="13" s="1"/>
  <c r="B60" i="13"/>
  <c r="B54" i="13"/>
  <c r="C60" i="13"/>
  <c r="I60" i="13"/>
  <c r="D59" i="13"/>
  <c r="H59" i="13" s="1"/>
  <c r="C59" i="13"/>
  <c r="I58" i="13"/>
  <c r="C58" i="13"/>
  <c r="D58" i="13"/>
  <c r="H58" i="13" s="1"/>
  <c r="I57" i="13"/>
  <c r="D57" i="13"/>
  <c r="H57" i="13" s="1"/>
  <c r="C57" i="13"/>
  <c r="C55" i="13"/>
  <c r="F55" i="13" s="1"/>
  <c r="H45" i="13"/>
  <c r="H46" i="13"/>
  <c r="H47" i="13"/>
  <c r="H48" i="13"/>
  <c r="H44" i="13"/>
  <c r="F45" i="13"/>
  <c r="F47" i="13"/>
  <c r="E45" i="13"/>
  <c r="E46" i="13"/>
  <c r="E47" i="13"/>
  <c r="E48" i="13"/>
  <c r="E49" i="13"/>
  <c r="E50" i="13"/>
  <c r="E44" i="13"/>
  <c r="B45" i="13"/>
  <c r="B46" i="13"/>
  <c r="B47" i="13"/>
  <c r="I47" i="13" s="1"/>
  <c r="B48" i="13"/>
  <c r="B49" i="13"/>
  <c r="D49" i="13" s="1"/>
  <c r="H49" i="13" s="1"/>
  <c r="B50" i="13"/>
  <c r="C50" i="13" s="1"/>
  <c r="B44" i="13"/>
  <c r="C44" i="13" s="1"/>
  <c r="F44" i="13" s="1"/>
  <c r="C48" i="13"/>
  <c r="F48" i="13" s="1"/>
  <c r="C47" i="13"/>
  <c r="I46" i="13"/>
  <c r="C46" i="13"/>
  <c r="F46" i="13" s="1"/>
  <c r="I45" i="13"/>
  <c r="C45" i="13"/>
  <c r="I35" i="13"/>
  <c r="I36" i="13"/>
  <c r="I37" i="13"/>
  <c r="I38" i="13"/>
  <c r="I39" i="13"/>
  <c r="I40" i="13"/>
  <c r="I34" i="13"/>
  <c r="H35" i="13"/>
  <c r="H36" i="13"/>
  <c r="H38" i="13"/>
  <c r="H40" i="13"/>
  <c r="H34" i="13"/>
  <c r="E35" i="13"/>
  <c r="E36" i="13"/>
  <c r="E37" i="13"/>
  <c r="E38" i="13"/>
  <c r="E39" i="13"/>
  <c r="E40" i="13"/>
  <c r="E34" i="13"/>
  <c r="D38" i="13"/>
  <c r="D39" i="13"/>
  <c r="H39" i="13" s="1"/>
  <c r="D40" i="13"/>
  <c r="B35" i="13"/>
  <c r="B36" i="13"/>
  <c r="B37" i="13"/>
  <c r="B38" i="13"/>
  <c r="B39" i="13"/>
  <c r="C39" i="13" s="1"/>
  <c r="B40" i="13"/>
  <c r="B34" i="13"/>
  <c r="C34" i="13" s="1"/>
  <c r="F34" i="13" s="1"/>
  <c r="C40" i="13"/>
  <c r="F40" i="13" s="1"/>
  <c r="C38" i="13"/>
  <c r="F38" i="13" s="1"/>
  <c r="D37" i="13"/>
  <c r="H37" i="13" s="1"/>
  <c r="C37" i="13"/>
  <c r="F37" i="13" s="1"/>
  <c r="C36" i="13"/>
  <c r="F36" i="13" s="1"/>
  <c r="I25" i="13"/>
  <c r="I26" i="13"/>
  <c r="I27" i="13"/>
  <c r="I28" i="13"/>
  <c r="I29" i="13"/>
  <c r="I30" i="13"/>
  <c r="I24" i="13"/>
  <c r="I15" i="13"/>
  <c r="I16" i="13"/>
  <c r="I17" i="13"/>
  <c r="I18" i="13"/>
  <c r="I19" i="13"/>
  <c r="I20" i="13"/>
  <c r="I14" i="13"/>
  <c r="E25" i="13"/>
  <c r="E26" i="13"/>
  <c r="E27" i="13"/>
  <c r="E28" i="13"/>
  <c r="E29" i="13"/>
  <c r="E30" i="13"/>
  <c r="E24" i="13"/>
  <c r="D19" i="13"/>
  <c r="D27" i="13"/>
  <c r="D28" i="13"/>
  <c r="D29" i="13"/>
  <c r="D30" i="13"/>
  <c r="D26" i="13"/>
  <c r="B25" i="13"/>
  <c r="B26" i="13"/>
  <c r="B27" i="13"/>
  <c r="B28" i="13"/>
  <c r="B29" i="13"/>
  <c r="B30" i="13"/>
  <c r="B24" i="13"/>
  <c r="C24" i="13" s="1"/>
  <c r="F24" i="13" s="1"/>
  <c r="C30" i="13"/>
  <c r="C29" i="13"/>
  <c r="F29" i="13" s="1"/>
  <c r="C28" i="13"/>
  <c r="C27" i="13"/>
  <c r="F27" i="13" s="1"/>
  <c r="C26" i="13"/>
  <c r="F26" i="13" s="1"/>
  <c r="D18" i="13"/>
  <c r="H16" i="13"/>
  <c r="H17" i="13"/>
  <c r="I8" i="13"/>
  <c r="H15" i="13" s="1"/>
  <c r="I5" i="13"/>
  <c r="D9" i="12"/>
  <c r="D9" i="10"/>
  <c r="D9" i="9"/>
  <c r="D9" i="7"/>
  <c r="D9" i="8"/>
  <c r="D9" i="5"/>
  <c r="D9" i="1"/>
  <c r="H25" i="13" s="1"/>
  <c r="D9" i="4"/>
  <c r="D5" i="5"/>
  <c r="D8" i="5" s="1"/>
  <c r="D5" i="1"/>
  <c r="D6" i="1"/>
  <c r="D5" i="4"/>
  <c r="D8" i="12"/>
  <c r="D8" i="10"/>
  <c r="D8" i="9"/>
  <c r="D8" i="7"/>
  <c r="D8" i="8"/>
  <c r="D8" i="4"/>
  <c r="D4" i="12"/>
  <c r="D4" i="10"/>
  <c r="D4" i="9"/>
  <c r="D4" i="7"/>
  <c r="D4" i="8"/>
  <c r="D4" i="5"/>
  <c r="D4" i="1"/>
  <c r="D4" i="4"/>
  <c r="D6" i="9"/>
  <c r="D6" i="12"/>
  <c r="D2" i="12"/>
  <c r="D2" i="10"/>
  <c r="D2" i="9"/>
  <c r="D2" i="8"/>
  <c r="D2" i="5"/>
  <c r="D6" i="10"/>
  <c r="D6" i="7"/>
  <c r="D6" i="8"/>
  <c r="D6" i="5"/>
  <c r="E3" i="13"/>
  <c r="F3" i="13" s="1"/>
  <c r="E4" i="13"/>
  <c r="F4" i="13" s="1"/>
  <c r="E5" i="13"/>
  <c r="F5" i="13" s="1"/>
  <c r="E6" i="13"/>
  <c r="F6" i="13" s="1"/>
  <c r="E7" i="13"/>
  <c r="F7" i="13" s="1"/>
  <c r="E8" i="13"/>
  <c r="F8" i="13" s="1"/>
  <c r="E9" i="13"/>
  <c r="F9" i="13" s="1"/>
  <c r="E2" i="13"/>
  <c r="F2" i="13" s="1"/>
  <c r="C4" i="8"/>
  <c r="C6" i="12"/>
  <c r="C3" i="12"/>
  <c r="I2" i="12"/>
  <c r="F2" i="12"/>
  <c r="J2" i="12" s="1"/>
  <c r="C2" i="12" s="1"/>
  <c r="C4" i="12"/>
  <c r="C4" i="10"/>
  <c r="C6" i="10"/>
  <c r="C3" i="10"/>
  <c r="C6" i="9"/>
  <c r="C4" i="9"/>
  <c r="C6" i="7"/>
  <c r="C4" i="7"/>
  <c r="C6" i="8"/>
  <c r="C6" i="5"/>
  <c r="C4" i="5"/>
  <c r="C3" i="4"/>
  <c r="C4" i="4"/>
  <c r="I2" i="10"/>
  <c r="F2" i="10"/>
  <c r="I2" i="9"/>
  <c r="F2" i="9"/>
  <c r="I2" i="8"/>
  <c r="F2" i="8"/>
  <c r="I2" i="7"/>
  <c r="F2" i="7"/>
  <c r="I2" i="5"/>
  <c r="J2" i="5" s="1"/>
  <c r="C2" i="5" s="1"/>
  <c r="F2" i="5"/>
  <c r="J2" i="4"/>
  <c r="G2" i="4"/>
  <c r="C8" i="1"/>
  <c r="C2" i="1"/>
  <c r="I2" i="1"/>
  <c r="J2" i="1" s="1"/>
  <c r="F2" i="1"/>
  <c r="H24" i="13" l="1"/>
  <c r="H28" i="13"/>
  <c r="H29" i="13"/>
  <c r="H26" i="13"/>
  <c r="H27" i="13"/>
  <c r="H30" i="13"/>
  <c r="F80" i="13"/>
  <c r="F28" i="13"/>
  <c r="F57" i="13"/>
  <c r="F39" i="13"/>
  <c r="F30" i="13"/>
  <c r="G30" i="13" s="1"/>
  <c r="J30" i="13" s="1"/>
  <c r="K30" i="13" s="1"/>
  <c r="F59" i="13"/>
  <c r="G59" i="13" s="1"/>
  <c r="J59" i="13" s="1"/>
  <c r="K59" i="13" s="1"/>
  <c r="F69" i="13"/>
  <c r="I90" i="13"/>
  <c r="D90" i="13"/>
  <c r="H90" i="13" s="1"/>
  <c r="C90" i="13"/>
  <c r="J84" i="13"/>
  <c r="K84" i="13" s="1"/>
  <c r="G85" i="13"/>
  <c r="J85" i="13" s="1"/>
  <c r="K85" i="13" s="1"/>
  <c r="I89" i="13"/>
  <c r="F89" i="13"/>
  <c r="G89" i="13" s="1"/>
  <c r="J89" i="13" s="1"/>
  <c r="K89" i="13" s="1"/>
  <c r="G88" i="13"/>
  <c r="J88" i="13" s="1"/>
  <c r="K88" i="13" s="1"/>
  <c r="G87" i="13"/>
  <c r="J87" i="13" s="1"/>
  <c r="K87" i="13" s="1"/>
  <c r="C86" i="13"/>
  <c r="F86" i="13" s="1"/>
  <c r="G86" i="13" s="1"/>
  <c r="J86" i="13" s="1"/>
  <c r="K86" i="13" s="1"/>
  <c r="I79" i="13"/>
  <c r="C79" i="13"/>
  <c r="G80" i="13"/>
  <c r="J80" i="13" s="1"/>
  <c r="K80" i="13" s="1"/>
  <c r="I74" i="13"/>
  <c r="F74" i="13"/>
  <c r="G74" i="13" s="1"/>
  <c r="J74" i="13" s="1"/>
  <c r="K74" i="13" s="1"/>
  <c r="G78" i="13"/>
  <c r="J78" i="13" s="1"/>
  <c r="K78" i="13" s="1"/>
  <c r="G77" i="13"/>
  <c r="J77" i="13" s="1"/>
  <c r="K77" i="13" s="1"/>
  <c r="G75" i="13"/>
  <c r="J75" i="13" s="1"/>
  <c r="K75" i="13" s="1"/>
  <c r="C76" i="13"/>
  <c r="F76" i="13" s="1"/>
  <c r="C67" i="13"/>
  <c r="F67" i="13" s="1"/>
  <c r="G67" i="13" s="1"/>
  <c r="J67" i="13" s="1"/>
  <c r="K67" i="13" s="1"/>
  <c r="I69" i="13"/>
  <c r="C64" i="13"/>
  <c r="F64" i="13" s="1"/>
  <c r="G64" i="13" s="1"/>
  <c r="J64" i="13" s="1"/>
  <c r="K64" i="13" s="1"/>
  <c r="G69" i="13"/>
  <c r="J69" i="13" s="1"/>
  <c r="K69" i="13" s="1"/>
  <c r="G65" i="13"/>
  <c r="J65" i="13" s="1"/>
  <c r="K65" i="13" s="1"/>
  <c r="C66" i="13"/>
  <c r="F66" i="13" s="1"/>
  <c r="D68" i="13"/>
  <c r="H68" i="13" s="1"/>
  <c r="D70" i="13"/>
  <c r="H70" i="13" s="1"/>
  <c r="F58" i="13"/>
  <c r="I54" i="13"/>
  <c r="C54" i="13"/>
  <c r="F54" i="13" s="1"/>
  <c r="G54" i="13" s="1"/>
  <c r="J54" i="13" s="1"/>
  <c r="K54" i="13" s="1"/>
  <c r="G57" i="13"/>
  <c r="J57" i="13" s="1"/>
  <c r="K57" i="13" s="1"/>
  <c r="G58" i="13"/>
  <c r="J58" i="13" s="1"/>
  <c r="K58" i="13" s="1"/>
  <c r="G55" i="13"/>
  <c r="J55" i="13" s="1"/>
  <c r="K55" i="13" s="1"/>
  <c r="C56" i="13"/>
  <c r="F56" i="13" s="1"/>
  <c r="D60" i="13"/>
  <c r="H60" i="13" s="1"/>
  <c r="G45" i="13"/>
  <c r="J45" i="13" s="1"/>
  <c r="K45" i="13" s="1"/>
  <c r="I49" i="13"/>
  <c r="G46" i="13"/>
  <c r="J46" i="13" s="1"/>
  <c r="K46" i="13" s="1"/>
  <c r="G44" i="13"/>
  <c r="I44" i="13"/>
  <c r="D50" i="13"/>
  <c r="H50" i="13" s="1"/>
  <c r="I48" i="13"/>
  <c r="C49" i="13"/>
  <c r="F49" i="13" s="1"/>
  <c r="G49" i="13" s="1"/>
  <c r="J49" i="13" s="1"/>
  <c r="K49" i="13" s="1"/>
  <c r="I50" i="13"/>
  <c r="G47" i="13"/>
  <c r="J47" i="13" s="1"/>
  <c r="K47" i="13" s="1"/>
  <c r="G39" i="13"/>
  <c r="J39" i="13" s="1"/>
  <c r="K39" i="13" s="1"/>
  <c r="G37" i="13"/>
  <c r="J37" i="13" s="1"/>
  <c r="K37" i="13" s="1"/>
  <c r="G34" i="13"/>
  <c r="G36" i="13"/>
  <c r="J36" i="13" s="1"/>
  <c r="K36" i="13" s="1"/>
  <c r="G38" i="13"/>
  <c r="J38" i="13" s="1"/>
  <c r="K38" i="13" s="1"/>
  <c r="G40" i="13"/>
  <c r="C35" i="13"/>
  <c r="F35" i="13" s="1"/>
  <c r="G27" i="13"/>
  <c r="J27" i="13" s="1"/>
  <c r="K27" i="13" s="1"/>
  <c r="G26" i="13"/>
  <c r="G29" i="13"/>
  <c r="J29" i="13" s="1"/>
  <c r="K29" i="13" s="1"/>
  <c r="G24" i="13"/>
  <c r="J24" i="13" s="1"/>
  <c r="K24" i="13" s="1"/>
  <c r="G28" i="13"/>
  <c r="J28" i="13" s="1"/>
  <c r="K28" i="13" s="1"/>
  <c r="C25" i="13"/>
  <c r="B17" i="13"/>
  <c r="B14" i="13"/>
  <c r="B15" i="13"/>
  <c r="B16" i="13"/>
  <c r="B20" i="13"/>
  <c r="B18" i="13"/>
  <c r="B19" i="13"/>
  <c r="H14" i="13"/>
  <c r="C8" i="12"/>
  <c r="J2" i="10"/>
  <c r="C2" i="10" s="1"/>
  <c r="C8" i="10" s="1"/>
  <c r="J2" i="9"/>
  <c r="C2" i="9" s="1"/>
  <c r="C8" i="9" s="1"/>
  <c r="J2" i="7"/>
  <c r="C2" i="7" s="1"/>
  <c r="C8" i="7" s="1"/>
  <c r="J2" i="8"/>
  <c r="C2" i="8" s="1"/>
  <c r="C8" i="8" s="1"/>
  <c r="C8" i="5"/>
  <c r="K2" i="4"/>
  <c r="C2" i="4" s="1"/>
  <c r="C8" i="4" s="1"/>
  <c r="F50" i="13" l="1"/>
  <c r="F90" i="13"/>
  <c r="G90" i="13" s="1"/>
  <c r="J90" i="13" s="1"/>
  <c r="K90" i="13" s="1"/>
  <c r="F79" i="13"/>
  <c r="G79" i="13" s="1"/>
  <c r="J79" i="13" s="1"/>
  <c r="K79" i="13" s="1"/>
  <c r="F25" i="13"/>
  <c r="G25" i="13" s="1"/>
  <c r="J25" i="13" s="1"/>
  <c r="K25" i="13" s="1"/>
  <c r="G76" i="13"/>
  <c r="J76" i="13" s="1"/>
  <c r="K76" i="13" s="1"/>
  <c r="F68" i="13"/>
  <c r="G68" i="13" s="1"/>
  <c r="J68" i="13" s="1"/>
  <c r="K68" i="13" s="1"/>
  <c r="F70" i="13"/>
  <c r="G70" i="13" s="1"/>
  <c r="J70" i="13" s="1"/>
  <c r="K70" i="13" s="1"/>
  <c r="G66" i="13"/>
  <c r="J66" i="13" s="1"/>
  <c r="K66" i="13" s="1"/>
  <c r="G56" i="13"/>
  <c r="J56" i="13" s="1"/>
  <c r="K56" i="13" s="1"/>
  <c r="F60" i="13"/>
  <c r="G60" i="13" s="1"/>
  <c r="J60" i="13" s="1"/>
  <c r="K60" i="13" s="1"/>
  <c r="J44" i="13"/>
  <c r="K44" i="13" s="1"/>
  <c r="G50" i="13"/>
  <c r="J50" i="13" s="1"/>
  <c r="K50" i="13" s="1"/>
  <c r="G48" i="13"/>
  <c r="J48" i="13" s="1"/>
  <c r="K48" i="13" s="1"/>
  <c r="J40" i="13"/>
  <c r="K40" i="13" s="1"/>
  <c r="J34" i="13"/>
  <c r="K34" i="13" s="1"/>
  <c r="G35" i="13"/>
  <c r="J35" i="13" s="1"/>
  <c r="K35" i="13" s="1"/>
  <c r="J26" i="13"/>
  <c r="K26" i="13" s="1"/>
  <c r="E15" i="13"/>
  <c r="C15" i="13"/>
  <c r="F15" i="13" s="1"/>
  <c r="G15" i="13" s="1"/>
  <c r="J15" i="13" s="1"/>
  <c r="K15" i="13" s="1"/>
  <c r="C19" i="13"/>
  <c r="F19" i="13" s="1"/>
  <c r="G19" i="13" s="1"/>
  <c r="E19" i="13"/>
  <c r="H19" i="13"/>
  <c r="C18" i="13"/>
  <c r="H18" i="13"/>
  <c r="E18" i="13"/>
  <c r="E14" i="13"/>
  <c r="C14" i="13"/>
  <c r="F14" i="13" s="1"/>
  <c r="G14" i="13" s="1"/>
  <c r="J14" i="13" s="1"/>
  <c r="K14" i="13" s="1"/>
  <c r="E16" i="13"/>
  <c r="C16" i="13"/>
  <c r="F16" i="13" s="1"/>
  <c r="G16" i="13" s="1"/>
  <c r="J16" i="13" s="1"/>
  <c r="K16" i="13" s="1"/>
  <c r="D20" i="13"/>
  <c r="E20" i="13"/>
  <c r="C20" i="13"/>
  <c r="C17" i="13"/>
  <c r="F17" i="13" s="1"/>
  <c r="G17" i="13" s="1"/>
  <c r="J17" i="13" s="1"/>
  <c r="K17" i="13" s="1"/>
  <c r="E17" i="13"/>
  <c r="J19" i="13" l="1"/>
  <c r="K19" i="13" s="1"/>
  <c r="F18" i="13"/>
  <c r="G18" i="13" s="1"/>
  <c r="J18" i="13" s="1"/>
  <c r="K18" i="13" s="1"/>
  <c r="F20" i="13"/>
  <c r="G20" i="13" s="1"/>
  <c r="H20" i="13"/>
  <c r="J20" i="13" l="1"/>
  <c r="K20" i="13" s="1"/>
</calcChain>
</file>

<file path=xl/sharedStrings.xml><?xml version="1.0" encoding="utf-8"?>
<sst xmlns="http://schemas.openxmlformats.org/spreadsheetml/2006/main" count="296" uniqueCount="82">
  <si>
    <t>Device</t>
  </si>
  <si>
    <t>Details</t>
  </si>
  <si>
    <t>processor</t>
  </si>
  <si>
    <t>memory</t>
  </si>
  <si>
    <t>motherboard</t>
  </si>
  <si>
    <t>network Interface Card</t>
  </si>
  <si>
    <t>storage</t>
  </si>
  <si>
    <t xml:space="preserve">Intel BOXDX79TO LGA 2011 Intel X79 SATA 6Gb/s USB 3.0 ATX Intel Motherboard
</t>
  </si>
  <si>
    <t>Intel Xeon E5-2670 v2 Ivy Bridge-EP 2.5 GHz 25MB L3 Cache LGA 2011 115W BX80635E52670V2 Server Processor</t>
  </si>
  <si>
    <t>vcpu</t>
  </si>
  <si>
    <t>actual cores(needed)</t>
  </si>
  <si>
    <t>num cores bought</t>
  </si>
  <si>
    <t>price percore</t>
  </si>
  <si>
    <t xml:space="preserve">Kingston 8GB 240-Pin DDR3 SDRAM ECC Unbu ered DDR3 1600 Server Memory w/TS Model KVR16E11/8 </t>
  </si>
  <si>
    <t xml:space="preserve">SEDNA - PCIE 10/100/1000Mbs Gigabit LAN 68.90adapter ( Intel 82574L chipset ) </t>
  </si>
  <si>
    <t>Crucial M4 32B Mini-SATA (mSATA) MLC Internal Solid State Drive (SSD) CT032M4SSD3</t>
  </si>
  <si>
    <t>cost of processor (for instance)</t>
  </si>
  <si>
    <t xml:space="preserve">total cost(note: includes cost of processor-for instance(i2) </t>
  </si>
  <si>
    <t>calculated Price</t>
  </si>
  <si>
    <t>actual price</t>
  </si>
  <si>
    <t>Intel Xeon E5-2670 v3 Haswell 2.3 GHz 12 x 256KB L2 Cache 30 MB L3 Cache LGA 2011-3 120W BX80644E52670V3 Server Processor</t>
  </si>
  <si>
    <t xml:space="preserve">Crucial 96GB (3 x 32GB) 240-Pin DDR3 SDRAM ECC DDR3 1866 (PC3 14900) Server Memory Model CT3K32G3ELSDQ4186D +Black Diamond Memory 64GB (2 x 32GB) 240Pin DDR3 SDRAM ECC Registered DDR3 1066 (PC3 8500) Server Memory Model BD32GX21066MTR26 </t>
  </si>
  <si>
    <t xml:space="preserve">Intel X520-DA2 Dual Ports 10 Gigabit Ethernet Converged Network Adapter, PCI Express 2.0 x8, Low Pro꽁쳀le - OEM </t>
  </si>
  <si>
    <t>ebs(very small, less price need not be considered)</t>
  </si>
  <si>
    <t xml:space="preserve">ASUS RO RAMPAE I BLACK EDITION LA 2011 Intel 79 SATA 6b/s USB 3.0 Extended AT Intel aming Motherboad+Intel BOXDX79TO LGA 2011 Intel X79 SATA 6Gb/s USB 3.0 ATX Intel Motherboard
</t>
  </si>
  <si>
    <t xml:space="preserve">Kingston 24GB (3 x 8GB) 240-Pin DDR3 SDRAM ECC Registered DDR3 1866 Server Memory Model KVR18R13S4K3/24 +Axiom 6GB (3 x 2GB) 240-Pin DDR3 SDRAM ECC Unbu ered DDR3 1333 (PC3 10600) Server Memory Model SO.D94GB.M20-AX </t>
  </si>
  <si>
    <t>Intel 320 Series 2.5 80B SATA II MLC Internal Solid State Drive (SSD) SSDSA2CW0803K5 *2</t>
  </si>
  <si>
    <t>Intel Xeon E5-2680 v2 Ivy Bridge-EP 2.8 GHz 25MB L3 Cache LGA 2011 115W BX80635E52680V2 Server Processor</t>
  </si>
  <si>
    <t xml:space="preserve">Intel 320 Series 2.5 600B SATA II MLC Internal Solid State Drive (SSD) SSDSA2CW600310 +Intel 320 Series 2.5 40B SATA II MLC Internal Solid State Drive (SSD) SSDSA2CT040310 </t>
  </si>
  <si>
    <t xml:space="preserve">Intel Xeon E5-2670 Sandy Bridge-EP 2.6GHz (3.3GHz Turbo Boost) 20MB L3 Cache LGA 2011 115W BX80621E52670 Server Processor
</t>
  </si>
  <si>
    <t xml:space="preserve">
compare
Axiom 12GB (3 x 4GB) 240-Pin DDR3 SDRAM ECC Registered DDR3 1333 (PC3 10600) Server Memory Model SO.D98GB.M2R-AX+ Refurbished:   HP 2GB 240-Pin DDR3 SDRAM Registered DDR3 1333 (PC3 10600) Memory (Server Memory) Model 500202-061-RF +Axiom 1GB 240-Pin DDR3 SDRAM Unbu ered DDR2 667 (PC2 5300) Server Memory Model 73P4984-A</t>
  </si>
  <si>
    <t xml:space="preserve">Kingston SSDNow KC380 60 B 1.8 Internal Solid State Drive </t>
  </si>
  <si>
    <t>ASUS RO RAMPAE I BLACK EDITION LA 2011 Intel 79 SATA 6b/s USB 3.0 Extended AT Intel aming Motherboard</t>
  </si>
  <si>
    <t xml:space="preserve">Crucial 96GB (3 x 32GB) 240-Pin DDR3 SDRAM ECC DDR3 1866 (PC3 14900) Server Memory Model CT3K32G3ELSDQ4186D +Kingston 24GB (3 x 8GB) 240-Pin DDR3 SDRAM ECC Registered DDR3 1866 Server Memory Model KVR18R13S4K3/24 +Refurbished:   HP 2GB 240-Pin DDR3 SDRAM Registered DDR3 1333 (PC3 10600) Memory (Server Memory) Model 500202-061-RF </t>
  </si>
  <si>
    <t>Intel 320 Series 2.5 300B SATA II MLC Internal Solid State Drive (SSD) SSDSA2CW3003K5 +ntel 313 Series Hawley Creek SSDMAEXC020G301 mSATA 20GB SATA II SLC Internal Solid State Drive (SSD)</t>
  </si>
  <si>
    <t xml:space="preserve">ASUS RO RAMPAE I BLACK EDITION LA 2011 Intel 79 SATA 6b/s USB 3.0 Extended AT Intel aming Motherboad*2
</t>
  </si>
  <si>
    <t>HP 632506-B21 800 B Internal Solid State Drive *8</t>
  </si>
  <si>
    <t>Crucial 96GB (3 x 32GB) 240-Pin DDR3 SDRAM ECC DDR3 1866 (PC3 14900) Server Memory Model CT3K32G3ELSDQ4186D +Black Diamond Memory 64GB (2 x 32GB) 240Pin DDR3 SDRAM ECC Registered DDR3 1066 (PC3 8500) Server Memory Model BD32GX21066MTR26  *2</t>
  </si>
  <si>
    <t>WD Black 2TB Performance Desktop Hard Disk Drive - 7200 RPM SATA 6 Gb/s 64MB Cache 3.5 Inch - WD2003FZEX*24</t>
  </si>
  <si>
    <t>Crucial 48GB (3 x 16GB) 240-Pin DDR3 SDRAM ECC Registered DDR3 1600 (PC3 12800) Server Memory Model CT3K16G3ERSLD4160B+
Axiom 12GB (3 x 4GB) 240-Pin DDR3 SDRAM ECC Registered DDR3 1333 (PC3 10600) Server Memory Model SO.D98GB.M2R-AX</t>
  </si>
  <si>
    <t>instance</t>
  </si>
  <si>
    <t>inst. Per cycle</t>
  </si>
  <si>
    <t>operating frequency</t>
  </si>
  <si>
    <t>num. cores</t>
  </si>
  <si>
    <t>m4.10xlarge</t>
  </si>
  <si>
    <t>m3.large</t>
  </si>
  <si>
    <t>m3.2xlarge</t>
  </si>
  <si>
    <t>c3.8xlarge</t>
  </si>
  <si>
    <t>g2.2xlarge</t>
  </si>
  <si>
    <t>r3.4xlarge</t>
  </si>
  <si>
    <t>i2.8xlarge</t>
  </si>
  <si>
    <t>d2.8xlarge</t>
  </si>
  <si>
    <t>Gflops/sec</t>
  </si>
  <si>
    <t>1-server rack cost:</t>
  </si>
  <si>
    <t>number of servers:</t>
  </si>
  <si>
    <t>power</t>
  </si>
  <si>
    <t>(115/2</t>
  </si>
  <si>
    <t>power in kWh</t>
  </si>
  <si>
    <t>num of servers connections(Fat-tree)</t>
  </si>
  <si>
    <t>power consumed:</t>
  </si>
  <si>
    <t>Gflops</t>
  </si>
  <si>
    <t>instance requried</t>
  </si>
  <si>
    <t>hardware instance type cost</t>
  </si>
  <si>
    <t>server_rack+switch cost</t>
  </si>
  <si>
    <t># of server racks</t>
  </si>
  <si>
    <t># of switchs</t>
  </si>
  <si>
    <t>per hr power cost</t>
  </si>
  <si>
    <t xml:space="preserve">per hr total hardware cost </t>
  </si>
  <si>
    <t>per hr admin cost</t>
  </si>
  <si>
    <t>per hr total cost</t>
  </si>
  <si>
    <t>$/hr/flops</t>
  </si>
  <si>
    <t>1G-switch 48 port cost:</t>
  </si>
  <si>
    <t>10G-switch 24 port cost:</t>
  </si>
  <si>
    <t>pu.m410xlarge</t>
  </si>
  <si>
    <t>pu.m3.large</t>
  </si>
  <si>
    <t>pu.m3.2xlarge</t>
  </si>
  <si>
    <t>pu.c3.8xlarge</t>
  </si>
  <si>
    <t>pu.g2.2xlarge</t>
  </si>
  <si>
    <t>pu.r3.4xlarge</t>
  </si>
  <si>
    <t>pu.i2.8xlarge</t>
  </si>
  <si>
    <t>pu.d2.8xlarge</t>
  </si>
  <si>
    <t>% utilization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</si>
</sst>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D4D4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0" fillId="0" borderId="0" xfId="0" applyNumberFormat="1" applyAlignment="1">
      <alignment wrapText="1"/>
    </xf>
    <xf numFmtId="0" fontId="2" fillId="0" borderId="0" xfId="0" applyFont="1"/>
    <xf numFmtId="0" fontId="0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002438249791964E-2"/>
          <c:y val="5.1622183375548338E-2"/>
          <c:w val="0.81600871053178559"/>
          <c:h val="0.8823769243727565"/>
        </c:manualLayout>
      </c:layout>
      <c:lineChart>
        <c:grouping val="standard"/>
        <c:varyColors val="0"/>
        <c:ser>
          <c:idx val="0"/>
          <c:order val="0"/>
          <c:tx>
            <c:strRef>
              <c:f>final!$L$13</c:f>
              <c:strCache>
                <c:ptCount val="1"/>
                <c:pt idx="0">
                  <c:v>pu.m410xlarge</c:v>
                </c:pt>
              </c:strCache>
            </c:strRef>
          </c:tx>
          <c:spPr>
            <a:ln w="50800">
              <a:solidFill>
                <a:srgbClr val="7030A0"/>
              </a:solidFill>
              <a:prstDash val="lgDash"/>
            </a:ln>
          </c:spPr>
          <c:marker>
            <c:symbol val="none"/>
          </c:marker>
          <c:cat>
            <c:numRef>
              <c:f>final!$A$14:$A$20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cat>
          <c:val>
            <c:numRef>
              <c:f>final!$L$14:$L$20</c:f>
              <c:numCache>
                <c:formatCode>General</c:formatCode>
                <c:ptCount val="7"/>
                <c:pt idx="0">
                  <c:v>3.1171875000000002E-3</c:v>
                </c:pt>
                <c:pt idx="1">
                  <c:v>3.1171875000000002E-3</c:v>
                </c:pt>
                <c:pt idx="2">
                  <c:v>3.1171875000000002E-3</c:v>
                </c:pt>
                <c:pt idx="3">
                  <c:v>3.1171875000000002E-3</c:v>
                </c:pt>
                <c:pt idx="4">
                  <c:v>3.1171875000000002E-3</c:v>
                </c:pt>
                <c:pt idx="5">
                  <c:v>3.1171875000000002E-3</c:v>
                </c:pt>
                <c:pt idx="6">
                  <c:v>3.1171875000000002E-3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final!$A$12</c:f>
              <c:strCache>
                <c:ptCount val="1"/>
                <c:pt idx="0">
                  <c:v>m4.10xlarge</c:v>
                </c:pt>
              </c:strCache>
            </c:strRef>
          </c:tx>
          <c:spPr>
            <a:ln w="38100">
              <a:solidFill>
                <a:srgbClr val="7030A0"/>
              </a:solidFill>
            </a:ln>
          </c:spPr>
          <c:marker>
            <c:symbol val="none"/>
          </c:marker>
          <c:cat>
            <c:numRef>
              <c:f>final!$A$14:$A$20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cat>
          <c:val>
            <c:numRef>
              <c:f>final!$K$14:$K$20</c:f>
              <c:numCache>
                <c:formatCode>General</c:formatCode>
                <c:ptCount val="7"/>
                <c:pt idx="0">
                  <c:v>1.271627703557046E-2</c:v>
                </c:pt>
                <c:pt idx="1">
                  <c:v>1.271627703557046E-2</c:v>
                </c:pt>
                <c:pt idx="2">
                  <c:v>1.271627703557046E-2</c:v>
                </c:pt>
                <c:pt idx="3">
                  <c:v>6.5835742301457063E-3</c:v>
                </c:pt>
                <c:pt idx="4">
                  <c:v>1.0730107911678037E-3</c:v>
                </c:pt>
                <c:pt idx="5">
                  <c:v>2.6630651773442728E-4</c:v>
                </c:pt>
                <c:pt idx="6">
                  <c:v>1.8699500240034972E-4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final!$A$22</c:f>
              <c:strCache>
                <c:ptCount val="1"/>
                <c:pt idx="0">
                  <c:v>m3.large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final!$A$14:$A$20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cat>
          <c:val>
            <c:numRef>
              <c:f>final!$K$24:$K$30</c:f>
              <c:numCache>
                <c:formatCode>General</c:formatCode>
                <c:ptCount val="7"/>
                <c:pt idx="0">
                  <c:v>0.48114790162671228</c:v>
                </c:pt>
                <c:pt idx="1">
                  <c:v>0.48114790162671228</c:v>
                </c:pt>
                <c:pt idx="2">
                  <c:v>9.712865475456621E-2</c:v>
                </c:pt>
                <c:pt idx="3">
                  <c:v>1.0421403945776255E-2</c:v>
                </c:pt>
                <c:pt idx="4">
                  <c:v>1.7477235452625572E-3</c:v>
                </c:pt>
                <c:pt idx="5">
                  <c:v>1.2650992769006849E-3</c:v>
                </c:pt>
                <c:pt idx="6">
                  <c:v>1.2646933959549085E-3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final!$L$23</c:f>
              <c:strCache>
                <c:ptCount val="1"/>
                <c:pt idx="0">
                  <c:v>pu.m3.large</c:v>
                </c:pt>
              </c:strCache>
            </c:strRef>
          </c:tx>
          <c:spPr>
            <a:ln w="50800">
              <a:solidFill>
                <a:srgbClr val="00B050"/>
              </a:solidFill>
              <a:prstDash val="lgDash"/>
            </a:ln>
          </c:spPr>
          <c:marker>
            <c:symbol val="none"/>
          </c:marker>
          <c:cat>
            <c:numRef>
              <c:f>final!$A$14:$A$20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cat>
          <c:val>
            <c:numRef>
              <c:f>final!$L$24:$L$30</c:f>
              <c:numCache>
                <c:formatCode>General</c:formatCode>
                <c:ptCount val="7"/>
                <c:pt idx="0">
                  <c:v>6.6500000000000005E-3</c:v>
                </c:pt>
                <c:pt idx="1">
                  <c:v>6.6500000000000005E-3</c:v>
                </c:pt>
                <c:pt idx="2">
                  <c:v>6.6500000000000005E-3</c:v>
                </c:pt>
                <c:pt idx="3">
                  <c:v>6.6500000000000005E-3</c:v>
                </c:pt>
                <c:pt idx="4">
                  <c:v>6.6500000000000005E-3</c:v>
                </c:pt>
                <c:pt idx="5">
                  <c:v>6.6500000000000005E-3</c:v>
                </c:pt>
                <c:pt idx="6">
                  <c:v>6.6500000000000005E-3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final!$A$32</c:f>
              <c:strCache>
                <c:ptCount val="1"/>
                <c:pt idx="0">
                  <c:v>m3.2xlarge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final!$A$14:$A$20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cat>
          <c:val>
            <c:numRef>
              <c:f>final!$K$34:$K$40</c:f>
              <c:numCache>
                <c:formatCode>General</c:formatCode>
                <c:ptCount val="7"/>
                <c:pt idx="0">
                  <c:v>0.12063292826769405</c:v>
                </c:pt>
                <c:pt idx="1">
                  <c:v>0.12063292826769405</c:v>
                </c:pt>
                <c:pt idx="2">
                  <c:v>6.0717617958047941E-2</c:v>
                </c:pt>
                <c:pt idx="3">
                  <c:v>9.7074658115999281E-3</c:v>
                </c:pt>
                <c:pt idx="4">
                  <c:v>1.4033589375570777E-3</c:v>
                </c:pt>
                <c:pt idx="5">
                  <c:v>6.3292249649543381E-4</c:v>
                </c:pt>
                <c:pt idx="6">
                  <c:v>5.6529057430707778E-4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final!$L$33</c:f>
              <c:strCache>
                <c:ptCount val="1"/>
                <c:pt idx="0">
                  <c:v>pu.m3.2xlarge</c:v>
                </c:pt>
              </c:strCache>
            </c:strRef>
          </c:tx>
          <c:spPr>
            <a:ln w="63500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final!$A$14:$A$20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cat>
          <c:val>
            <c:numRef>
              <c:f>final!$L$34:$L$40</c:f>
              <c:numCache>
                <c:formatCode>General</c:formatCode>
                <c:ptCount val="7"/>
                <c:pt idx="0">
                  <c:v>6.6500000000000005E-3</c:v>
                </c:pt>
                <c:pt idx="1">
                  <c:v>6.6500000000000005E-3</c:v>
                </c:pt>
                <c:pt idx="2">
                  <c:v>6.6500000000000005E-3</c:v>
                </c:pt>
                <c:pt idx="3">
                  <c:v>6.6500000000000005E-3</c:v>
                </c:pt>
                <c:pt idx="4">
                  <c:v>6.6500000000000005E-3</c:v>
                </c:pt>
                <c:pt idx="5">
                  <c:v>6.6500000000000005E-3</c:v>
                </c:pt>
                <c:pt idx="6">
                  <c:v>6.6500000000000005E-3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final!$A$42</c:f>
              <c:strCache>
                <c:ptCount val="1"/>
                <c:pt idx="0">
                  <c:v>c3.8xlarge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final!$A$14:$A$20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cat>
          <c:val>
            <c:numRef>
              <c:f>final!$K$44:$K$50</c:f>
              <c:numCache>
                <c:formatCode>General</c:formatCode>
                <c:ptCount val="7"/>
                <c:pt idx="0">
                  <c:v>2.716347724093383E-2</c:v>
                </c:pt>
                <c:pt idx="1">
                  <c:v>2.716347724093383E-2</c:v>
                </c:pt>
                <c:pt idx="2">
                  <c:v>2.716347724093383E-2</c:v>
                </c:pt>
                <c:pt idx="3">
                  <c:v>9.4407125413218246E-3</c:v>
                </c:pt>
                <c:pt idx="4">
                  <c:v>1.2453253603252625E-3</c:v>
                </c:pt>
                <c:pt idx="5">
                  <c:v>3.8743365559850324E-4</c:v>
                </c:pt>
                <c:pt idx="6">
                  <c:v>3.1867033191661253E-4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final!$L$43</c:f>
              <c:strCache>
                <c:ptCount val="1"/>
                <c:pt idx="0">
                  <c:v>pu.c3.8xlarge</c:v>
                </c:pt>
              </c:strCache>
            </c:strRef>
          </c:tx>
          <c:spPr>
            <a:ln w="50800">
              <a:solidFill>
                <a:srgbClr val="0070C0"/>
              </a:solidFill>
              <a:prstDash val="lgDash"/>
            </a:ln>
          </c:spPr>
          <c:marker>
            <c:symbol val="none"/>
          </c:marker>
          <c:cat>
            <c:numRef>
              <c:f>final!$A$14:$A$20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cat>
          <c:val>
            <c:numRef>
              <c:f>final!$L$44:$L$50</c:f>
              <c:numCache>
                <c:formatCode>General</c:formatCode>
                <c:ptCount val="7"/>
                <c:pt idx="0">
                  <c:v>4.6874999999999998E-3</c:v>
                </c:pt>
                <c:pt idx="1">
                  <c:v>4.6874999999999998E-3</c:v>
                </c:pt>
                <c:pt idx="2">
                  <c:v>4.6874999999999998E-3</c:v>
                </c:pt>
                <c:pt idx="3">
                  <c:v>4.6874999999999998E-3</c:v>
                </c:pt>
                <c:pt idx="4">
                  <c:v>4.6874999999999998E-3</c:v>
                </c:pt>
                <c:pt idx="5">
                  <c:v>4.6874999999999998E-3</c:v>
                </c:pt>
                <c:pt idx="6">
                  <c:v>4.6874999999999998E-3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final!$A$52</c:f>
              <c:strCache>
                <c:ptCount val="1"/>
                <c:pt idx="0">
                  <c:v>g2.2xlarge</c:v>
                </c:pt>
              </c:strCache>
            </c:strRef>
          </c:tx>
          <c:spPr>
            <a:ln w="38100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final!$A$14:$A$20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cat>
          <c:val>
            <c:numRef>
              <c:f>final!$K$54:$K$60</c:f>
              <c:numCache>
                <c:formatCode>General</c:formatCode>
                <c:ptCount val="7"/>
                <c:pt idx="0">
                  <c:v>0.11574635020827843</c:v>
                </c:pt>
                <c:pt idx="1">
                  <c:v>0.11574635020827843</c:v>
                </c:pt>
                <c:pt idx="2">
                  <c:v>5.8185908354051408E-2</c:v>
                </c:pt>
                <c:pt idx="3">
                  <c:v>9.1803595885133794E-3</c:v>
                </c:pt>
                <c:pt idx="4">
                  <c:v>1.233414444828016E-3</c:v>
                </c:pt>
                <c:pt idx="5">
                  <c:v>4.6989738537441358E-4</c:v>
                </c:pt>
                <c:pt idx="6">
                  <c:v>4.0234531564352024E-4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final!$L$53</c:f>
              <c:strCache>
                <c:ptCount val="1"/>
                <c:pt idx="0">
                  <c:v>pu.g2.2xlarge</c:v>
                </c:pt>
              </c:strCache>
            </c:strRef>
          </c:tx>
          <c:spPr>
            <a:ln w="50800">
              <a:solidFill>
                <a:srgbClr val="FFFF00"/>
              </a:solidFill>
              <a:prstDash val="lgDash"/>
            </a:ln>
          </c:spPr>
          <c:marker>
            <c:symbol val="none"/>
          </c:marker>
          <c:cat>
            <c:numRef>
              <c:f>final!$A$14:$A$20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cat>
          <c:val>
            <c:numRef>
              <c:f>final!$L$54:$L$60</c:f>
              <c:numCache>
                <c:formatCode>General</c:formatCode>
                <c:ptCount val="7"/>
                <c:pt idx="0">
                  <c:v>7.8125E-3</c:v>
                </c:pt>
                <c:pt idx="1">
                  <c:v>7.8125E-3</c:v>
                </c:pt>
                <c:pt idx="2">
                  <c:v>7.8125E-3</c:v>
                </c:pt>
                <c:pt idx="3">
                  <c:v>7.8125E-3</c:v>
                </c:pt>
                <c:pt idx="4">
                  <c:v>7.8125E-3</c:v>
                </c:pt>
                <c:pt idx="5">
                  <c:v>7.8125E-3</c:v>
                </c:pt>
                <c:pt idx="6">
                  <c:v>7.8125E-3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final!$A$62</c:f>
              <c:strCache>
                <c:ptCount val="1"/>
                <c:pt idx="0">
                  <c:v>r3.4xlarge</c:v>
                </c:pt>
              </c:strCache>
            </c:strRef>
          </c:tx>
          <c:spPr>
            <a:ln w="38100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final!$A$14:$A$20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cat>
          <c:val>
            <c:numRef>
              <c:f>final!$K$64:$K$70</c:f>
              <c:numCache>
                <c:formatCode>General</c:formatCode>
                <c:ptCount val="7"/>
                <c:pt idx="0">
                  <c:v>6.0653716952054793E-2</c:v>
                </c:pt>
                <c:pt idx="1">
                  <c:v>6.0653716952054793E-2</c:v>
                </c:pt>
                <c:pt idx="2">
                  <c:v>6.0653716952054793E-2</c:v>
                </c:pt>
                <c:pt idx="3">
                  <c:v>9.1025014350945843E-3</c:v>
                </c:pt>
                <c:pt idx="4">
                  <c:v>1.4408521154961225E-3</c:v>
                </c:pt>
                <c:pt idx="5">
                  <c:v>5.8026324118721465E-4</c:v>
                </c:pt>
                <c:pt idx="6">
                  <c:v>5.5088113713242025E-4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final!$L$63</c:f>
              <c:strCache>
                <c:ptCount val="1"/>
                <c:pt idx="0">
                  <c:v>pu.r3.4xlarge</c:v>
                </c:pt>
              </c:strCache>
            </c:strRef>
          </c:tx>
          <c:spPr>
            <a:ln w="38100">
              <a:solidFill>
                <a:srgbClr val="002060"/>
              </a:solidFill>
              <a:prstDash val="lgDash"/>
            </a:ln>
          </c:spPr>
          <c:marker>
            <c:symbol val="none"/>
          </c:marker>
          <c:cat>
            <c:numRef>
              <c:f>final!$A$14:$A$20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cat>
          <c:val>
            <c:numRef>
              <c:f>final!$L$64:$L$70</c:f>
              <c:numCache>
                <c:formatCode>General</c:formatCode>
                <c:ptCount val="7"/>
                <c:pt idx="0">
                  <c:v>8.3125000000000004E-3</c:v>
                </c:pt>
                <c:pt idx="1">
                  <c:v>8.3125000000000004E-3</c:v>
                </c:pt>
                <c:pt idx="2">
                  <c:v>8.3125000000000004E-3</c:v>
                </c:pt>
                <c:pt idx="3">
                  <c:v>8.3125000000000004E-3</c:v>
                </c:pt>
                <c:pt idx="4">
                  <c:v>8.3125000000000004E-3</c:v>
                </c:pt>
                <c:pt idx="5">
                  <c:v>8.3125000000000004E-3</c:v>
                </c:pt>
                <c:pt idx="6">
                  <c:v>8.3125000000000004E-3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final!$A$72</c:f>
              <c:strCache>
                <c:ptCount val="1"/>
                <c:pt idx="0">
                  <c:v>i2.8xlarge</c:v>
                </c:pt>
              </c:strCache>
            </c:strRef>
          </c:tx>
          <c:spPr>
            <a:ln w="38100">
              <a:solidFill>
                <a:schemeClr val="accent6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final!$A$14:$A$20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cat>
          <c:val>
            <c:numRef>
              <c:f>final!$K$74:$K$80</c:f>
              <c:numCache>
                <c:formatCode>General</c:formatCode>
                <c:ptCount val="7"/>
                <c:pt idx="0">
                  <c:v>3.1340468846318491E-2</c:v>
                </c:pt>
                <c:pt idx="1">
                  <c:v>3.1340468846318491E-2</c:v>
                </c:pt>
                <c:pt idx="2">
                  <c:v>3.1340468846318491E-2</c:v>
                </c:pt>
                <c:pt idx="3">
                  <c:v>8.8710087284175239E-3</c:v>
                </c:pt>
                <c:pt idx="4">
                  <c:v>2.1100146826617794E-3</c:v>
                </c:pt>
                <c:pt idx="5">
                  <c:v>1.2747100642054904E-3</c:v>
                </c:pt>
                <c:pt idx="6">
                  <c:v>1.2137625579303653E-3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final!$L$73</c:f>
              <c:strCache>
                <c:ptCount val="1"/>
                <c:pt idx="0">
                  <c:v>pu.i2.8xlarge</c:v>
                </c:pt>
              </c:strCache>
            </c:strRef>
          </c:tx>
          <c:spPr>
            <a:ln w="38100">
              <a:solidFill>
                <a:schemeClr val="accent6">
                  <a:lumMod val="60000"/>
                  <a:lumOff val="40000"/>
                </a:schemeClr>
              </a:solidFill>
              <a:prstDash val="lgDash"/>
            </a:ln>
          </c:spPr>
          <c:marker>
            <c:symbol val="none"/>
          </c:marker>
          <c:cat>
            <c:numRef>
              <c:f>final!$A$14:$A$20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cat>
          <c:val>
            <c:numRef>
              <c:f>final!$L$74:$L$80</c:f>
              <c:numCache>
                <c:formatCode>General</c:formatCode>
                <c:ptCount val="7"/>
                <c:pt idx="0">
                  <c:v>2.1312500000000002E-2</c:v>
                </c:pt>
                <c:pt idx="1">
                  <c:v>2.1312500000000002E-2</c:v>
                </c:pt>
                <c:pt idx="2">
                  <c:v>2.1312500000000002E-2</c:v>
                </c:pt>
                <c:pt idx="3">
                  <c:v>2.1312500000000002E-2</c:v>
                </c:pt>
                <c:pt idx="4">
                  <c:v>2.1312500000000002E-2</c:v>
                </c:pt>
                <c:pt idx="5">
                  <c:v>2.1312500000000002E-2</c:v>
                </c:pt>
                <c:pt idx="6">
                  <c:v>2.1312500000000002E-2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final!$A$82</c:f>
              <c:strCache>
                <c:ptCount val="1"/>
                <c:pt idx="0">
                  <c:v>d2.8xlarge</c:v>
                </c:pt>
              </c:strCache>
            </c:strRef>
          </c:tx>
          <c:spPr>
            <a:ln w="38100">
              <a:solidFill>
                <a:srgbClr val="FF33CC"/>
              </a:solidFill>
            </a:ln>
          </c:spPr>
          <c:marker>
            <c:symbol val="none"/>
          </c:marker>
          <c:cat>
            <c:numRef>
              <c:f>final!$A$14:$A$20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cat>
          <c:val>
            <c:numRef>
              <c:f>final!$K$84:$K$90</c:f>
              <c:numCache>
                <c:formatCode>General</c:formatCode>
                <c:ptCount val="7"/>
                <c:pt idx="0">
                  <c:v>1.4291230252396732E-2</c:v>
                </c:pt>
                <c:pt idx="1">
                  <c:v>1.4291230252396732E-2</c:v>
                </c:pt>
                <c:pt idx="2">
                  <c:v>1.4291230252396732E-2</c:v>
                </c:pt>
                <c:pt idx="3">
                  <c:v>7.4456332767511733E-3</c:v>
                </c:pt>
                <c:pt idx="4">
                  <c:v>1.2274683160823259E-3</c:v>
                </c:pt>
                <c:pt idx="5">
                  <c:v>3.8568322659297973E-4</c:v>
                </c:pt>
                <c:pt idx="6">
                  <c:v>3.0466500734437611E-4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final!$L$83</c:f>
              <c:strCache>
                <c:ptCount val="1"/>
                <c:pt idx="0">
                  <c:v>pu.d2.8xlarge</c:v>
                </c:pt>
              </c:strCache>
            </c:strRef>
          </c:tx>
          <c:spPr>
            <a:ln w="50800">
              <a:solidFill>
                <a:srgbClr val="FF33CC"/>
              </a:solidFill>
              <a:prstDash val="lgDash"/>
            </a:ln>
          </c:spPr>
          <c:marker>
            <c:symbol val="none"/>
          </c:marker>
          <c:cat>
            <c:numRef>
              <c:f>final!$A$14:$A$20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cat>
          <c:val>
            <c:numRef>
              <c:f>final!$L$84:$L$90</c:f>
              <c:numCache>
                <c:formatCode>General</c:formatCode>
                <c:ptCount val="7"/>
                <c:pt idx="0">
                  <c:v>7.9861111111111105E-3</c:v>
                </c:pt>
                <c:pt idx="1">
                  <c:v>7.9861111111111105E-3</c:v>
                </c:pt>
                <c:pt idx="2">
                  <c:v>7.9861111111111105E-3</c:v>
                </c:pt>
                <c:pt idx="3">
                  <c:v>7.9861111111111105E-3</c:v>
                </c:pt>
                <c:pt idx="4">
                  <c:v>7.9861111111111105E-3</c:v>
                </c:pt>
                <c:pt idx="5">
                  <c:v>7.9861111111111105E-3</c:v>
                </c:pt>
                <c:pt idx="6">
                  <c:v>7.9861111111111105E-3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589888"/>
        <c:axId val="223591424"/>
      </c:lineChart>
      <c:catAx>
        <c:axId val="22358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23591424"/>
        <c:crosses val="autoZero"/>
        <c:auto val="1"/>
        <c:lblAlgn val="ctr"/>
        <c:lblOffset val="100"/>
        <c:noMultiLvlLbl val="0"/>
      </c:catAx>
      <c:valAx>
        <c:axId val="22359142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23589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65031208979157"/>
          <c:y val="0.16807465732859883"/>
          <c:w val="0.11764571690197846"/>
          <c:h val="0.70074648647214388"/>
        </c:manualLayout>
      </c:layout>
      <c:overlay val="0"/>
      <c:spPr>
        <a:ln w="12700"/>
      </c:spPr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final!$A$12</c:f>
              <c:strCache>
                <c:ptCount val="1"/>
                <c:pt idx="0">
                  <c:v>m4.10xlarge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final!$A$14:$A$20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cat>
          <c:val>
            <c:numRef>
              <c:f>final!$M$14:$M$20</c:f>
              <c:numCache>
                <c:formatCode>General</c:formatCode>
                <c:ptCount val="7"/>
                <c:pt idx="0">
                  <c:v>407.94071693058112</c:v>
                </c:pt>
                <c:pt idx="1">
                  <c:v>407.94071693058112</c:v>
                </c:pt>
                <c:pt idx="2">
                  <c:v>407.94071693058112</c:v>
                </c:pt>
                <c:pt idx="3">
                  <c:v>211.2023813179575</c:v>
                </c:pt>
                <c:pt idx="4">
                  <c:v>34.422401320671398</c:v>
                </c:pt>
                <c:pt idx="5">
                  <c:v>8.5431664837109498</c:v>
                </c:pt>
                <c:pt idx="6">
                  <c:v>5.9988371697355296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final!$A$22</c:f>
              <c:strCache>
                <c:ptCount val="1"/>
                <c:pt idx="0">
                  <c:v>m3.large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final!$A$14:$A$20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cat>
          <c:val>
            <c:numRef>
              <c:f>final!$M$24:$M$30</c:f>
              <c:numCache>
                <c:formatCode>General</c:formatCode>
                <c:ptCount val="7"/>
                <c:pt idx="0">
                  <c:v>7235.3067913791319</c:v>
                </c:pt>
                <c:pt idx="1">
                  <c:v>7235.3067913791319</c:v>
                </c:pt>
                <c:pt idx="2">
                  <c:v>1460.5812745047549</c:v>
                </c:pt>
                <c:pt idx="3">
                  <c:v>156.71284128986849</c:v>
                </c:pt>
                <c:pt idx="4">
                  <c:v>26.281557071617399</c:v>
                </c:pt>
                <c:pt idx="5">
                  <c:v>19.024049276702026</c:v>
                </c:pt>
                <c:pt idx="6">
                  <c:v>19.017945803833207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final!$A$32</c:f>
              <c:strCache>
                <c:ptCount val="1"/>
                <c:pt idx="0">
                  <c:v>m3.2xlarge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final!$A$14:$A$20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cat>
          <c:val>
            <c:numRef>
              <c:f>final!$M$34:$M$40</c:f>
              <c:numCache>
                <c:formatCode>General</c:formatCode>
                <c:ptCount val="7"/>
                <c:pt idx="0">
                  <c:v>1814.0289965066775</c:v>
                </c:pt>
                <c:pt idx="1">
                  <c:v>1814.0289965066775</c:v>
                </c:pt>
                <c:pt idx="2">
                  <c:v>913.04688658718703</c:v>
                </c:pt>
                <c:pt idx="3">
                  <c:v>145.97692949774327</c:v>
                </c:pt>
                <c:pt idx="4">
                  <c:v>21.103141918151543</c:v>
                </c:pt>
                <c:pt idx="5">
                  <c:v>9.5176315262471238</c:v>
                </c:pt>
                <c:pt idx="6">
                  <c:v>8.5006101399560574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final!$A$42</c:f>
              <c:strCache>
                <c:ptCount val="1"/>
                <c:pt idx="0">
                  <c:v>c3.8xlarge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final!$A$14:$A$20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cat>
          <c:val>
            <c:numRef>
              <c:f>final!$M$44:$M$50</c:f>
              <c:numCache>
                <c:formatCode>General</c:formatCode>
                <c:ptCount val="7"/>
                <c:pt idx="0">
                  <c:v>579.48751447325503</c:v>
                </c:pt>
                <c:pt idx="1">
                  <c:v>579.48751447325503</c:v>
                </c:pt>
                <c:pt idx="2">
                  <c:v>579.48751447325503</c:v>
                </c:pt>
                <c:pt idx="3">
                  <c:v>201.40186754819896</c:v>
                </c:pt>
                <c:pt idx="4">
                  <c:v>26.566941020272267</c:v>
                </c:pt>
                <c:pt idx="5">
                  <c:v>8.2652513194347357</c:v>
                </c:pt>
                <c:pt idx="6">
                  <c:v>6.7983004142210675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final!$A$52</c:f>
              <c:strCache>
                <c:ptCount val="1"/>
                <c:pt idx="0">
                  <c:v>g2.2xlarge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final!$A$14:$A$20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cat>
          <c:val>
            <c:numRef>
              <c:f>final!$M$54:$M$60</c:f>
              <c:numCache>
                <c:formatCode>General</c:formatCode>
                <c:ptCount val="7"/>
                <c:pt idx="0">
                  <c:v>1481.5532826659639</c:v>
                </c:pt>
                <c:pt idx="1">
                  <c:v>1481.5532826659639</c:v>
                </c:pt>
                <c:pt idx="2">
                  <c:v>744.77962693185805</c:v>
                </c:pt>
                <c:pt idx="3">
                  <c:v>117.50860273297126</c:v>
                </c:pt>
                <c:pt idx="4">
                  <c:v>15.787704893798605</c:v>
                </c:pt>
                <c:pt idx="5">
                  <c:v>6.0146865327924939</c:v>
                </c:pt>
                <c:pt idx="6">
                  <c:v>5.1500200402370595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final!$A$62</c:f>
              <c:strCache>
                <c:ptCount val="1"/>
                <c:pt idx="0">
                  <c:v>r3.4xlarge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final!$A$14:$A$20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cat>
          <c:val>
            <c:numRef>
              <c:f>final!$M$64:$M$70</c:f>
              <c:numCache>
                <c:formatCode>General</c:formatCode>
                <c:ptCount val="7"/>
                <c:pt idx="0">
                  <c:v>729.66877536306515</c:v>
                </c:pt>
                <c:pt idx="1">
                  <c:v>729.66877536306515</c:v>
                </c:pt>
                <c:pt idx="2">
                  <c:v>729.66877536306515</c:v>
                </c:pt>
                <c:pt idx="3">
                  <c:v>109.50377666279198</c:v>
                </c:pt>
                <c:pt idx="4">
                  <c:v>17.333559284163879</c:v>
                </c:pt>
                <c:pt idx="5">
                  <c:v>6.9806104202973192</c:v>
                </c:pt>
                <c:pt idx="6">
                  <c:v>6.6271414993373856</c:v>
                </c:pt>
              </c:numCache>
            </c:numRef>
          </c:val>
          <c:smooth val="0"/>
        </c:ser>
        <c:ser>
          <c:idx val="5"/>
          <c:order val="6"/>
          <c:tx>
            <c:strRef>
              <c:f>final!$A$72</c:f>
              <c:strCache>
                <c:ptCount val="1"/>
                <c:pt idx="0">
                  <c:v>i2.8xlarge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final!$A$14:$A$20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cat>
          <c:val>
            <c:numRef>
              <c:f>final!$M$74:$M$80</c:f>
              <c:numCache>
                <c:formatCode>General</c:formatCode>
                <c:ptCount val="7"/>
                <c:pt idx="0">
                  <c:v>147.05205323785802</c:v>
                </c:pt>
                <c:pt idx="1">
                  <c:v>147.05205323785802</c:v>
                </c:pt>
                <c:pt idx="2">
                  <c:v>147.05205323785802</c:v>
                </c:pt>
                <c:pt idx="3">
                  <c:v>41.623501365008906</c:v>
                </c:pt>
                <c:pt idx="4">
                  <c:v>9.9003621473866481</c:v>
                </c:pt>
                <c:pt idx="5">
                  <c:v>5.9810442895272269</c:v>
                </c:pt>
                <c:pt idx="6">
                  <c:v>5.6950735855970214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final!$A$82</c:f>
              <c:strCache>
                <c:ptCount val="1"/>
                <c:pt idx="0">
                  <c:v>d2.8xlarge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final!$A$14:$A$20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cat>
          <c:val>
            <c:numRef>
              <c:f>final!$M$84:$M$90</c:f>
              <c:numCache>
                <c:formatCode>General</c:formatCode>
                <c:ptCount val="7"/>
                <c:pt idx="0">
                  <c:v>178.95105707348952</c:v>
                </c:pt>
                <c:pt idx="1">
                  <c:v>178.95105707348952</c:v>
                </c:pt>
                <c:pt idx="2">
                  <c:v>178.95105707348952</c:v>
                </c:pt>
                <c:pt idx="3">
                  <c:v>93.232277552362532</c:v>
                </c:pt>
                <c:pt idx="4">
                  <c:v>15.370038044856951</c:v>
                </c:pt>
                <c:pt idx="5">
                  <c:v>4.8294247503816594</c:v>
                </c:pt>
                <c:pt idx="6">
                  <c:v>3.8149357441382752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769344"/>
        <c:axId val="223770880"/>
      </c:lineChart>
      <c:catAx>
        <c:axId val="22376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23770880"/>
        <c:crosses val="autoZero"/>
        <c:auto val="1"/>
        <c:lblAlgn val="ctr"/>
        <c:lblOffset val="100"/>
        <c:noMultiLvlLbl val="0"/>
      </c:catAx>
      <c:valAx>
        <c:axId val="223770880"/>
        <c:scaling>
          <c:orientation val="minMax"/>
          <c:max val="10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23769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96756124984068"/>
          <c:y val="0.13678491465861412"/>
          <c:w val="0.20883149283323987"/>
          <c:h val="0.74708744615079326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103909</xdr:colOff>
      <xdr:row>3</xdr:row>
      <xdr:rowOff>138547</xdr:rowOff>
    </xdr:from>
    <xdr:to>
      <xdr:col>28</xdr:col>
      <xdr:colOff>467591</xdr:colOff>
      <xdr:row>20</xdr:row>
      <xdr:rowOff>51954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467591</xdr:colOff>
      <xdr:row>3</xdr:row>
      <xdr:rowOff>138546</xdr:rowOff>
    </xdr:from>
    <xdr:to>
      <xdr:col>20</xdr:col>
      <xdr:colOff>121228</xdr:colOff>
      <xdr:row>18</xdr:row>
      <xdr:rowOff>69271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tabSelected="1" zoomScale="73" zoomScaleNormal="73" workbookViewId="0">
      <selection activeCell="L13" sqref="L13"/>
    </sheetView>
  </sheetViews>
  <sheetFormatPr defaultRowHeight="15" x14ac:dyDescent="0.25"/>
  <cols>
    <col min="1" max="1" width="13.28515625" customWidth="1"/>
    <col min="2" max="2" width="15.85546875" customWidth="1"/>
    <col min="3" max="3" width="16.85546875" customWidth="1"/>
    <col min="4" max="4" width="11.7109375" customWidth="1"/>
    <col min="5" max="5" width="27.5703125" customWidth="1"/>
    <col min="6" max="6" width="23.42578125" customWidth="1"/>
    <col min="7" max="7" width="25" customWidth="1"/>
    <col min="8" max="8" width="19.140625" customWidth="1"/>
    <col min="9" max="9" width="17.5703125" customWidth="1"/>
    <col min="10" max="10" width="16.5703125" customWidth="1"/>
    <col min="11" max="11" width="11.7109375" customWidth="1"/>
    <col min="12" max="12" width="15.42578125" customWidth="1"/>
  </cols>
  <sheetData>
    <row r="1" spans="1:13" ht="24.75" customHeight="1" x14ac:dyDescent="0.25">
      <c r="A1" s="1" t="s">
        <v>40</v>
      </c>
      <c r="B1" s="1" t="s">
        <v>41</v>
      </c>
      <c r="C1" s="1" t="s">
        <v>42</v>
      </c>
      <c r="D1" s="1" t="s">
        <v>9</v>
      </c>
      <c r="E1" s="1" t="s">
        <v>43</v>
      </c>
      <c r="F1" s="1" t="s">
        <v>52</v>
      </c>
      <c r="G1" s="1"/>
      <c r="H1" s="6" t="s">
        <v>53</v>
      </c>
      <c r="I1" t="s">
        <v>54</v>
      </c>
    </row>
    <row r="2" spans="1:13" x14ac:dyDescent="0.25">
      <c r="A2" t="s">
        <v>44</v>
      </c>
      <c r="B2">
        <v>16</v>
      </c>
      <c r="C2">
        <v>2.4</v>
      </c>
      <c r="D2">
        <v>40</v>
      </c>
      <c r="E2">
        <f>D2/2</f>
        <v>20</v>
      </c>
      <c r="F2">
        <f>B2*C2*E2</f>
        <v>768</v>
      </c>
      <c r="H2">
        <v>1200</v>
      </c>
      <c r="I2">
        <v>48</v>
      </c>
    </row>
    <row r="3" spans="1:13" x14ac:dyDescent="0.25">
      <c r="A3" t="s">
        <v>45</v>
      </c>
      <c r="B3">
        <v>8</v>
      </c>
      <c r="C3">
        <v>2.5</v>
      </c>
      <c r="D3">
        <v>2</v>
      </c>
      <c r="E3">
        <f t="shared" ref="E3:E9" si="0">D3/2</f>
        <v>1</v>
      </c>
      <c r="F3">
        <f t="shared" ref="F3:F9" si="1">B3*C3*E3</f>
        <v>20</v>
      </c>
      <c r="H3" s="7" t="s">
        <v>71</v>
      </c>
      <c r="I3" t="s">
        <v>58</v>
      </c>
    </row>
    <row r="4" spans="1:13" x14ac:dyDescent="0.25">
      <c r="A4" t="s">
        <v>46</v>
      </c>
      <c r="B4">
        <v>8</v>
      </c>
      <c r="C4">
        <v>2.5</v>
      </c>
      <c r="D4">
        <v>8</v>
      </c>
      <c r="E4">
        <f t="shared" si="0"/>
        <v>4</v>
      </c>
      <c r="F4">
        <f t="shared" si="1"/>
        <v>80</v>
      </c>
      <c r="H4">
        <v>689.99</v>
      </c>
      <c r="I4">
        <v>48</v>
      </c>
    </row>
    <row r="5" spans="1:13" x14ac:dyDescent="0.25">
      <c r="A5" t="s">
        <v>47</v>
      </c>
      <c r="B5">
        <v>8</v>
      </c>
      <c r="C5">
        <v>2.8</v>
      </c>
      <c r="D5">
        <v>32</v>
      </c>
      <c r="E5">
        <f t="shared" si="0"/>
        <v>16</v>
      </c>
      <c r="F5">
        <f t="shared" si="1"/>
        <v>358.4</v>
      </c>
      <c r="H5" t="s">
        <v>59</v>
      </c>
      <c r="I5">
        <f>80/1000</f>
        <v>0.08</v>
      </c>
    </row>
    <row r="6" spans="1:13" x14ac:dyDescent="0.25">
      <c r="A6" t="s">
        <v>48</v>
      </c>
      <c r="B6">
        <v>8</v>
      </c>
      <c r="C6">
        <v>2.6</v>
      </c>
      <c r="D6">
        <v>8</v>
      </c>
      <c r="E6">
        <f t="shared" si="0"/>
        <v>4</v>
      </c>
      <c r="F6">
        <f t="shared" si="1"/>
        <v>83.2</v>
      </c>
      <c r="H6" s="7" t="s">
        <v>72</v>
      </c>
    </row>
    <row r="7" spans="1:13" x14ac:dyDescent="0.25">
      <c r="A7" t="s">
        <v>49</v>
      </c>
      <c r="B7">
        <v>8</v>
      </c>
      <c r="C7">
        <v>2.5</v>
      </c>
      <c r="D7">
        <v>16</v>
      </c>
      <c r="E7">
        <f t="shared" si="0"/>
        <v>8</v>
      </c>
      <c r="F7">
        <f t="shared" si="1"/>
        <v>160</v>
      </c>
      <c r="H7">
        <v>7700</v>
      </c>
      <c r="I7">
        <v>24</v>
      </c>
    </row>
    <row r="8" spans="1:13" x14ac:dyDescent="0.25">
      <c r="A8" t="s">
        <v>50</v>
      </c>
      <c r="B8">
        <v>8</v>
      </c>
      <c r="C8">
        <v>2.5</v>
      </c>
      <c r="D8">
        <v>32</v>
      </c>
      <c r="E8">
        <f t="shared" si="0"/>
        <v>16</v>
      </c>
      <c r="F8">
        <f t="shared" si="1"/>
        <v>320</v>
      </c>
      <c r="H8" t="s">
        <v>59</v>
      </c>
      <c r="I8">
        <f>300/1000</f>
        <v>0.3</v>
      </c>
    </row>
    <row r="9" spans="1:13" x14ac:dyDescent="0.25">
      <c r="A9" t="s">
        <v>51</v>
      </c>
      <c r="B9">
        <v>16</v>
      </c>
      <c r="C9">
        <v>2.4</v>
      </c>
      <c r="D9">
        <v>36</v>
      </c>
      <c r="E9">
        <f t="shared" si="0"/>
        <v>18</v>
      </c>
      <c r="F9">
        <f t="shared" si="1"/>
        <v>691.19999999999993</v>
      </c>
    </row>
    <row r="12" spans="1:13" x14ac:dyDescent="0.25">
      <c r="A12" t="s">
        <v>44</v>
      </c>
    </row>
    <row r="13" spans="1:13" ht="34.5" customHeight="1" x14ac:dyDescent="0.25">
      <c r="A13" t="s">
        <v>60</v>
      </c>
      <c r="B13" t="s">
        <v>61</v>
      </c>
      <c r="C13" t="s">
        <v>64</v>
      </c>
      <c r="D13" t="s">
        <v>65</v>
      </c>
      <c r="E13" t="s">
        <v>62</v>
      </c>
      <c r="F13" t="s">
        <v>63</v>
      </c>
      <c r="G13" t="s">
        <v>67</v>
      </c>
      <c r="H13" t="s">
        <v>66</v>
      </c>
      <c r="I13" t="s">
        <v>68</v>
      </c>
      <c r="J13" t="s">
        <v>69</v>
      </c>
      <c r="K13" t="s">
        <v>70</v>
      </c>
      <c r="L13" t="s">
        <v>73</v>
      </c>
      <c r="M13" t="s">
        <v>81</v>
      </c>
    </row>
    <row r="14" spans="1:13" x14ac:dyDescent="0.25">
      <c r="A14">
        <v>1</v>
      </c>
      <c r="B14">
        <f>ROUNDUP(A14/$F$2,0)</f>
        <v>1</v>
      </c>
      <c r="C14">
        <f>B14/$I$2</f>
        <v>2.0833333333333332E-2</v>
      </c>
      <c r="D14">
        <v>0</v>
      </c>
      <c r="E14">
        <f>m4.10xlarge!$C$8*B14</f>
        <v>5174.9433333333327</v>
      </c>
      <c r="F14">
        <f>C14*$H$2+(D14*$H$7)</f>
        <v>25</v>
      </c>
      <c r="G14">
        <f>(E14+F14)/43800</f>
        <v>0.11872016742770165</v>
      </c>
      <c r="H14">
        <f>(m4.10xlarge!$D$9+($I$8*D14))*1.5*(0.115)</f>
        <v>5.8339500000000002E-2</v>
      </c>
      <c r="I14">
        <f>7000/730*ROUNDUP(B14/1000,0)</f>
        <v>9.5890410958904102</v>
      </c>
      <c r="J14">
        <f>G14+H14+I14</f>
        <v>9.7661007633181125</v>
      </c>
      <c r="K14">
        <f>J14/($F$2*B14)</f>
        <v>1.271627703557046E-2</v>
      </c>
      <c r="L14">
        <f>2.394/$F$2</f>
        <v>3.1171875000000002E-3</v>
      </c>
      <c r="M14">
        <f>(K14/L14)*100</f>
        <v>407.94071693058112</v>
      </c>
    </row>
    <row r="15" spans="1:13" x14ac:dyDescent="0.25">
      <c r="A15">
        <v>10</v>
      </c>
      <c r="B15">
        <f t="shared" ref="B15:B20" si="2">ROUNDUP(A15/$F$2,0)</f>
        <v>1</v>
      </c>
      <c r="C15">
        <f t="shared" ref="C15:C20" si="3">B15/$I$2</f>
        <v>2.0833333333333332E-2</v>
      </c>
      <c r="D15">
        <v>0</v>
      </c>
      <c r="E15">
        <f>m4.10xlarge!$C$8*B15</f>
        <v>5174.9433333333327</v>
      </c>
      <c r="F15">
        <f t="shared" ref="F15:F20" si="4">C15*$H$2+(D15*$H$7)</f>
        <v>25</v>
      </c>
      <c r="G15">
        <f t="shared" ref="G15:G20" si="5">(E15+F15)/43800</f>
        <v>0.11872016742770165</v>
      </c>
      <c r="H15">
        <f>(m4.10xlarge!$D$9+($I$8*D15))*1.5*(0.115)</f>
        <v>5.8339500000000002E-2</v>
      </c>
      <c r="I15">
        <f t="shared" ref="I15:I20" si="6">7000/730*ROUNDUP(B15/1000,0)</f>
        <v>9.5890410958904102</v>
      </c>
      <c r="J15">
        <f t="shared" ref="J15:J20" si="7">G15+H15+I15</f>
        <v>9.7661007633181125</v>
      </c>
      <c r="K15">
        <f t="shared" ref="K15:K20" si="8">J15/($F$2*B15)</f>
        <v>1.271627703557046E-2</v>
      </c>
      <c r="L15">
        <f t="shared" ref="L15:L20" si="9">2.394/$F$2</f>
        <v>3.1171875000000002E-3</v>
      </c>
      <c r="M15">
        <f t="shared" ref="M15:M78" si="10">(K15/L15)*100</f>
        <v>407.94071693058112</v>
      </c>
    </row>
    <row r="16" spans="1:13" x14ac:dyDescent="0.25">
      <c r="A16">
        <v>100</v>
      </c>
      <c r="B16">
        <f t="shared" si="2"/>
        <v>1</v>
      </c>
      <c r="C16">
        <f t="shared" si="3"/>
        <v>2.0833333333333332E-2</v>
      </c>
      <c r="D16">
        <v>0</v>
      </c>
      <c r="E16">
        <f>m4.10xlarge!$C$8*B16</f>
        <v>5174.9433333333327</v>
      </c>
      <c r="F16">
        <f t="shared" si="4"/>
        <v>25</v>
      </c>
      <c r="G16">
        <f t="shared" si="5"/>
        <v>0.11872016742770165</v>
      </c>
      <c r="H16">
        <f>(m4.10xlarge!$D$9+($I$8*D16))*1.5*(0.115)</f>
        <v>5.8339500000000002E-2</v>
      </c>
      <c r="I16">
        <f t="shared" si="6"/>
        <v>9.5890410958904102</v>
      </c>
      <c r="J16">
        <f t="shared" si="7"/>
        <v>9.7661007633181125</v>
      </c>
      <c r="K16">
        <f t="shared" si="8"/>
        <v>1.271627703557046E-2</v>
      </c>
      <c r="L16">
        <f t="shared" si="9"/>
        <v>3.1171875000000002E-3</v>
      </c>
      <c r="M16">
        <f t="shared" si="10"/>
        <v>407.94071693058112</v>
      </c>
    </row>
    <row r="17" spans="1:13" x14ac:dyDescent="0.25">
      <c r="A17">
        <v>1000</v>
      </c>
      <c r="B17">
        <f t="shared" si="2"/>
        <v>2</v>
      </c>
      <c r="C17">
        <f t="shared" si="3"/>
        <v>4.1666666666666664E-2</v>
      </c>
      <c r="D17">
        <v>1</v>
      </c>
      <c r="E17">
        <f>m4.10xlarge!$C$8*B17</f>
        <v>10349.886666666665</v>
      </c>
      <c r="F17">
        <f t="shared" si="4"/>
        <v>7750</v>
      </c>
      <c r="G17">
        <f t="shared" si="5"/>
        <v>0.41323942161339416</v>
      </c>
      <c r="H17">
        <f>(m4.10xlarge!$D$9+($I$8*D17))*1.5*(0.115)</f>
        <v>0.11008950000000001</v>
      </c>
      <c r="I17">
        <f t="shared" si="6"/>
        <v>9.5890410958904102</v>
      </c>
      <c r="J17">
        <f t="shared" si="7"/>
        <v>10.112370017503805</v>
      </c>
      <c r="K17">
        <f t="shared" si="8"/>
        <v>6.5835742301457063E-3</v>
      </c>
      <c r="L17">
        <f t="shared" si="9"/>
        <v>3.1171875000000002E-3</v>
      </c>
      <c r="M17">
        <f t="shared" si="10"/>
        <v>211.2023813179575</v>
      </c>
    </row>
    <row r="18" spans="1:13" x14ac:dyDescent="0.25">
      <c r="A18">
        <v>10000</v>
      </c>
      <c r="B18">
        <f t="shared" si="2"/>
        <v>14</v>
      </c>
      <c r="C18">
        <f t="shared" si="3"/>
        <v>0.29166666666666669</v>
      </c>
      <c r="D18">
        <f t="shared" ref="D18" si="11">ROUNDUP(B18/$I$7,0)</f>
        <v>1</v>
      </c>
      <c r="E18">
        <f>m4.10xlarge!$C$8*B18</f>
        <v>72449.206666666665</v>
      </c>
      <c r="F18">
        <f t="shared" si="4"/>
        <v>8050</v>
      </c>
      <c r="G18">
        <f t="shared" si="5"/>
        <v>1.8378814307458142</v>
      </c>
      <c r="H18">
        <f>(m4.10xlarge!$D$9+($I$8*D18))*1.5*(0.115)</f>
        <v>0.11008950000000001</v>
      </c>
      <c r="I18">
        <f t="shared" si="6"/>
        <v>9.5890410958904102</v>
      </c>
      <c r="J18">
        <f t="shared" si="7"/>
        <v>11.537012026636225</v>
      </c>
      <c r="K18">
        <f t="shared" si="8"/>
        <v>1.0730107911678037E-3</v>
      </c>
      <c r="L18">
        <f t="shared" si="9"/>
        <v>3.1171875000000002E-3</v>
      </c>
      <c r="M18">
        <f t="shared" si="10"/>
        <v>34.422401320671398</v>
      </c>
    </row>
    <row r="19" spans="1:13" x14ac:dyDescent="0.25">
      <c r="A19">
        <v>100000</v>
      </c>
      <c r="B19">
        <f t="shared" si="2"/>
        <v>131</v>
      </c>
      <c r="C19">
        <f t="shared" si="3"/>
        <v>2.7291666666666665</v>
      </c>
      <c r="D19">
        <f>ROUNDUP(B19/$I$7,0)+1</f>
        <v>7</v>
      </c>
      <c r="E19">
        <f>m4.10xlarge!$C$8*B19</f>
        <v>677917.57666666654</v>
      </c>
      <c r="F19">
        <f t="shared" si="4"/>
        <v>57175</v>
      </c>
      <c r="G19">
        <f t="shared" si="5"/>
        <v>16.782935540334854</v>
      </c>
      <c r="H19">
        <f>(m4.10xlarge!$D$9+($I$8*D19))*1.5*(0.115)</f>
        <v>0.42058950000000006</v>
      </c>
      <c r="I19">
        <f t="shared" si="6"/>
        <v>9.5890410958904102</v>
      </c>
      <c r="J19">
        <f t="shared" si="7"/>
        <v>26.792566136225261</v>
      </c>
      <c r="K19">
        <f t="shared" si="8"/>
        <v>2.6630651773442728E-4</v>
      </c>
      <c r="L19">
        <f t="shared" si="9"/>
        <v>3.1171875000000002E-3</v>
      </c>
      <c r="M19">
        <f t="shared" si="10"/>
        <v>8.5431664837109498</v>
      </c>
    </row>
    <row r="20" spans="1:13" x14ac:dyDescent="0.25">
      <c r="A20">
        <v>1000000</v>
      </c>
      <c r="B20">
        <f t="shared" si="2"/>
        <v>1303</v>
      </c>
      <c r="C20">
        <f t="shared" si="3"/>
        <v>27.145833333333332</v>
      </c>
      <c r="D20">
        <f>ROUNDUP(B20/$I$7+B20/$I$7/$I$7+1,0)</f>
        <v>58</v>
      </c>
      <c r="E20">
        <f>m4.10xlarge!$C$8*B20</f>
        <v>6742951.1633333322</v>
      </c>
      <c r="F20">
        <f t="shared" si="4"/>
        <v>479175</v>
      </c>
      <c r="G20">
        <f t="shared" si="5"/>
        <v>164.88872519025873</v>
      </c>
      <c r="H20">
        <f>(m4.10xlarge!$D$9+($I$8*D20))*1.5*(0.115)</f>
        <v>3.0598394999999998</v>
      </c>
      <c r="I20">
        <f t="shared" si="6"/>
        <v>19.17808219178082</v>
      </c>
      <c r="J20">
        <f t="shared" si="7"/>
        <v>187.12664688203955</v>
      </c>
      <c r="K20">
        <f t="shared" si="8"/>
        <v>1.8699500240034972E-4</v>
      </c>
      <c r="L20">
        <f t="shared" si="9"/>
        <v>3.1171875000000002E-3</v>
      </c>
      <c r="M20">
        <f t="shared" si="10"/>
        <v>5.9988371697355296</v>
      </c>
    </row>
    <row r="22" spans="1:13" x14ac:dyDescent="0.25">
      <c r="A22" t="s">
        <v>45</v>
      </c>
    </row>
    <row r="23" spans="1:13" x14ac:dyDescent="0.25">
      <c r="A23" t="s">
        <v>60</v>
      </c>
      <c r="B23" t="s">
        <v>61</v>
      </c>
      <c r="C23" t="s">
        <v>64</v>
      </c>
      <c r="D23" t="s">
        <v>65</v>
      </c>
      <c r="E23" t="s">
        <v>62</v>
      </c>
      <c r="F23" t="s">
        <v>63</v>
      </c>
      <c r="G23" t="s">
        <v>67</v>
      </c>
      <c r="H23" t="s">
        <v>66</v>
      </c>
      <c r="I23" t="s">
        <v>68</v>
      </c>
      <c r="J23" t="s">
        <v>69</v>
      </c>
      <c r="K23" t="s">
        <v>70</v>
      </c>
      <c r="L23" t="s">
        <v>74</v>
      </c>
      <c r="M23" t="e">
        <f t="shared" si="10"/>
        <v>#VALUE!</v>
      </c>
    </row>
    <row r="24" spans="1:13" x14ac:dyDescent="0.25">
      <c r="A24">
        <v>1</v>
      </c>
      <c r="B24">
        <f>ROUNDUP(A24/$F$3,0)</f>
        <v>1</v>
      </c>
      <c r="C24">
        <f>B24/$I$2</f>
        <v>2.0833333333333332E-2</v>
      </c>
      <c r="D24">
        <v>0</v>
      </c>
      <c r="E24">
        <f>m3.large!$C$8*B24</f>
        <v>635.87900000000002</v>
      </c>
      <c r="F24">
        <f>C24*$H$2+(D24*$H$4)</f>
        <v>25</v>
      </c>
      <c r="G24">
        <f>(E24+F24)/43800</f>
        <v>1.5088561643835617E-2</v>
      </c>
      <c r="H24">
        <f>(m3.large!$D$9+($I$5*D24))*1.5*(0.115)</f>
        <v>1.8828375000000001E-2</v>
      </c>
      <c r="I24">
        <f>7000/730*ROUNDUP(B24/1000,0)</f>
        <v>9.5890410958904102</v>
      </c>
      <c r="J24">
        <f>G24+H24+I24</f>
        <v>9.6229580325342461</v>
      </c>
      <c r="K24">
        <f>J24/($F$3*B24)</f>
        <v>0.48114790162671228</v>
      </c>
      <c r="L24">
        <f>0.133/$F$3</f>
        <v>6.6500000000000005E-3</v>
      </c>
      <c r="M24">
        <f t="shared" si="10"/>
        <v>7235.3067913791319</v>
      </c>
    </row>
    <row r="25" spans="1:13" x14ac:dyDescent="0.25">
      <c r="A25">
        <v>10</v>
      </c>
      <c r="B25">
        <f t="shared" ref="B25:B30" si="12">ROUNDUP(A25/$F$3,0)</f>
        <v>1</v>
      </c>
      <c r="C25">
        <f t="shared" ref="C25:C30" si="13">B25/$I$2</f>
        <v>2.0833333333333332E-2</v>
      </c>
      <c r="D25">
        <v>0</v>
      </c>
      <c r="E25">
        <f>m3.large!$C$8*B25</f>
        <v>635.87900000000002</v>
      </c>
      <c r="F25">
        <f t="shared" ref="F25:F30" si="14">C25*$H$2+(D25*$H$4)</f>
        <v>25</v>
      </c>
      <c r="G25">
        <f t="shared" ref="G25:G30" si="15">(E25+F25)/43800</f>
        <v>1.5088561643835617E-2</v>
      </c>
      <c r="H25">
        <f>(m3.large!$D$9+($I$5*D25))*1.5*(0.115)</f>
        <v>1.8828375000000001E-2</v>
      </c>
      <c r="I25">
        <f t="shared" ref="I25:I30" si="16">7000/730*ROUNDUP(B25/1000,0)</f>
        <v>9.5890410958904102</v>
      </c>
      <c r="J25">
        <f t="shared" ref="J25:J30" si="17">G25+H25+I25</f>
        <v>9.6229580325342461</v>
      </c>
      <c r="K25">
        <f t="shared" ref="K25:K30" si="18">J25/($F$3*B25)</f>
        <v>0.48114790162671228</v>
      </c>
      <c r="L25">
        <f t="shared" ref="L25:L30" si="19">0.133/$F$3</f>
        <v>6.6500000000000005E-3</v>
      </c>
      <c r="M25">
        <f t="shared" si="10"/>
        <v>7235.3067913791319</v>
      </c>
    </row>
    <row r="26" spans="1:13" x14ac:dyDescent="0.25">
      <c r="A26">
        <v>100</v>
      </c>
      <c r="B26">
        <f t="shared" si="12"/>
        <v>5</v>
      </c>
      <c r="C26">
        <f t="shared" si="13"/>
        <v>0.10416666666666667</v>
      </c>
      <c r="D26">
        <f>ROUNDUP(B26/$I$4,0)</f>
        <v>1</v>
      </c>
      <c r="E26">
        <f>m3.large!$C$8*B26</f>
        <v>3179.395</v>
      </c>
      <c r="F26">
        <f t="shared" si="14"/>
        <v>814.99</v>
      </c>
      <c r="G26">
        <f t="shared" si="15"/>
        <v>9.1196004566210048E-2</v>
      </c>
      <c r="H26">
        <f>(m3.large!$D$9+($I$5*D26))*1.5*(0.115)</f>
        <v>3.2628375000000001E-2</v>
      </c>
      <c r="I26">
        <f t="shared" si="16"/>
        <v>9.5890410958904102</v>
      </c>
      <c r="J26">
        <f t="shared" si="17"/>
        <v>9.7128654754566206</v>
      </c>
      <c r="K26">
        <f t="shared" si="18"/>
        <v>9.712865475456621E-2</v>
      </c>
      <c r="L26">
        <f t="shared" si="19"/>
        <v>6.6500000000000005E-3</v>
      </c>
      <c r="M26">
        <f t="shared" si="10"/>
        <v>1460.5812745047549</v>
      </c>
    </row>
    <row r="27" spans="1:13" x14ac:dyDescent="0.25">
      <c r="A27">
        <v>1000</v>
      </c>
      <c r="B27">
        <f t="shared" si="12"/>
        <v>50</v>
      </c>
      <c r="C27">
        <f t="shared" si="13"/>
        <v>1.0416666666666667</v>
      </c>
      <c r="D27">
        <f t="shared" ref="D27:D30" si="20">ROUNDUP(B27/$I$4,0)</f>
        <v>2</v>
      </c>
      <c r="E27">
        <f>m3.large!$C$8*B27</f>
        <v>31793.95</v>
      </c>
      <c r="F27">
        <f t="shared" si="14"/>
        <v>2629.98</v>
      </c>
      <c r="G27">
        <f t="shared" si="15"/>
        <v>0.78593447488584478</v>
      </c>
      <c r="H27">
        <f>(m3.large!$D$9+($I$5*D27))*1.5*(0.115)</f>
        <v>4.6428375000000001E-2</v>
      </c>
      <c r="I27">
        <f t="shared" si="16"/>
        <v>9.5890410958904102</v>
      </c>
      <c r="J27">
        <f t="shared" si="17"/>
        <v>10.421403945776255</v>
      </c>
      <c r="K27">
        <f t="shared" si="18"/>
        <v>1.0421403945776255E-2</v>
      </c>
      <c r="L27">
        <f t="shared" si="19"/>
        <v>6.6500000000000005E-3</v>
      </c>
      <c r="M27">
        <f t="shared" si="10"/>
        <v>156.71284128986849</v>
      </c>
    </row>
    <row r="28" spans="1:13" x14ac:dyDescent="0.25">
      <c r="A28">
        <v>10000</v>
      </c>
      <c r="B28">
        <f t="shared" si="12"/>
        <v>500</v>
      </c>
      <c r="C28">
        <f t="shared" si="13"/>
        <v>10.416666666666666</v>
      </c>
      <c r="D28">
        <f t="shared" si="20"/>
        <v>11</v>
      </c>
      <c r="E28">
        <f>m3.large!$C$8*B28</f>
        <v>317939.5</v>
      </c>
      <c r="F28">
        <f t="shared" si="14"/>
        <v>20089.89</v>
      </c>
      <c r="G28">
        <f t="shared" si="15"/>
        <v>7.7175659817351603</v>
      </c>
      <c r="H28">
        <f>(m3.large!$D$9+($I$5*D28))*1.5*(0.115)</f>
        <v>0.170628375</v>
      </c>
      <c r="I28">
        <f t="shared" si="16"/>
        <v>9.5890410958904102</v>
      </c>
      <c r="J28">
        <f t="shared" si="17"/>
        <v>17.477235452625571</v>
      </c>
      <c r="K28">
        <f t="shared" si="18"/>
        <v>1.7477235452625572E-3</v>
      </c>
      <c r="L28">
        <f t="shared" si="19"/>
        <v>6.6500000000000005E-3</v>
      </c>
      <c r="M28">
        <f t="shared" si="10"/>
        <v>26.281557071617399</v>
      </c>
    </row>
    <row r="29" spans="1:13" x14ac:dyDescent="0.25">
      <c r="A29">
        <v>100000</v>
      </c>
      <c r="B29">
        <f t="shared" si="12"/>
        <v>5000</v>
      </c>
      <c r="C29">
        <f t="shared" si="13"/>
        <v>104.16666666666667</v>
      </c>
      <c r="D29">
        <f t="shared" si="20"/>
        <v>105</v>
      </c>
      <c r="E29">
        <f>m3.large!$C$8*B29</f>
        <v>3179395</v>
      </c>
      <c r="F29">
        <f t="shared" si="14"/>
        <v>197448.95</v>
      </c>
      <c r="G29">
        <f t="shared" si="15"/>
        <v>77.096893835616441</v>
      </c>
      <c r="H29">
        <f>(m3.large!$D$9+($I$5*D29))*1.5*(0.115)</f>
        <v>1.4678283750000001</v>
      </c>
      <c r="I29">
        <f t="shared" si="16"/>
        <v>47.945205479452049</v>
      </c>
      <c r="J29">
        <f t="shared" si="17"/>
        <v>126.50992769006848</v>
      </c>
      <c r="K29">
        <f t="shared" si="18"/>
        <v>1.2650992769006849E-3</v>
      </c>
      <c r="L29">
        <f t="shared" si="19"/>
        <v>6.6500000000000005E-3</v>
      </c>
      <c r="M29">
        <f t="shared" si="10"/>
        <v>19.024049276702026</v>
      </c>
    </row>
    <row r="30" spans="1:13" x14ac:dyDescent="0.25">
      <c r="A30">
        <v>1000000</v>
      </c>
      <c r="B30">
        <f t="shared" si="12"/>
        <v>50000</v>
      </c>
      <c r="C30">
        <f t="shared" si="13"/>
        <v>1041.6666666666667</v>
      </c>
      <c r="D30">
        <f t="shared" si="20"/>
        <v>1042</v>
      </c>
      <c r="E30">
        <f>m3.large!$C$8*B30</f>
        <v>31793950</v>
      </c>
      <c r="F30">
        <f t="shared" si="14"/>
        <v>1968969.58</v>
      </c>
      <c r="G30">
        <f t="shared" si="15"/>
        <v>770.84291278538808</v>
      </c>
      <c r="H30">
        <f>(m3.large!$D$9+($I$5*D30))*1.5*(0.115)</f>
        <v>14.398428375</v>
      </c>
      <c r="I30">
        <f t="shared" si="16"/>
        <v>479.45205479452051</v>
      </c>
      <c r="J30">
        <f t="shared" si="17"/>
        <v>1264.6933959549085</v>
      </c>
      <c r="K30">
        <f t="shared" si="18"/>
        <v>1.2646933959549085E-3</v>
      </c>
      <c r="L30">
        <f t="shared" si="19"/>
        <v>6.6500000000000005E-3</v>
      </c>
      <c r="M30">
        <f t="shared" si="10"/>
        <v>19.017945803833207</v>
      </c>
    </row>
    <row r="32" spans="1:13" x14ac:dyDescent="0.25">
      <c r="A32" t="s">
        <v>46</v>
      </c>
    </row>
    <row r="33" spans="1:13" x14ac:dyDescent="0.25">
      <c r="A33" t="s">
        <v>60</v>
      </c>
      <c r="B33" t="s">
        <v>61</v>
      </c>
      <c r="C33" t="s">
        <v>64</v>
      </c>
      <c r="D33" t="s">
        <v>65</v>
      </c>
      <c r="E33" t="s">
        <v>62</v>
      </c>
      <c r="F33" t="s">
        <v>63</v>
      </c>
      <c r="G33" t="s">
        <v>67</v>
      </c>
      <c r="H33" t="s">
        <v>66</v>
      </c>
      <c r="I33" t="s">
        <v>68</v>
      </c>
      <c r="J33" t="s">
        <v>69</v>
      </c>
      <c r="K33" t="s">
        <v>70</v>
      </c>
      <c r="L33" t="s">
        <v>75</v>
      </c>
      <c r="M33" t="e">
        <f t="shared" si="10"/>
        <v>#VALUE!</v>
      </c>
    </row>
    <row r="34" spans="1:13" x14ac:dyDescent="0.25">
      <c r="A34">
        <v>1</v>
      </c>
      <c r="B34">
        <f>ROUNDUP(A34/$F$4,0)</f>
        <v>1</v>
      </c>
      <c r="C34">
        <f>B34/$I$2</f>
        <v>2.0833333333333332E-2</v>
      </c>
      <c r="D34">
        <v>0</v>
      </c>
      <c r="E34">
        <f>m3.2xlarge!$C$8*B34</f>
        <v>1491.8560000000002</v>
      </c>
      <c r="F34">
        <f>C34*$H$2+(D34*$H$4)</f>
        <v>25</v>
      </c>
      <c r="G34">
        <f>(E34+F34)/43800</f>
        <v>3.4631415525114159E-2</v>
      </c>
      <c r="H34">
        <f>(m3.2xlarge!$D$9+($I$5*D34))*1.5*(0.115)</f>
        <v>2.6961750000000007E-2</v>
      </c>
      <c r="I34">
        <f>7000/730*ROUNDUP(B34/1000,0)</f>
        <v>9.5890410958904102</v>
      </c>
      <c r="J34">
        <f>G34+H34+I34</f>
        <v>9.6506342614155241</v>
      </c>
      <c r="K34">
        <f>J34/($F$4*B34)</f>
        <v>0.12063292826769405</v>
      </c>
      <c r="L34">
        <f>0.532/$F$4</f>
        <v>6.6500000000000005E-3</v>
      </c>
      <c r="M34">
        <f t="shared" si="10"/>
        <v>1814.0289965066775</v>
      </c>
    </row>
    <row r="35" spans="1:13" x14ac:dyDescent="0.25">
      <c r="A35">
        <v>10</v>
      </c>
      <c r="B35">
        <f t="shared" ref="B35:B40" si="21">ROUNDUP(A35/$F$4,0)</f>
        <v>1</v>
      </c>
      <c r="C35">
        <f t="shared" ref="C35:C40" si="22">B35/$I$2</f>
        <v>2.0833333333333332E-2</v>
      </c>
      <c r="D35">
        <v>0</v>
      </c>
      <c r="E35">
        <f>m3.2xlarge!$C$8*B35</f>
        <v>1491.8560000000002</v>
      </c>
      <c r="F35">
        <f t="shared" ref="F35:F40" si="23">C35*$H$2+(D35*$H$4)</f>
        <v>25</v>
      </c>
      <c r="G35">
        <f t="shared" ref="G35:G40" si="24">(E35+F35)/43800</f>
        <v>3.4631415525114159E-2</v>
      </c>
      <c r="H35">
        <f>(m3.2xlarge!$D$9+($I$5*D35))*1.5*(0.115)</f>
        <v>2.6961750000000007E-2</v>
      </c>
      <c r="I35">
        <f t="shared" ref="I35:I40" si="25">7000/730*ROUNDUP(B35/1000,0)</f>
        <v>9.5890410958904102</v>
      </c>
      <c r="J35">
        <f t="shared" ref="J35:J40" si="26">G35+H35+I35</f>
        <v>9.6506342614155241</v>
      </c>
      <c r="K35">
        <f t="shared" ref="K35:K40" si="27">J35/($F$4*B35)</f>
        <v>0.12063292826769405</v>
      </c>
      <c r="L35">
        <f t="shared" ref="L35:L40" si="28">0.532/$F$4</f>
        <v>6.6500000000000005E-3</v>
      </c>
      <c r="M35">
        <f t="shared" si="10"/>
        <v>1814.0289965066775</v>
      </c>
    </row>
    <row r="36" spans="1:13" x14ac:dyDescent="0.25">
      <c r="A36">
        <v>100</v>
      </c>
      <c r="B36">
        <f t="shared" si="21"/>
        <v>2</v>
      </c>
      <c r="C36">
        <f t="shared" si="22"/>
        <v>4.1666666666666664E-2</v>
      </c>
      <c r="D36">
        <v>1</v>
      </c>
      <c r="E36">
        <f>m3.2xlarge!$C$8*B36</f>
        <v>2983.7120000000004</v>
      </c>
      <c r="F36">
        <f t="shared" si="23"/>
        <v>739.99</v>
      </c>
      <c r="G36">
        <f t="shared" si="24"/>
        <v>8.5016027397260274E-2</v>
      </c>
      <c r="H36">
        <f>(m3.2xlarge!$D$9+($I$5*D36))*1.5*(0.115)</f>
        <v>4.0761750000000006E-2</v>
      </c>
      <c r="I36">
        <f t="shared" si="25"/>
        <v>9.5890410958904102</v>
      </c>
      <c r="J36">
        <f t="shared" si="26"/>
        <v>9.7148188732876708</v>
      </c>
      <c r="K36">
        <f t="shared" si="27"/>
        <v>6.0717617958047941E-2</v>
      </c>
      <c r="L36">
        <f t="shared" si="28"/>
        <v>6.6500000000000005E-3</v>
      </c>
      <c r="M36">
        <f t="shared" si="10"/>
        <v>913.04688658718703</v>
      </c>
    </row>
    <row r="37" spans="1:13" x14ac:dyDescent="0.25">
      <c r="A37">
        <v>1000</v>
      </c>
      <c r="B37">
        <f t="shared" si="21"/>
        <v>13</v>
      </c>
      <c r="C37">
        <f t="shared" si="22"/>
        <v>0.27083333333333331</v>
      </c>
      <c r="D37">
        <f t="shared" ref="D37:D40" si="29">ROUNDUP(B37/$I$4,0)</f>
        <v>1</v>
      </c>
      <c r="E37">
        <f>m3.2xlarge!$C$8*B37</f>
        <v>19394.128000000004</v>
      </c>
      <c r="F37">
        <f t="shared" si="23"/>
        <v>1014.99</v>
      </c>
      <c r="G37">
        <f t="shared" si="24"/>
        <v>0.46596159817351612</v>
      </c>
      <c r="H37">
        <f>(m3.2xlarge!$D$9+($I$5*D37))*1.5*(0.115)</f>
        <v>4.0761750000000006E-2</v>
      </c>
      <c r="I37">
        <f t="shared" si="25"/>
        <v>9.5890410958904102</v>
      </c>
      <c r="J37">
        <f t="shared" si="26"/>
        <v>10.095764444063926</v>
      </c>
      <c r="K37">
        <f t="shared" si="27"/>
        <v>9.7074658115999281E-3</v>
      </c>
      <c r="L37">
        <f t="shared" si="28"/>
        <v>6.6500000000000005E-3</v>
      </c>
      <c r="M37">
        <f t="shared" si="10"/>
        <v>145.97692949774327</v>
      </c>
    </row>
    <row r="38" spans="1:13" x14ac:dyDescent="0.25">
      <c r="A38">
        <v>10000</v>
      </c>
      <c r="B38">
        <f t="shared" si="21"/>
        <v>125</v>
      </c>
      <c r="C38">
        <f t="shared" si="22"/>
        <v>2.6041666666666665</v>
      </c>
      <c r="D38">
        <f t="shared" si="29"/>
        <v>3</v>
      </c>
      <c r="E38">
        <f>m3.2xlarge!$C$8*B38</f>
        <v>186482.00000000003</v>
      </c>
      <c r="F38">
        <f t="shared" si="23"/>
        <v>5194.97</v>
      </c>
      <c r="G38">
        <f t="shared" si="24"/>
        <v>4.3761865296803659</v>
      </c>
      <c r="H38">
        <f>(m3.2xlarge!$D$9+($I$5*D38))*1.5*(0.115)</f>
        <v>6.8361749999999999E-2</v>
      </c>
      <c r="I38">
        <f t="shared" si="25"/>
        <v>9.5890410958904102</v>
      </c>
      <c r="J38">
        <f t="shared" si="26"/>
        <v>14.033589375570777</v>
      </c>
      <c r="K38">
        <f t="shared" si="27"/>
        <v>1.4033589375570777E-3</v>
      </c>
      <c r="L38">
        <f t="shared" si="28"/>
        <v>6.6500000000000005E-3</v>
      </c>
      <c r="M38">
        <f t="shared" si="10"/>
        <v>21.103141918151543</v>
      </c>
    </row>
    <row r="39" spans="1:13" x14ac:dyDescent="0.25">
      <c r="A39">
        <v>100000</v>
      </c>
      <c r="B39">
        <f t="shared" si="21"/>
        <v>1250</v>
      </c>
      <c r="C39">
        <f t="shared" si="22"/>
        <v>26.041666666666668</v>
      </c>
      <c r="D39">
        <f t="shared" si="29"/>
        <v>27</v>
      </c>
      <c r="E39">
        <f>m3.2xlarge!$C$8*B39</f>
        <v>1864820.0000000002</v>
      </c>
      <c r="F39">
        <f t="shared" si="23"/>
        <v>49879.729999999996</v>
      </c>
      <c r="G39">
        <f t="shared" si="24"/>
        <v>43.714605707762558</v>
      </c>
      <c r="H39">
        <f>(m3.2xlarge!$D$9+($I$5*D39))*1.5*(0.115)</f>
        <v>0.39956175000000005</v>
      </c>
      <c r="I39">
        <f t="shared" si="25"/>
        <v>19.17808219178082</v>
      </c>
      <c r="J39">
        <f t="shared" si="26"/>
        <v>63.292249649543379</v>
      </c>
      <c r="K39">
        <f t="shared" si="27"/>
        <v>6.3292249649543381E-4</v>
      </c>
      <c r="L39">
        <f t="shared" si="28"/>
        <v>6.6500000000000005E-3</v>
      </c>
      <c r="M39">
        <f t="shared" si="10"/>
        <v>9.5176315262471238</v>
      </c>
    </row>
    <row r="40" spans="1:13" x14ac:dyDescent="0.25">
      <c r="A40">
        <v>1000000</v>
      </c>
      <c r="B40">
        <f t="shared" si="21"/>
        <v>12500</v>
      </c>
      <c r="C40">
        <f t="shared" si="22"/>
        <v>260.41666666666669</v>
      </c>
      <c r="D40">
        <f t="shared" si="29"/>
        <v>261</v>
      </c>
      <c r="E40">
        <f>m3.2xlarge!$C$8*B40</f>
        <v>18648200.000000004</v>
      </c>
      <c r="F40">
        <f t="shared" si="23"/>
        <v>492587.39</v>
      </c>
      <c r="G40">
        <f t="shared" si="24"/>
        <v>437.0042783105024</v>
      </c>
      <c r="H40">
        <f>(m3.2xlarge!$D$9+($I$5*D40))*1.5*(0.115)</f>
        <v>3.6287617500000007</v>
      </c>
      <c r="I40">
        <f t="shared" si="25"/>
        <v>124.65753424657534</v>
      </c>
      <c r="J40">
        <f t="shared" si="26"/>
        <v>565.2905743070778</v>
      </c>
      <c r="K40">
        <f t="shared" si="27"/>
        <v>5.6529057430707778E-4</v>
      </c>
      <c r="L40">
        <f t="shared" si="28"/>
        <v>6.6500000000000005E-3</v>
      </c>
      <c r="M40">
        <f t="shared" si="10"/>
        <v>8.5006101399560574</v>
      </c>
    </row>
    <row r="42" spans="1:13" x14ac:dyDescent="0.25">
      <c r="A42" t="s">
        <v>47</v>
      </c>
    </row>
    <row r="43" spans="1:13" x14ac:dyDescent="0.25">
      <c r="A43" t="s">
        <v>60</v>
      </c>
      <c r="B43" t="s">
        <v>61</v>
      </c>
      <c r="C43" t="s">
        <v>64</v>
      </c>
      <c r="D43" t="s">
        <v>65</v>
      </c>
      <c r="E43" t="s">
        <v>62</v>
      </c>
      <c r="F43" t="s">
        <v>63</v>
      </c>
      <c r="G43" t="s">
        <v>67</v>
      </c>
      <c r="H43" t="s">
        <v>66</v>
      </c>
      <c r="I43" t="s">
        <v>68</v>
      </c>
      <c r="J43" t="s">
        <v>69</v>
      </c>
      <c r="K43" t="s">
        <v>70</v>
      </c>
      <c r="L43" t="s">
        <v>76</v>
      </c>
      <c r="M43" t="e">
        <f t="shared" si="10"/>
        <v>#VALUE!</v>
      </c>
    </row>
    <row r="44" spans="1:13" x14ac:dyDescent="0.25">
      <c r="A44">
        <v>1</v>
      </c>
      <c r="B44">
        <f>ROUNDUP(A44/$F$5,0)</f>
        <v>1</v>
      </c>
      <c r="C44">
        <f>B44/$I$2</f>
        <v>2.0833333333333332E-2</v>
      </c>
      <c r="D44">
        <v>0</v>
      </c>
      <c r="E44">
        <f>c3.8xlarge!$C$8*B44</f>
        <v>4085.9539999999997</v>
      </c>
      <c r="F44">
        <f>C44*$H$2+(D44*$H$7)</f>
        <v>25</v>
      </c>
      <c r="G44">
        <f>(E44+F44)/43800</f>
        <v>9.3857397260273964E-2</v>
      </c>
      <c r="H44">
        <f>(c3.8xlarge!$D$9+($I$8*D44))*1.5*(0.115)</f>
        <v>5.2491750000000004E-2</v>
      </c>
      <c r="I44">
        <f>7000/730*ROUNDUP(B44/1000,0)</f>
        <v>9.5890410958904102</v>
      </c>
      <c r="J44">
        <f>G44+H44+I44</f>
        <v>9.7353902431506842</v>
      </c>
      <c r="K44">
        <f>J44/($F$5*B44)</f>
        <v>2.716347724093383E-2</v>
      </c>
      <c r="L44">
        <f t="shared" ref="L44:L50" si="30">1.68/$F$5</f>
        <v>4.6874999999999998E-3</v>
      </c>
      <c r="M44">
        <f t="shared" si="10"/>
        <v>579.48751447325503</v>
      </c>
    </row>
    <row r="45" spans="1:13" x14ac:dyDescent="0.25">
      <c r="A45">
        <v>10</v>
      </c>
      <c r="B45">
        <f t="shared" ref="B45:B50" si="31">ROUNDUP(A45/$F$5,0)</f>
        <v>1</v>
      </c>
      <c r="C45">
        <f t="shared" ref="C45:C50" si="32">B45/$I$2</f>
        <v>2.0833333333333332E-2</v>
      </c>
      <c r="D45">
        <v>0</v>
      </c>
      <c r="E45">
        <f>c3.8xlarge!$C$8*B45</f>
        <v>4085.9539999999997</v>
      </c>
      <c r="F45">
        <f t="shared" ref="F45:F50" si="33">C45*$H$2+(D45*$H$7)</f>
        <v>25</v>
      </c>
      <c r="G45">
        <f t="shared" ref="G45:G50" si="34">(E45+F45)/43800</f>
        <v>9.3857397260273964E-2</v>
      </c>
      <c r="H45">
        <f>(c3.8xlarge!$D$9+($I$8*D45))*1.5*(0.115)</f>
        <v>5.2491750000000004E-2</v>
      </c>
      <c r="I45">
        <f t="shared" ref="I45:I50" si="35">7000/730*ROUNDUP(B45/1000,0)</f>
        <v>9.5890410958904102</v>
      </c>
      <c r="J45">
        <f t="shared" ref="J45:J50" si="36">G45+H45+I45</f>
        <v>9.7353902431506842</v>
      </c>
      <c r="K45">
        <f t="shared" ref="K45:K50" si="37">J45/($F$5*B45)</f>
        <v>2.716347724093383E-2</v>
      </c>
      <c r="L45">
        <f t="shared" si="30"/>
        <v>4.6874999999999998E-3</v>
      </c>
      <c r="M45">
        <f t="shared" si="10"/>
        <v>579.48751447325503</v>
      </c>
    </row>
    <row r="46" spans="1:13" x14ac:dyDescent="0.25">
      <c r="A46">
        <v>100</v>
      </c>
      <c r="B46">
        <f t="shared" si="31"/>
        <v>1</v>
      </c>
      <c r="C46">
        <f t="shared" si="32"/>
        <v>2.0833333333333332E-2</v>
      </c>
      <c r="D46">
        <v>0</v>
      </c>
      <c r="E46">
        <f>c3.8xlarge!$C$8*B46</f>
        <v>4085.9539999999997</v>
      </c>
      <c r="F46">
        <f t="shared" si="33"/>
        <v>25</v>
      </c>
      <c r="G46">
        <f t="shared" si="34"/>
        <v>9.3857397260273964E-2</v>
      </c>
      <c r="H46">
        <f>(c3.8xlarge!$D$9+($I$8*D46))*1.5*(0.115)</f>
        <v>5.2491750000000004E-2</v>
      </c>
      <c r="I46">
        <f t="shared" si="35"/>
        <v>9.5890410958904102</v>
      </c>
      <c r="J46">
        <f t="shared" si="36"/>
        <v>9.7353902431506842</v>
      </c>
      <c r="K46">
        <f t="shared" si="37"/>
        <v>2.716347724093383E-2</v>
      </c>
      <c r="L46">
        <f t="shared" si="30"/>
        <v>4.6874999999999998E-3</v>
      </c>
      <c r="M46">
        <f t="shared" si="10"/>
        <v>579.48751447325503</v>
      </c>
    </row>
    <row r="47" spans="1:13" x14ac:dyDescent="0.25">
      <c r="A47">
        <v>1000</v>
      </c>
      <c r="B47">
        <f t="shared" si="31"/>
        <v>3</v>
      </c>
      <c r="C47">
        <f t="shared" si="32"/>
        <v>6.25E-2</v>
      </c>
      <c r="D47">
        <v>1</v>
      </c>
      <c r="E47">
        <f>c3.8xlarge!$C$8*B47</f>
        <v>12257.861999999999</v>
      </c>
      <c r="F47">
        <f t="shared" si="33"/>
        <v>7775</v>
      </c>
      <c r="G47">
        <f t="shared" si="34"/>
        <v>0.45737127853881282</v>
      </c>
      <c r="H47">
        <f>(c3.8xlarge!$D$9+($I$8*D47))*1.5*(0.115)</f>
        <v>0.10424175000000001</v>
      </c>
      <c r="I47">
        <f t="shared" si="35"/>
        <v>9.5890410958904102</v>
      </c>
      <c r="J47">
        <f t="shared" si="36"/>
        <v>10.150654124429224</v>
      </c>
      <c r="K47">
        <f t="shared" si="37"/>
        <v>9.4407125413218246E-3</v>
      </c>
      <c r="L47">
        <f t="shared" si="30"/>
        <v>4.6874999999999998E-3</v>
      </c>
      <c r="M47">
        <f t="shared" si="10"/>
        <v>201.40186754819896</v>
      </c>
    </row>
    <row r="48" spans="1:13" x14ac:dyDescent="0.25">
      <c r="A48">
        <v>10000</v>
      </c>
      <c r="B48">
        <f t="shared" si="31"/>
        <v>28</v>
      </c>
      <c r="C48">
        <f t="shared" si="32"/>
        <v>0.58333333333333337</v>
      </c>
      <c r="D48">
        <v>1</v>
      </c>
      <c r="E48">
        <f>c3.8xlarge!$C$8*B48</f>
        <v>114406.712</v>
      </c>
      <c r="F48">
        <f t="shared" si="33"/>
        <v>8400</v>
      </c>
      <c r="G48">
        <f t="shared" si="34"/>
        <v>2.803806210045662</v>
      </c>
      <c r="H48">
        <f>(c3.8xlarge!$D$9+($I$8*D48))*1.5*(0.115)</f>
        <v>0.10424175000000001</v>
      </c>
      <c r="I48">
        <f t="shared" si="35"/>
        <v>9.5890410958904102</v>
      </c>
      <c r="J48">
        <f t="shared" si="36"/>
        <v>12.497089055936073</v>
      </c>
      <c r="K48">
        <f t="shared" si="37"/>
        <v>1.2453253603252625E-3</v>
      </c>
      <c r="L48">
        <f t="shared" si="30"/>
        <v>4.6874999999999998E-3</v>
      </c>
      <c r="M48">
        <f t="shared" si="10"/>
        <v>26.566941020272267</v>
      </c>
    </row>
    <row r="49" spans="1:13" x14ac:dyDescent="0.25">
      <c r="A49">
        <v>100000</v>
      </c>
      <c r="B49">
        <f t="shared" si="31"/>
        <v>280</v>
      </c>
      <c r="C49">
        <f t="shared" si="32"/>
        <v>5.833333333333333</v>
      </c>
      <c r="D49">
        <f>ROUNDUP(B49/$I$7,0)+1</f>
        <v>13</v>
      </c>
      <c r="E49">
        <f>c3.8xlarge!$C$8*B49</f>
        <v>1144067.1199999999</v>
      </c>
      <c r="F49">
        <f t="shared" si="33"/>
        <v>107100</v>
      </c>
      <c r="G49">
        <f t="shared" si="34"/>
        <v>28.565459360730589</v>
      </c>
      <c r="H49">
        <f>(c3.8xlarge!$D$9+($I$8*D49))*1.5*(0.115)</f>
        <v>0.72524175000000002</v>
      </c>
      <c r="I49">
        <f t="shared" si="35"/>
        <v>9.5890410958904102</v>
      </c>
      <c r="J49">
        <f t="shared" si="36"/>
        <v>38.879742206620996</v>
      </c>
      <c r="K49">
        <f t="shared" si="37"/>
        <v>3.8743365559850324E-4</v>
      </c>
      <c r="L49">
        <f t="shared" si="30"/>
        <v>4.6874999999999998E-3</v>
      </c>
      <c r="M49">
        <f t="shared" si="10"/>
        <v>8.2652513194347357</v>
      </c>
    </row>
    <row r="50" spans="1:13" x14ac:dyDescent="0.25">
      <c r="A50">
        <v>1000000</v>
      </c>
      <c r="B50">
        <f t="shared" si="31"/>
        <v>2791</v>
      </c>
      <c r="C50">
        <f t="shared" si="32"/>
        <v>58.145833333333336</v>
      </c>
      <c r="D50">
        <f>ROUNDUP(B50/$I$7+B50/$I$7/$I$7+1,0)</f>
        <v>123</v>
      </c>
      <c r="E50">
        <f>c3.8xlarge!$C$8*B50</f>
        <v>11403897.614</v>
      </c>
      <c r="F50">
        <f t="shared" si="33"/>
        <v>1016875</v>
      </c>
      <c r="G50">
        <f t="shared" si="34"/>
        <v>283.57928342465755</v>
      </c>
      <c r="H50">
        <f>(c3.8xlarge!$D$9+($I$8*D50))*1.5*(0.115)</f>
        <v>6.4177417500000002</v>
      </c>
      <c r="I50">
        <f t="shared" si="35"/>
        <v>28.767123287671232</v>
      </c>
      <c r="J50">
        <f t="shared" si="36"/>
        <v>318.76414846232876</v>
      </c>
      <c r="K50">
        <f t="shared" si="37"/>
        <v>3.1867033191661253E-4</v>
      </c>
      <c r="L50">
        <f t="shared" si="30"/>
        <v>4.6874999999999998E-3</v>
      </c>
      <c r="M50">
        <f t="shared" si="10"/>
        <v>6.7983004142210675</v>
      </c>
    </row>
    <row r="52" spans="1:13" x14ac:dyDescent="0.25">
      <c r="A52" t="s">
        <v>48</v>
      </c>
    </row>
    <row r="53" spans="1:13" x14ac:dyDescent="0.25">
      <c r="A53" t="s">
        <v>60</v>
      </c>
      <c r="B53" t="s">
        <v>61</v>
      </c>
      <c r="C53" t="s">
        <v>64</v>
      </c>
      <c r="D53" t="s">
        <v>65</v>
      </c>
      <c r="E53" t="s">
        <v>62</v>
      </c>
      <c r="F53" t="s">
        <v>63</v>
      </c>
      <c r="G53" t="s">
        <v>67</v>
      </c>
      <c r="H53" t="s">
        <v>66</v>
      </c>
      <c r="I53" t="s">
        <v>68</v>
      </c>
      <c r="J53" t="s">
        <v>69</v>
      </c>
      <c r="K53" t="s">
        <v>70</v>
      </c>
      <c r="L53" t="s">
        <v>77</v>
      </c>
      <c r="M53" t="e">
        <f t="shared" si="10"/>
        <v>#VALUE!</v>
      </c>
    </row>
    <row r="54" spans="1:13" x14ac:dyDescent="0.25">
      <c r="A54">
        <v>1</v>
      </c>
      <c r="B54">
        <f>ROUNDUP(A54/$F$6,0)</f>
        <v>1</v>
      </c>
      <c r="C54">
        <f>B54/$I$2</f>
        <v>2.0833333333333332E-2</v>
      </c>
      <c r="D54">
        <v>0</v>
      </c>
      <c r="E54">
        <f>g2.2xlarge!$C$8*B54</f>
        <v>959.87</v>
      </c>
      <c r="F54">
        <f>C54*$H$2+(D54*$H$4)</f>
        <v>25</v>
      </c>
      <c r="G54">
        <f>(E54+F54)/43800</f>
        <v>2.2485616438356164E-2</v>
      </c>
      <c r="H54">
        <f>(g2.2xlarge!$D$9+($I$5*D54))*1.5*(0.115)</f>
        <v>1.8569625000000003E-2</v>
      </c>
      <c r="I54">
        <f>7000/730*ROUNDUP(B54/1000,0)</f>
        <v>9.5890410958904102</v>
      </c>
      <c r="J54">
        <f>G54+H54+I54</f>
        <v>9.6300963373287658</v>
      </c>
      <c r="K54">
        <f>J54/($F$6*B54)</f>
        <v>0.11574635020827843</v>
      </c>
      <c r="L54">
        <f>0.65/$F$6</f>
        <v>7.8125E-3</v>
      </c>
      <c r="M54">
        <f t="shared" si="10"/>
        <v>1481.5532826659639</v>
      </c>
    </row>
    <row r="55" spans="1:13" x14ac:dyDescent="0.25">
      <c r="A55">
        <v>10</v>
      </c>
      <c r="B55">
        <f t="shared" ref="B55:B60" si="38">ROUNDUP(A55/$F$6,0)</f>
        <v>1</v>
      </c>
      <c r="C55">
        <f t="shared" ref="C55:C60" si="39">B55/$I$2</f>
        <v>2.0833333333333332E-2</v>
      </c>
      <c r="D55">
        <v>0</v>
      </c>
      <c r="E55">
        <f>g2.2xlarge!$C$8*B55</f>
        <v>959.87</v>
      </c>
      <c r="F55">
        <f t="shared" ref="F55:F60" si="40">C55*$H$2+(D55*$H$4)</f>
        <v>25</v>
      </c>
      <c r="G55">
        <f t="shared" ref="G55:G60" si="41">(E55+F55)/43800</f>
        <v>2.2485616438356164E-2</v>
      </c>
      <c r="H55">
        <f>(g2.2xlarge!$D$9+($I$5*D55))*1.5*(0.115)</f>
        <v>1.8569625000000003E-2</v>
      </c>
      <c r="I55">
        <f t="shared" ref="I55:I60" si="42">7000/730*ROUNDUP(B55/1000,0)</f>
        <v>9.5890410958904102</v>
      </c>
      <c r="J55">
        <f t="shared" ref="J55:J60" si="43">G55+H55+I55</f>
        <v>9.6300963373287658</v>
      </c>
      <c r="K55">
        <f t="shared" ref="K55:K60" si="44">J55/($F$6*B55)</f>
        <v>0.11574635020827843</v>
      </c>
      <c r="L55">
        <f t="shared" ref="L55:L60" si="45">0.65/$F$6</f>
        <v>7.8125E-3</v>
      </c>
      <c r="M55">
        <f t="shared" si="10"/>
        <v>1481.5532826659639</v>
      </c>
    </row>
    <row r="56" spans="1:13" x14ac:dyDescent="0.25">
      <c r="A56">
        <v>100</v>
      </c>
      <c r="B56">
        <f t="shared" si="38"/>
        <v>2</v>
      </c>
      <c r="C56">
        <f t="shared" si="39"/>
        <v>4.1666666666666664E-2</v>
      </c>
      <c r="D56">
        <v>1</v>
      </c>
      <c r="E56">
        <f>g2.2xlarge!$C$8*B56</f>
        <v>1919.74</v>
      </c>
      <c r="F56">
        <f t="shared" si="40"/>
        <v>739.99</v>
      </c>
      <c r="G56">
        <f t="shared" si="41"/>
        <v>6.072442922374429E-2</v>
      </c>
      <c r="H56">
        <f>(g2.2xlarge!$D$9+($I$5*D56))*1.5*(0.115)</f>
        <v>3.2369625000000006E-2</v>
      </c>
      <c r="I56">
        <f t="shared" si="42"/>
        <v>9.5890410958904102</v>
      </c>
      <c r="J56">
        <f t="shared" si="43"/>
        <v>9.6821351501141546</v>
      </c>
      <c r="K56">
        <f t="shared" si="44"/>
        <v>5.8185908354051408E-2</v>
      </c>
      <c r="L56">
        <f t="shared" si="45"/>
        <v>7.8125E-3</v>
      </c>
      <c r="M56">
        <f t="shared" si="10"/>
        <v>744.77962693185805</v>
      </c>
    </row>
    <row r="57" spans="1:13" x14ac:dyDescent="0.25">
      <c r="A57">
        <v>1000</v>
      </c>
      <c r="B57">
        <f t="shared" si="38"/>
        <v>13</v>
      </c>
      <c r="C57">
        <f t="shared" si="39"/>
        <v>0.27083333333333331</v>
      </c>
      <c r="D57">
        <f t="shared" ref="D57:D60" si="46">ROUNDUP(B57/$I$4,0)</f>
        <v>1</v>
      </c>
      <c r="E57">
        <f>g2.2xlarge!$C$8*B57</f>
        <v>12478.31</v>
      </c>
      <c r="F57">
        <f t="shared" si="40"/>
        <v>1014.99</v>
      </c>
      <c r="G57">
        <f t="shared" si="41"/>
        <v>0.30806621004566209</v>
      </c>
      <c r="H57">
        <f>(g2.2xlarge!$D$9+($I$5*D57))*1.5*(0.115)</f>
        <v>3.2369625000000006E-2</v>
      </c>
      <c r="I57">
        <f t="shared" si="42"/>
        <v>9.5890410958904102</v>
      </c>
      <c r="J57">
        <f t="shared" si="43"/>
        <v>9.9294769309360724</v>
      </c>
      <c r="K57">
        <f t="shared" si="44"/>
        <v>9.1803595885133794E-3</v>
      </c>
      <c r="L57">
        <f t="shared" si="45"/>
        <v>7.8125E-3</v>
      </c>
      <c r="M57">
        <f t="shared" si="10"/>
        <v>117.50860273297126</v>
      </c>
    </row>
    <row r="58" spans="1:13" x14ac:dyDescent="0.25">
      <c r="A58">
        <v>10000</v>
      </c>
      <c r="B58">
        <f t="shared" si="38"/>
        <v>121</v>
      </c>
      <c r="C58">
        <f t="shared" si="39"/>
        <v>2.5208333333333335</v>
      </c>
      <c r="D58">
        <f t="shared" si="46"/>
        <v>3</v>
      </c>
      <c r="E58">
        <f>g2.2xlarge!$C$8*B58</f>
        <v>116144.27</v>
      </c>
      <c r="F58">
        <f t="shared" si="40"/>
        <v>5094.97</v>
      </c>
      <c r="G58">
        <f t="shared" si="41"/>
        <v>2.7680191780821919</v>
      </c>
      <c r="H58">
        <f>(g2.2xlarge!$D$9+($I$5*D58))*1.5*(0.115)</f>
        <v>5.9969625000000006E-2</v>
      </c>
      <c r="I58">
        <f t="shared" si="42"/>
        <v>9.5890410958904102</v>
      </c>
      <c r="J58">
        <f t="shared" si="43"/>
        <v>12.417029898972602</v>
      </c>
      <c r="K58">
        <f t="shared" si="44"/>
        <v>1.233414444828016E-3</v>
      </c>
      <c r="L58">
        <f t="shared" si="45"/>
        <v>7.8125E-3</v>
      </c>
      <c r="M58">
        <f t="shared" si="10"/>
        <v>15.787704893798605</v>
      </c>
    </row>
    <row r="59" spans="1:13" x14ac:dyDescent="0.25">
      <c r="A59">
        <v>100000</v>
      </c>
      <c r="B59">
        <f t="shared" si="38"/>
        <v>1202</v>
      </c>
      <c r="C59">
        <f t="shared" si="39"/>
        <v>25.041666666666668</v>
      </c>
      <c r="D59">
        <f t="shared" si="46"/>
        <v>26</v>
      </c>
      <c r="E59">
        <f>g2.2xlarge!$C$8*B59</f>
        <v>1153763.74</v>
      </c>
      <c r="F59">
        <f t="shared" si="40"/>
        <v>47989.740000000005</v>
      </c>
      <c r="G59">
        <f t="shared" si="41"/>
        <v>27.437294063926942</v>
      </c>
      <c r="H59">
        <f>(g2.2xlarge!$D$9+($I$5*D59))*1.5*(0.115)</f>
        <v>0.37736962500000004</v>
      </c>
      <c r="I59">
        <f t="shared" si="42"/>
        <v>19.17808219178082</v>
      </c>
      <c r="J59">
        <f t="shared" si="43"/>
        <v>46.992745880707758</v>
      </c>
      <c r="K59">
        <f t="shared" si="44"/>
        <v>4.6989738537441358E-4</v>
      </c>
      <c r="L59">
        <f t="shared" si="45"/>
        <v>7.8125E-3</v>
      </c>
      <c r="M59">
        <f t="shared" si="10"/>
        <v>6.0146865327924939</v>
      </c>
    </row>
    <row r="60" spans="1:13" x14ac:dyDescent="0.25">
      <c r="A60">
        <v>1000000</v>
      </c>
      <c r="B60">
        <f t="shared" si="38"/>
        <v>12020</v>
      </c>
      <c r="C60">
        <f t="shared" si="39"/>
        <v>250.41666666666666</v>
      </c>
      <c r="D60">
        <f t="shared" si="46"/>
        <v>251</v>
      </c>
      <c r="E60">
        <f>g2.2xlarge!$C$8*B60</f>
        <v>11537637.4</v>
      </c>
      <c r="F60">
        <f t="shared" si="40"/>
        <v>473687.49</v>
      </c>
      <c r="G60">
        <f t="shared" si="41"/>
        <v>274.23116187214612</v>
      </c>
      <c r="H60">
        <f>(g2.2xlarge!$D$9+($I$5*D60))*1.5*(0.115)</f>
        <v>3.482369625</v>
      </c>
      <c r="I60">
        <f t="shared" si="42"/>
        <v>124.65753424657534</v>
      </c>
      <c r="J60">
        <f t="shared" si="43"/>
        <v>402.37106574372143</v>
      </c>
      <c r="K60">
        <f t="shared" si="44"/>
        <v>4.0234531564352024E-4</v>
      </c>
      <c r="L60">
        <f t="shared" si="45"/>
        <v>7.8125E-3</v>
      </c>
      <c r="M60">
        <f t="shared" si="10"/>
        <v>5.1500200402370595</v>
      </c>
    </row>
    <row r="62" spans="1:13" x14ac:dyDescent="0.25">
      <c r="A62" t="s">
        <v>49</v>
      </c>
    </row>
    <row r="63" spans="1:13" x14ac:dyDescent="0.25">
      <c r="A63" t="s">
        <v>60</v>
      </c>
      <c r="B63" t="s">
        <v>61</v>
      </c>
      <c r="C63" t="s">
        <v>64</v>
      </c>
      <c r="D63" t="s">
        <v>65</v>
      </c>
      <c r="E63" t="s">
        <v>62</v>
      </c>
      <c r="F63" t="s">
        <v>63</v>
      </c>
      <c r="G63" t="s">
        <v>67</v>
      </c>
      <c r="H63" t="s">
        <v>66</v>
      </c>
      <c r="I63" t="s">
        <v>68</v>
      </c>
      <c r="J63" t="s">
        <v>69</v>
      </c>
      <c r="K63" t="s">
        <v>70</v>
      </c>
      <c r="L63" t="s">
        <v>78</v>
      </c>
      <c r="M63" t="e">
        <f t="shared" si="10"/>
        <v>#VALUE!</v>
      </c>
    </row>
    <row r="64" spans="1:13" x14ac:dyDescent="0.25">
      <c r="A64">
        <v>1</v>
      </c>
      <c r="B64">
        <f>ROUNDUP(A64/$F$7,0)</f>
        <v>1</v>
      </c>
      <c r="C64">
        <f>B64/$I$2</f>
        <v>2.0833333333333332E-2</v>
      </c>
      <c r="D64">
        <v>0</v>
      </c>
      <c r="E64">
        <f>r3.4xlarge!$C$8*B64</f>
        <v>3337.7720000000004</v>
      </c>
      <c r="F64">
        <f>C64*$H$2+(D64*$H$4)</f>
        <v>25</v>
      </c>
      <c r="G64">
        <f>(E64+F64)/43800</f>
        <v>7.6775616438356176E-2</v>
      </c>
      <c r="H64">
        <f>(r3.4xlarge!$D$9+($I$5*D64))*1.5*(0.115)</f>
        <v>3.8778E-2</v>
      </c>
      <c r="I64">
        <f>7000/730*ROUNDUP(B64/1000,0)</f>
        <v>9.5890410958904102</v>
      </c>
      <c r="J64">
        <f>G64+H64+I64</f>
        <v>9.7045947123287668</v>
      </c>
      <c r="K64">
        <f>J64/($F$7*B64)</f>
        <v>6.0653716952054793E-2</v>
      </c>
      <c r="L64">
        <f>1.33/$F$7</f>
        <v>8.3125000000000004E-3</v>
      </c>
      <c r="M64">
        <f t="shared" si="10"/>
        <v>729.66877536306515</v>
      </c>
    </row>
    <row r="65" spans="1:13" x14ac:dyDescent="0.25">
      <c r="A65">
        <v>10</v>
      </c>
      <c r="B65">
        <f t="shared" ref="B65:B70" si="47">ROUNDUP(A65/$F$7,0)</f>
        <v>1</v>
      </c>
      <c r="C65">
        <f t="shared" ref="C65:C70" si="48">B65/$I$2</f>
        <v>2.0833333333333332E-2</v>
      </c>
      <c r="D65">
        <v>0</v>
      </c>
      <c r="E65">
        <f>r3.4xlarge!$C$8*B65</f>
        <v>3337.7720000000004</v>
      </c>
      <c r="F65">
        <f t="shared" ref="F65:F70" si="49">C65*$H$2+(D65*$H$4)</f>
        <v>25</v>
      </c>
      <c r="G65">
        <f t="shared" ref="G65:G70" si="50">(E65+F65)/43800</f>
        <v>7.6775616438356176E-2</v>
      </c>
      <c r="H65">
        <f>(r3.4xlarge!$D$9+($I$5*D65))*1.5*(0.115)</f>
        <v>3.8778E-2</v>
      </c>
      <c r="I65">
        <f t="shared" ref="I65:I70" si="51">7000/730*ROUNDUP(B65/1000,0)</f>
        <v>9.5890410958904102</v>
      </c>
      <c r="J65">
        <f t="shared" ref="J65:J70" si="52">G65+H65+I65</f>
        <v>9.7045947123287668</v>
      </c>
      <c r="K65">
        <f t="shared" ref="K65:K70" si="53">J65/($F$7*B65)</f>
        <v>6.0653716952054793E-2</v>
      </c>
      <c r="L65">
        <f t="shared" ref="L65:L70" si="54">1.33/$F$7</f>
        <v>8.3125000000000004E-3</v>
      </c>
      <c r="M65">
        <f t="shared" si="10"/>
        <v>729.66877536306515</v>
      </c>
    </row>
    <row r="66" spans="1:13" x14ac:dyDescent="0.25">
      <c r="A66">
        <v>100</v>
      </c>
      <c r="B66">
        <f t="shared" si="47"/>
        <v>1</v>
      </c>
      <c r="C66">
        <f t="shared" si="48"/>
        <v>2.0833333333333332E-2</v>
      </c>
      <c r="D66">
        <v>0</v>
      </c>
      <c r="E66">
        <f>r3.4xlarge!$C$8*B66</f>
        <v>3337.7720000000004</v>
      </c>
      <c r="F66">
        <f t="shared" si="49"/>
        <v>25</v>
      </c>
      <c r="G66">
        <f t="shared" si="50"/>
        <v>7.6775616438356176E-2</v>
      </c>
      <c r="H66">
        <f>(r3.4xlarge!$D$9+($I$5*D66))*1.5*(0.115)</f>
        <v>3.8778E-2</v>
      </c>
      <c r="I66">
        <f t="shared" si="51"/>
        <v>9.5890410958904102</v>
      </c>
      <c r="J66">
        <f t="shared" si="52"/>
        <v>9.7045947123287668</v>
      </c>
      <c r="K66">
        <f t="shared" si="53"/>
        <v>6.0653716952054793E-2</v>
      </c>
      <c r="L66">
        <f t="shared" si="54"/>
        <v>8.3125000000000004E-3</v>
      </c>
      <c r="M66">
        <f t="shared" si="10"/>
        <v>729.66877536306515</v>
      </c>
    </row>
    <row r="67" spans="1:13" x14ac:dyDescent="0.25">
      <c r="A67">
        <v>1000</v>
      </c>
      <c r="B67">
        <f t="shared" si="47"/>
        <v>7</v>
      </c>
      <c r="C67">
        <f t="shared" si="48"/>
        <v>0.14583333333333334</v>
      </c>
      <c r="D67">
        <f t="shared" ref="D67:D70" si="55">ROUNDUP(B67/$I$4,0)</f>
        <v>1</v>
      </c>
      <c r="E67">
        <f>r3.4xlarge!$C$8*B67</f>
        <v>23364.404000000002</v>
      </c>
      <c r="F67">
        <f t="shared" si="49"/>
        <v>864.99</v>
      </c>
      <c r="G67">
        <f t="shared" si="50"/>
        <v>0.55318251141552521</v>
      </c>
      <c r="H67">
        <f>(r3.4xlarge!$D$9+($I$5*D67))*1.5*(0.115)</f>
        <v>5.2578000000000007E-2</v>
      </c>
      <c r="I67">
        <f t="shared" si="51"/>
        <v>9.5890410958904102</v>
      </c>
      <c r="J67">
        <f t="shared" si="52"/>
        <v>10.194801607305935</v>
      </c>
      <c r="K67">
        <f t="shared" si="53"/>
        <v>9.1025014350945843E-3</v>
      </c>
      <c r="L67">
        <f t="shared" si="54"/>
        <v>8.3125000000000004E-3</v>
      </c>
      <c r="M67">
        <f t="shared" si="10"/>
        <v>109.50377666279198</v>
      </c>
    </row>
    <row r="68" spans="1:13" x14ac:dyDescent="0.25">
      <c r="A68">
        <v>10000</v>
      </c>
      <c r="B68">
        <f t="shared" si="47"/>
        <v>63</v>
      </c>
      <c r="C68">
        <f t="shared" si="48"/>
        <v>1.3125</v>
      </c>
      <c r="D68">
        <f t="shared" si="55"/>
        <v>2</v>
      </c>
      <c r="E68">
        <f>r3.4xlarge!$C$8*B68</f>
        <v>210279.63600000003</v>
      </c>
      <c r="F68">
        <f t="shared" si="49"/>
        <v>2954.98</v>
      </c>
      <c r="G68">
        <f t="shared" si="50"/>
        <v>4.8683702283105035</v>
      </c>
      <c r="H68">
        <f>(r3.4xlarge!$D$9+($I$5*D68))*1.5*(0.115)</f>
        <v>6.6378000000000006E-2</v>
      </c>
      <c r="I68">
        <f t="shared" si="51"/>
        <v>9.5890410958904102</v>
      </c>
      <c r="J68">
        <f t="shared" si="52"/>
        <v>14.523789324200914</v>
      </c>
      <c r="K68">
        <f t="shared" si="53"/>
        <v>1.4408521154961225E-3</v>
      </c>
      <c r="L68">
        <f t="shared" si="54"/>
        <v>8.3125000000000004E-3</v>
      </c>
      <c r="M68">
        <f t="shared" si="10"/>
        <v>17.333559284163879</v>
      </c>
    </row>
    <row r="69" spans="1:13" x14ac:dyDescent="0.25">
      <c r="A69">
        <v>100000</v>
      </c>
      <c r="B69">
        <f t="shared" si="47"/>
        <v>625</v>
      </c>
      <c r="C69">
        <f t="shared" si="48"/>
        <v>13.020833333333334</v>
      </c>
      <c r="D69">
        <f t="shared" si="55"/>
        <v>14</v>
      </c>
      <c r="E69">
        <f>r3.4xlarge!$C$8*B69</f>
        <v>2086107.5000000002</v>
      </c>
      <c r="F69">
        <f t="shared" si="49"/>
        <v>25284.86</v>
      </c>
      <c r="G69">
        <f t="shared" si="50"/>
        <v>48.205305022831055</v>
      </c>
      <c r="H69">
        <f>(r3.4xlarge!$D$9+($I$5*D69))*1.5*(0.115)</f>
        <v>0.23197800000000005</v>
      </c>
      <c r="I69">
        <f t="shared" si="51"/>
        <v>9.5890410958904102</v>
      </c>
      <c r="J69">
        <f t="shared" si="52"/>
        <v>58.026324118721462</v>
      </c>
      <c r="K69">
        <f t="shared" si="53"/>
        <v>5.8026324118721465E-4</v>
      </c>
      <c r="L69">
        <f t="shared" si="54"/>
        <v>8.3125000000000004E-3</v>
      </c>
      <c r="M69">
        <f t="shared" si="10"/>
        <v>6.9806104202973192</v>
      </c>
    </row>
    <row r="70" spans="1:13" x14ac:dyDescent="0.25">
      <c r="A70">
        <v>1000000</v>
      </c>
      <c r="B70">
        <f t="shared" si="47"/>
        <v>6250</v>
      </c>
      <c r="C70">
        <f t="shared" si="48"/>
        <v>130.20833333333334</v>
      </c>
      <c r="D70">
        <f t="shared" si="55"/>
        <v>131</v>
      </c>
      <c r="E70">
        <f>r3.4xlarge!$C$8*B70</f>
        <v>20861075.000000004</v>
      </c>
      <c r="F70">
        <f t="shared" si="49"/>
        <v>246638.69</v>
      </c>
      <c r="G70">
        <f t="shared" si="50"/>
        <v>481.91127146118731</v>
      </c>
      <c r="H70">
        <f>(r3.4xlarge!$D$9+($I$5*D70))*1.5*(0.115)</f>
        <v>1.8465780000000003</v>
      </c>
      <c r="I70">
        <f t="shared" si="51"/>
        <v>67.123287671232873</v>
      </c>
      <c r="J70">
        <f t="shared" si="52"/>
        <v>550.88113713242024</v>
      </c>
      <c r="K70">
        <f t="shared" si="53"/>
        <v>5.5088113713242025E-4</v>
      </c>
      <c r="L70">
        <f t="shared" si="54"/>
        <v>8.3125000000000004E-3</v>
      </c>
      <c r="M70">
        <f t="shared" si="10"/>
        <v>6.6271414993373856</v>
      </c>
    </row>
    <row r="72" spans="1:13" x14ac:dyDescent="0.25">
      <c r="A72" t="s">
        <v>50</v>
      </c>
    </row>
    <row r="73" spans="1:13" x14ac:dyDescent="0.25">
      <c r="A73" t="s">
        <v>60</v>
      </c>
      <c r="B73" t="s">
        <v>61</v>
      </c>
      <c r="C73" t="s">
        <v>64</v>
      </c>
      <c r="D73" t="s">
        <v>65</v>
      </c>
      <c r="E73" t="s">
        <v>62</v>
      </c>
      <c r="F73" t="s">
        <v>63</v>
      </c>
      <c r="G73" t="s">
        <v>67</v>
      </c>
      <c r="H73" t="s">
        <v>66</v>
      </c>
      <c r="I73" t="s">
        <v>68</v>
      </c>
      <c r="J73" t="s">
        <v>69</v>
      </c>
      <c r="K73" t="s">
        <v>70</v>
      </c>
      <c r="L73" t="s">
        <v>79</v>
      </c>
      <c r="M73" t="e">
        <f t="shared" si="10"/>
        <v>#VALUE!</v>
      </c>
    </row>
    <row r="74" spans="1:13" x14ac:dyDescent="0.25">
      <c r="A74">
        <v>1</v>
      </c>
      <c r="B74">
        <f>ROUNDUP(A74/$F$8,0)</f>
        <v>1</v>
      </c>
      <c r="C74">
        <f>B74/$I$2</f>
        <v>2.0833333333333332E-2</v>
      </c>
      <c r="D74">
        <v>0</v>
      </c>
      <c r="E74">
        <f>i2.8xlarge!$C$8*B74</f>
        <v>16011.524000000001</v>
      </c>
      <c r="F74">
        <f>C74*$H$2+(D74*$H$7)</f>
        <v>25</v>
      </c>
      <c r="G74">
        <f>(E74+F74)/43800</f>
        <v>0.36613068493150686</v>
      </c>
      <c r="H74">
        <f>(i2.8xlarge!$D$9+($I$8*D74))*1.5*(0.115)</f>
        <v>7.3778250000000004E-2</v>
      </c>
      <c r="I74">
        <f>7000/730*ROUNDUP(B74/1000,0)</f>
        <v>9.5890410958904102</v>
      </c>
      <c r="J74">
        <f>G74+H74+I74</f>
        <v>10.028950030821917</v>
      </c>
      <c r="K74">
        <f>J74/($F$8*B74)</f>
        <v>3.1340468846318491E-2</v>
      </c>
      <c r="L74">
        <f>6.82/$F$8</f>
        <v>2.1312500000000002E-2</v>
      </c>
      <c r="M74">
        <f t="shared" si="10"/>
        <v>147.05205323785802</v>
      </c>
    </row>
    <row r="75" spans="1:13" x14ac:dyDescent="0.25">
      <c r="A75">
        <v>10</v>
      </c>
      <c r="B75">
        <f t="shared" ref="B75:B80" si="56">ROUNDUP(A75/$F$8,0)</f>
        <v>1</v>
      </c>
      <c r="C75">
        <f t="shared" ref="C75:C80" si="57">B75/$I$2</f>
        <v>2.0833333333333332E-2</v>
      </c>
      <c r="D75">
        <v>0</v>
      </c>
      <c r="E75">
        <f>i2.8xlarge!$C$8*B75</f>
        <v>16011.524000000001</v>
      </c>
      <c r="F75">
        <f t="shared" ref="F75:F80" si="58">C75*$H$2+(D75*$H$7)</f>
        <v>25</v>
      </c>
      <c r="G75">
        <f t="shared" ref="G75:G80" si="59">(E75+F75)/43800</f>
        <v>0.36613068493150686</v>
      </c>
      <c r="H75">
        <f>(i2.8xlarge!$D$9+($I$8*D75))*1.5*(0.115)</f>
        <v>7.3778250000000004E-2</v>
      </c>
      <c r="I75">
        <f t="shared" ref="I75:I80" si="60">7000/730*ROUNDUP(B75/1000,0)</f>
        <v>9.5890410958904102</v>
      </c>
      <c r="J75">
        <f t="shared" ref="J75:J80" si="61">G75+H75+I75</f>
        <v>10.028950030821917</v>
      </c>
      <c r="K75">
        <f t="shared" ref="K75:K80" si="62">J75/($F$8*B75)</f>
        <v>3.1340468846318491E-2</v>
      </c>
      <c r="L75">
        <f t="shared" ref="L75:L80" si="63">6.82/$F$8</f>
        <v>2.1312500000000002E-2</v>
      </c>
      <c r="M75">
        <f t="shared" si="10"/>
        <v>147.05205323785802</v>
      </c>
    </row>
    <row r="76" spans="1:13" x14ac:dyDescent="0.25">
      <c r="A76">
        <v>100</v>
      </c>
      <c r="B76">
        <f t="shared" si="56"/>
        <v>1</v>
      </c>
      <c r="C76">
        <f t="shared" si="57"/>
        <v>2.0833333333333332E-2</v>
      </c>
      <c r="D76">
        <v>0</v>
      </c>
      <c r="E76">
        <f>i2.8xlarge!$C$8*B76</f>
        <v>16011.524000000001</v>
      </c>
      <c r="F76">
        <f t="shared" si="58"/>
        <v>25</v>
      </c>
      <c r="G76">
        <f t="shared" si="59"/>
        <v>0.36613068493150686</v>
      </c>
      <c r="H76">
        <f>(i2.8xlarge!$D$9+($I$8*D76))*1.5*(0.115)</f>
        <v>7.3778250000000004E-2</v>
      </c>
      <c r="I76">
        <f t="shared" si="60"/>
        <v>9.5890410958904102</v>
      </c>
      <c r="J76">
        <f t="shared" si="61"/>
        <v>10.028950030821917</v>
      </c>
      <c r="K76">
        <f t="shared" si="62"/>
        <v>3.1340468846318491E-2</v>
      </c>
      <c r="L76">
        <f t="shared" si="63"/>
        <v>2.1312500000000002E-2</v>
      </c>
      <c r="M76">
        <f t="shared" si="10"/>
        <v>147.05205323785802</v>
      </c>
    </row>
    <row r="77" spans="1:13" x14ac:dyDescent="0.25">
      <c r="A77">
        <v>1000</v>
      </c>
      <c r="B77">
        <f t="shared" si="56"/>
        <v>4</v>
      </c>
      <c r="C77">
        <f t="shared" si="57"/>
        <v>8.3333333333333329E-2</v>
      </c>
      <c r="D77">
        <v>1</v>
      </c>
      <c r="E77">
        <f>i2.8xlarge!$C$8*B77</f>
        <v>64046.096000000005</v>
      </c>
      <c r="F77">
        <f t="shared" si="58"/>
        <v>7800</v>
      </c>
      <c r="G77">
        <f t="shared" si="59"/>
        <v>1.6403218264840185</v>
      </c>
      <c r="H77">
        <f>(i2.8xlarge!$D$9+($I$8*D77))*1.5*(0.115)</f>
        <v>0.12552825000000001</v>
      </c>
      <c r="I77">
        <f t="shared" si="60"/>
        <v>9.5890410958904102</v>
      </c>
      <c r="J77">
        <f t="shared" si="61"/>
        <v>11.35489117237443</v>
      </c>
      <c r="K77">
        <f t="shared" si="62"/>
        <v>8.8710087284175239E-3</v>
      </c>
      <c r="L77">
        <f t="shared" si="63"/>
        <v>2.1312500000000002E-2</v>
      </c>
      <c r="M77">
        <f t="shared" si="10"/>
        <v>41.623501365008906</v>
      </c>
    </row>
    <row r="78" spans="1:13" x14ac:dyDescent="0.25">
      <c r="A78">
        <v>10000</v>
      </c>
      <c r="B78">
        <f t="shared" si="56"/>
        <v>32</v>
      </c>
      <c r="C78">
        <f t="shared" si="57"/>
        <v>0.66666666666666663</v>
      </c>
      <c r="D78">
        <v>1</v>
      </c>
      <c r="E78">
        <f>i2.8xlarge!$C$8*B78</f>
        <v>512368.76800000004</v>
      </c>
      <c r="F78">
        <f t="shared" si="58"/>
        <v>8500</v>
      </c>
      <c r="G78">
        <f t="shared" si="59"/>
        <v>11.891981004566212</v>
      </c>
      <c r="H78">
        <f>(i2.8xlarge!$D$9+($I$8*D78))*1.5*(0.115)</f>
        <v>0.12552825000000001</v>
      </c>
      <c r="I78">
        <f t="shared" si="60"/>
        <v>9.5890410958904102</v>
      </c>
      <c r="J78">
        <f t="shared" si="61"/>
        <v>21.606550350456622</v>
      </c>
      <c r="K78">
        <f t="shared" si="62"/>
        <v>2.1100146826617794E-3</v>
      </c>
      <c r="L78">
        <f t="shared" si="63"/>
        <v>2.1312500000000002E-2</v>
      </c>
      <c r="M78">
        <f t="shared" si="10"/>
        <v>9.9003621473866481</v>
      </c>
    </row>
    <row r="79" spans="1:13" x14ac:dyDescent="0.25">
      <c r="A79">
        <v>100000</v>
      </c>
      <c r="B79">
        <f t="shared" si="56"/>
        <v>313</v>
      </c>
      <c r="C79">
        <f t="shared" si="57"/>
        <v>6.520833333333333</v>
      </c>
      <c r="D79">
        <f>ROUNDUP(B79/$I$7,0)+1</f>
        <v>15</v>
      </c>
      <c r="E79">
        <f>i2.8xlarge!$C$8*B79</f>
        <v>5011607.0120000001</v>
      </c>
      <c r="F79">
        <f t="shared" si="58"/>
        <v>123325</v>
      </c>
      <c r="G79">
        <f t="shared" si="59"/>
        <v>117.2358906849315</v>
      </c>
      <c r="H79">
        <f>(i2.8xlarge!$D$9+($I$8*D79))*1.5*(0.115)</f>
        <v>0.85002825000000004</v>
      </c>
      <c r="I79">
        <f t="shared" si="60"/>
        <v>9.5890410958904102</v>
      </c>
      <c r="J79">
        <f t="shared" si="61"/>
        <v>127.67496003082191</v>
      </c>
      <c r="K79">
        <f t="shared" si="62"/>
        <v>1.2747100642054904E-3</v>
      </c>
      <c r="L79">
        <f t="shared" si="63"/>
        <v>2.1312500000000002E-2</v>
      </c>
      <c r="M79">
        <f t="shared" ref="M79:M90" si="64">(K79/L79)*100</f>
        <v>5.9810442895272269</v>
      </c>
    </row>
    <row r="80" spans="1:13" x14ac:dyDescent="0.25">
      <c r="A80">
        <v>1000000</v>
      </c>
      <c r="B80">
        <f t="shared" si="56"/>
        <v>3125</v>
      </c>
      <c r="C80">
        <f t="shared" si="57"/>
        <v>65.104166666666671</v>
      </c>
      <c r="D80">
        <f>ROUNDUP(B80/$I$7+B80/$I$7/$I$7+1,0)</f>
        <v>137</v>
      </c>
      <c r="E80">
        <f>i2.8xlarge!$C$8*B80</f>
        <v>50036012.500000007</v>
      </c>
      <c r="F80">
        <f t="shared" si="58"/>
        <v>1133025</v>
      </c>
      <c r="G80">
        <f t="shared" si="59"/>
        <v>1168.2428652968038</v>
      </c>
      <c r="H80">
        <f>(i2.8xlarge!$D$9+($I$8*D80))*1.5*(0.115)</f>
        <v>7.1635282500000006</v>
      </c>
      <c r="I80">
        <f t="shared" si="60"/>
        <v>38.356164383561641</v>
      </c>
      <c r="J80">
        <f t="shared" si="61"/>
        <v>1213.7625579303653</v>
      </c>
      <c r="K80">
        <f t="shared" si="62"/>
        <v>1.2137625579303653E-3</v>
      </c>
      <c r="L80">
        <f t="shared" si="63"/>
        <v>2.1312500000000002E-2</v>
      </c>
      <c r="M80">
        <f t="shared" si="64"/>
        <v>5.6950735855970214</v>
      </c>
    </row>
    <row r="82" spans="1:13" x14ac:dyDescent="0.25">
      <c r="A82" t="s">
        <v>51</v>
      </c>
    </row>
    <row r="83" spans="1:13" x14ac:dyDescent="0.25">
      <c r="A83" t="s">
        <v>60</v>
      </c>
      <c r="B83" t="s">
        <v>61</v>
      </c>
      <c r="C83" t="s">
        <v>64</v>
      </c>
      <c r="D83" t="s">
        <v>65</v>
      </c>
      <c r="E83" t="s">
        <v>62</v>
      </c>
      <c r="F83" t="s">
        <v>63</v>
      </c>
      <c r="G83" t="s">
        <v>67</v>
      </c>
      <c r="H83" t="s">
        <v>66</v>
      </c>
      <c r="I83" t="s">
        <v>68</v>
      </c>
      <c r="J83" t="s">
        <v>69</v>
      </c>
      <c r="K83" t="s">
        <v>70</v>
      </c>
      <c r="L83" t="s">
        <v>80</v>
      </c>
      <c r="M83" t="e">
        <f t="shared" si="64"/>
        <v>#VALUE!</v>
      </c>
    </row>
    <row r="84" spans="1:13" x14ac:dyDescent="0.25">
      <c r="A84">
        <v>1</v>
      </c>
      <c r="B84">
        <f>ROUNDUP(A84/$F$9,0)</f>
        <v>1</v>
      </c>
      <c r="C84">
        <f>B84/$I$2</f>
        <v>2.0833333333333332E-2</v>
      </c>
      <c r="D84">
        <v>0</v>
      </c>
      <c r="E84">
        <f>d2.8xlarge!$C$8*B84</f>
        <v>8174.1849999999995</v>
      </c>
      <c r="F84">
        <f>C84*$H$2+(D84*$H$7)</f>
        <v>25</v>
      </c>
      <c r="G84">
        <f>(E84+F84)/43800</f>
        <v>0.18719600456621002</v>
      </c>
      <c r="H84">
        <f>(d2.8xlarge!$D$9+($I$8*D84))*1.5*(0.115)</f>
        <v>0.10186125000000001</v>
      </c>
      <c r="I84">
        <f>7000/730*ROUNDUP(B84/1000,0)</f>
        <v>9.5890410958904102</v>
      </c>
      <c r="J84">
        <f>G84+H84+I84</f>
        <v>9.8780983504566198</v>
      </c>
      <c r="K84">
        <f>J84/($F$9*B84)</f>
        <v>1.4291230252396732E-2</v>
      </c>
      <c r="L84">
        <f>5.52/$F$9</f>
        <v>7.9861111111111105E-3</v>
      </c>
      <c r="M84">
        <f t="shared" si="64"/>
        <v>178.95105707348952</v>
      </c>
    </row>
    <row r="85" spans="1:13" x14ac:dyDescent="0.25">
      <c r="A85">
        <v>10</v>
      </c>
      <c r="B85">
        <f t="shared" ref="B85:B89" si="65">ROUNDUP(A85/$F$9,0)</f>
        <v>1</v>
      </c>
      <c r="C85">
        <f t="shared" ref="C85:C90" si="66">B85/$I$2</f>
        <v>2.0833333333333332E-2</v>
      </c>
      <c r="D85">
        <v>0</v>
      </c>
      <c r="E85">
        <f>d2.8xlarge!$C$8*B85</f>
        <v>8174.1849999999995</v>
      </c>
      <c r="F85">
        <f t="shared" ref="F85:F90" si="67">C85*$H$2+(D85*$H$7)</f>
        <v>25</v>
      </c>
      <c r="G85">
        <f t="shared" ref="G85:G90" si="68">(E85+F85)/43800</f>
        <v>0.18719600456621002</v>
      </c>
      <c r="H85">
        <f>(d2.8xlarge!$D$9+($I$8*D85))*1.5*(0.115)</f>
        <v>0.10186125000000001</v>
      </c>
      <c r="I85">
        <f t="shared" ref="I85:I90" si="69">7000/730*ROUNDUP(B85/1000,0)</f>
        <v>9.5890410958904102</v>
      </c>
      <c r="J85">
        <f t="shared" ref="J85:J90" si="70">G85+H85+I85</f>
        <v>9.8780983504566198</v>
      </c>
      <c r="K85">
        <f t="shared" ref="K85:K90" si="71">J85/($F$9*B85)</f>
        <v>1.4291230252396732E-2</v>
      </c>
      <c r="L85">
        <f t="shared" ref="L85:L90" si="72">5.52/$F$9</f>
        <v>7.9861111111111105E-3</v>
      </c>
      <c r="M85">
        <f t="shared" si="64"/>
        <v>178.95105707348952</v>
      </c>
    </row>
    <row r="86" spans="1:13" x14ac:dyDescent="0.25">
      <c r="A86">
        <v>100</v>
      </c>
      <c r="B86">
        <f t="shared" si="65"/>
        <v>1</v>
      </c>
      <c r="C86">
        <f t="shared" si="66"/>
        <v>2.0833333333333332E-2</v>
      </c>
      <c r="D86">
        <v>0</v>
      </c>
      <c r="E86">
        <f>d2.8xlarge!$C$8*B86</f>
        <v>8174.1849999999995</v>
      </c>
      <c r="F86">
        <f t="shared" si="67"/>
        <v>25</v>
      </c>
      <c r="G86">
        <f t="shared" si="68"/>
        <v>0.18719600456621002</v>
      </c>
      <c r="H86">
        <f>(d2.8xlarge!$D$9+($I$8*D86))*1.5*(0.115)</f>
        <v>0.10186125000000001</v>
      </c>
      <c r="I86">
        <f t="shared" si="69"/>
        <v>9.5890410958904102</v>
      </c>
      <c r="J86">
        <f t="shared" si="70"/>
        <v>9.8780983504566198</v>
      </c>
      <c r="K86">
        <f t="shared" si="71"/>
        <v>1.4291230252396732E-2</v>
      </c>
      <c r="L86">
        <f t="shared" si="72"/>
        <v>7.9861111111111105E-3</v>
      </c>
      <c r="M86">
        <f t="shared" si="64"/>
        <v>178.95105707348952</v>
      </c>
    </row>
    <row r="87" spans="1:13" x14ac:dyDescent="0.25">
      <c r="A87">
        <v>1000</v>
      </c>
      <c r="B87">
        <f t="shared" si="65"/>
        <v>2</v>
      </c>
      <c r="C87">
        <f t="shared" si="66"/>
        <v>4.1666666666666664E-2</v>
      </c>
      <c r="D87">
        <v>1</v>
      </c>
      <c r="E87">
        <f>d2.8xlarge!$C$8*B87</f>
        <v>16348.369999999999</v>
      </c>
      <c r="F87">
        <f t="shared" si="67"/>
        <v>7750</v>
      </c>
      <c r="G87">
        <f t="shared" si="68"/>
        <v>0.55019109589041093</v>
      </c>
      <c r="H87">
        <f>(d2.8xlarge!$D$9+($I$8*D87))*1.5*(0.115)</f>
        <v>0.15361125</v>
      </c>
      <c r="I87">
        <f t="shared" si="69"/>
        <v>9.5890410958904102</v>
      </c>
      <c r="J87">
        <f t="shared" si="70"/>
        <v>10.292843441780821</v>
      </c>
      <c r="K87">
        <f t="shared" si="71"/>
        <v>7.4456332767511733E-3</v>
      </c>
      <c r="L87">
        <f t="shared" si="72"/>
        <v>7.9861111111111105E-3</v>
      </c>
      <c r="M87">
        <f t="shared" si="64"/>
        <v>93.232277552362532</v>
      </c>
    </row>
    <row r="88" spans="1:13" x14ac:dyDescent="0.25">
      <c r="A88">
        <v>10000</v>
      </c>
      <c r="B88">
        <f t="shared" si="65"/>
        <v>15</v>
      </c>
      <c r="C88">
        <f t="shared" si="66"/>
        <v>0.3125</v>
      </c>
      <c r="D88">
        <v>1</v>
      </c>
      <c r="E88">
        <f>d2.8xlarge!$C$8*B88</f>
        <v>122612.77499999999</v>
      </c>
      <c r="F88">
        <f t="shared" si="67"/>
        <v>8075</v>
      </c>
      <c r="G88">
        <f t="shared" si="68"/>
        <v>2.9837391552511416</v>
      </c>
      <c r="H88">
        <f>(d2.8xlarge!$D$9+($I$8*D88))*1.5*(0.115)</f>
        <v>0.15361125</v>
      </c>
      <c r="I88">
        <f t="shared" si="69"/>
        <v>9.5890410958904102</v>
      </c>
      <c r="J88">
        <f t="shared" si="70"/>
        <v>12.726391501141553</v>
      </c>
      <c r="K88">
        <f t="shared" si="71"/>
        <v>1.2274683160823259E-3</v>
      </c>
      <c r="L88">
        <f t="shared" si="72"/>
        <v>7.9861111111111105E-3</v>
      </c>
      <c r="M88">
        <f t="shared" si="64"/>
        <v>15.370038044856951</v>
      </c>
    </row>
    <row r="89" spans="1:13" x14ac:dyDescent="0.25">
      <c r="A89">
        <v>100000</v>
      </c>
      <c r="B89">
        <f t="shared" si="65"/>
        <v>145</v>
      </c>
      <c r="C89">
        <f t="shared" si="66"/>
        <v>3.0208333333333335</v>
      </c>
      <c r="D89">
        <f>ROUNDUP(B89/$I$7,0)+1</f>
        <v>8</v>
      </c>
      <c r="E89">
        <f>d2.8xlarge!$C$8*B89</f>
        <v>1185256.825</v>
      </c>
      <c r="F89">
        <f t="shared" si="67"/>
        <v>65225</v>
      </c>
      <c r="G89">
        <f t="shared" si="68"/>
        <v>28.549813356164382</v>
      </c>
      <c r="H89">
        <f>(d2.8xlarge!$D$9+($I$8*D89))*1.5*(0.115)</f>
        <v>0.51586124999999994</v>
      </c>
      <c r="I89">
        <f t="shared" si="69"/>
        <v>9.5890410958904102</v>
      </c>
      <c r="J89">
        <f t="shared" si="70"/>
        <v>38.654715702054794</v>
      </c>
      <c r="K89">
        <f t="shared" si="71"/>
        <v>3.8568322659297973E-4</v>
      </c>
      <c r="L89">
        <f t="shared" si="72"/>
        <v>7.9861111111111105E-3</v>
      </c>
      <c r="M89">
        <f t="shared" si="64"/>
        <v>4.8294247503816594</v>
      </c>
    </row>
    <row r="90" spans="1:13" x14ac:dyDescent="0.25">
      <c r="A90">
        <v>1000000</v>
      </c>
      <c r="B90">
        <f>ROUNDUP(A90/$F$9,0)</f>
        <v>1447</v>
      </c>
      <c r="C90">
        <f t="shared" si="66"/>
        <v>30.145833333333332</v>
      </c>
      <c r="D90">
        <f>ROUNDUP(B90/$I$7+B90/$I$7/$I$7+1,0)</f>
        <v>64</v>
      </c>
      <c r="E90">
        <f>d2.8xlarge!$C$8*B90</f>
        <v>11828045.694999998</v>
      </c>
      <c r="F90">
        <f t="shared" si="67"/>
        <v>528975</v>
      </c>
      <c r="G90">
        <f t="shared" si="68"/>
        <v>282.12376015981732</v>
      </c>
      <c r="H90">
        <f>(d2.8xlarge!$D$9+($I$8*D90))*1.5*(0.115)</f>
        <v>3.4138612500000001</v>
      </c>
      <c r="I90">
        <f t="shared" si="69"/>
        <v>19.17808219178082</v>
      </c>
      <c r="J90">
        <f t="shared" si="70"/>
        <v>304.71570360159819</v>
      </c>
      <c r="K90">
        <f t="shared" si="71"/>
        <v>3.0466500734437611E-4</v>
      </c>
      <c r="L90">
        <f t="shared" si="72"/>
        <v>7.9861111111111105E-3</v>
      </c>
      <c r="M90">
        <f t="shared" si="64"/>
        <v>3.8149357441382752</v>
      </c>
    </row>
    <row r="92" spans="1:13" x14ac:dyDescent="0.25">
      <c r="A92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A5" workbookViewId="0">
      <selection activeCell="A25" sqref="A25"/>
    </sheetView>
  </sheetViews>
  <sheetFormatPr defaultRowHeight="15" x14ac:dyDescent="0.25"/>
  <cols>
    <col min="1" max="1" width="21.42578125" customWidth="1"/>
    <col min="2" max="2" width="31.85546875" style="3" customWidth="1"/>
    <col min="3" max="4" width="18.28515625" customWidth="1"/>
    <col min="7" max="7" width="21.42578125" customWidth="1"/>
    <col min="8" max="9" width="20.7109375" customWidth="1"/>
    <col min="10" max="10" width="16.28515625" customWidth="1"/>
  </cols>
  <sheetData>
    <row r="1" spans="1:11" x14ac:dyDescent="0.25">
      <c r="A1" s="1" t="s">
        <v>0</v>
      </c>
      <c r="B1" s="2" t="s">
        <v>1</v>
      </c>
      <c r="C1" s="1" t="s">
        <v>18</v>
      </c>
      <c r="D1" s="1" t="s">
        <v>55</v>
      </c>
      <c r="F1" s="1" t="s">
        <v>9</v>
      </c>
      <c r="G1" s="1" t="s">
        <v>10</v>
      </c>
      <c r="H1" s="1" t="s">
        <v>11</v>
      </c>
      <c r="I1" s="1" t="s">
        <v>19</v>
      </c>
      <c r="J1" s="1" t="s">
        <v>12</v>
      </c>
      <c r="K1" s="1" t="s">
        <v>16</v>
      </c>
    </row>
    <row r="2" spans="1:11" ht="60" customHeight="1" x14ac:dyDescent="0.25">
      <c r="A2" t="s">
        <v>2</v>
      </c>
      <c r="B2" s="4" t="s">
        <v>20</v>
      </c>
      <c r="C2">
        <f>K2</f>
        <v>2784.9833333333336</v>
      </c>
      <c r="D2">
        <v>200</v>
      </c>
      <c r="F2">
        <v>40</v>
      </c>
      <c r="G2">
        <f>F2/2</f>
        <v>20</v>
      </c>
      <c r="H2" s="5">
        <v>12</v>
      </c>
      <c r="I2">
        <v>1670.99</v>
      </c>
      <c r="J2">
        <f>I2/H2</f>
        <v>139.24916666666667</v>
      </c>
      <c r="K2">
        <f>J2*G2</f>
        <v>2784.9833333333336</v>
      </c>
    </row>
    <row r="3" spans="1:11" ht="120" customHeight="1" x14ac:dyDescent="0.25">
      <c r="A3" t="s">
        <v>4</v>
      </c>
      <c r="B3" s="4" t="s">
        <v>24</v>
      </c>
      <c r="C3">
        <f>374.99+249</f>
        <v>623.99</v>
      </c>
      <c r="D3">
        <v>100</v>
      </c>
    </row>
    <row r="4" spans="1:11" ht="138" customHeight="1" x14ac:dyDescent="0.25">
      <c r="A4" t="s">
        <v>3</v>
      </c>
      <c r="B4" s="4" t="s">
        <v>21</v>
      </c>
      <c r="C4">
        <f>999.99+439.99</f>
        <v>1439.98</v>
      </c>
      <c r="D4">
        <f>(3+2)*2.5</f>
        <v>12.5</v>
      </c>
    </row>
    <row r="5" spans="1:11" ht="55.5" customHeight="1" x14ac:dyDescent="0.25">
      <c r="A5" t="s">
        <v>5</v>
      </c>
      <c r="B5" s="4" t="s">
        <v>22</v>
      </c>
      <c r="C5">
        <v>325.99</v>
      </c>
      <c r="D5">
        <f>5*5</f>
        <v>25</v>
      </c>
    </row>
    <row r="6" spans="1:11" ht="44.25" customHeight="1" x14ac:dyDescent="0.25">
      <c r="A6" t="s">
        <v>6</v>
      </c>
      <c r="B6" s="4" t="s">
        <v>23</v>
      </c>
      <c r="C6">
        <v>0</v>
      </c>
      <c r="D6">
        <v>0.7</v>
      </c>
    </row>
    <row r="8" spans="1:11" x14ac:dyDescent="0.25">
      <c r="A8" t="s">
        <v>17</v>
      </c>
      <c r="C8">
        <f>SUM(C2:C6)</f>
        <v>5174.9433333333327</v>
      </c>
      <c r="D8">
        <f>SUM(D2:D6)</f>
        <v>338.2</v>
      </c>
    </row>
    <row r="9" spans="1:11" x14ac:dyDescent="0.25">
      <c r="C9" t="s">
        <v>57</v>
      </c>
      <c r="D9">
        <f>D8/1000</f>
        <v>0.3382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A2" sqref="A2:C8"/>
    </sheetView>
  </sheetViews>
  <sheetFormatPr defaultRowHeight="15" x14ac:dyDescent="0.25"/>
  <cols>
    <col min="1" max="1" width="21.42578125" customWidth="1"/>
    <col min="2" max="2" width="31.85546875" style="3" customWidth="1"/>
    <col min="3" max="4" width="18.28515625" customWidth="1"/>
    <col min="6" max="6" width="21.42578125" customWidth="1"/>
    <col min="7" max="8" width="20.7109375" customWidth="1"/>
    <col min="9" max="9" width="16.28515625" customWidth="1"/>
  </cols>
  <sheetData>
    <row r="1" spans="1:10" x14ac:dyDescent="0.25">
      <c r="A1" s="1" t="s">
        <v>0</v>
      </c>
      <c r="B1" s="2" t="s">
        <v>1</v>
      </c>
      <c r="C1" s="1" t="s">
        <v>18</v>
      </c>
      <c r="D1" s="1" t="s">
        <v>55</v>
      </c>
      <c r="E1" s="1" t="s">
        <v>9</v>
      </c>
      <c r="F1" s="1" t="s">
        <v>10</v>
      </c>
      <c r="G1" s="1" t="s">
        <v>11</v>
      </c>
      <c r="H1" s="1" t="s">
        <v>19</v>
      </c>
      <c r="I1" s="1" t="s">
        <v>12</v>
      </c>
      <c r="J1" s="1" t="s">
        <v>16</v>
      </c>
    </row>
    <row r="2" spans="1:10" ht="60" customHeight="1" x14ac:dyDescent="0.25">
      <c r="A2" t="s">
        <v>2</v>
      </c>
      <c r="B2" s="4" t="s">
        <v>8</v>
      </c>
      <c r="C2">
        <f>J2</f>
        <v>155.999</v>
      </c>
      <c r="D2">
        <v>11.5</v>
      </c>
      <c r="E2">
        <v>2</v>
      </c>
      <c r="F2">
        <f>E2/2</f>
        <v>1</v>
      </c>
      <c r="G2" s="5">
        <v>10</v>
      </c>
      <c r="H2">
        <v>1559.99</v>
      </c>
      <c r="I2">
        <f>H2/G2</f>
        <v>155.999</v>
      </c>
      <c r="J2">
        <f>I2*F2</f>
        <v>155.999</v>
      </c>
    </row>
    <row r="3" spans="1:10" ht="65.25" customHeight="1" x14ac:dyDescent="0.25">
      <c r="A3" t="s">
        <v>4</v>
      </c>
      <c r="B3" s="4" t="s">
        <v>7</v>
      </c>
      <c r="C3">
        <v>249</v>
      </c>
      <c r="D3">
        <v>80</v>
      </c>
    </row>
    <row r="4" spans="1:10" ht="56.25" customHeight="1" x14ac:dyDescent="0.25">
      <c r="A4" t="s">
        <v>3</v>
      </c>
      <c r="B4" s="4" t="s">
        <v>13</v>
      </c>
      <c r="C4">
        <v>51.99</v>
      </c>
      <c r="D4">
        <f>2.5</f>
        <v>2.5</v>
      </c>
    </row>
    <row r="5" spans="1:10" ht="55.5" customHeight="1" x14ac:dyDescent="0.25">
      <c r="A5" t="s">
        <v>5</v>
      </c>
      <c r="B5" s="4" t="s">
        <v>14</v>
      </c>
      <c r="C5">
        <v>68.900000000000006</v>
      </c>
      <c r="D5">
        <f>5*3</f>
        <v>15</v>
      </c>
    </row>
    <row r="6" spans="1:10" ht="44.25" customHeight="1" x14ac:dyDescent="0.25">
      <c r="A6" t="s">
        <v>6</v>
      </c>
      <c r="B6" s="4" t="s">
        <v>15</v>
      </c>
      <c r="C6">
        <v>109.99</v>
      </c>
      <c r="D6">
        <f>150/POWER(10,3)</f>
        <v>0.15</v>
      </c>
    </row>
    <row r="8" spans="1:10" x14ac:dyDescent="0.25">
      <c r="A8" t="s">
        <v>17</v>
      </c>
      <c r="C8">
        <f>SUM(C2:C6)</f>
        <v>635.87900000000002</v>
      </c>
      <c r="D8">
        <f>SUM(D2:D6)</f>
        <v>109.15</v>
      </c>
    </row>
    <row r="9" spans="1:10" x14ac:dyDescent="0.25">
      <c r="D9">
        <f>D8/1000</f>
        <v>0.10915000000000001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A2" sqref="A2:C8"/>
    </sheetView>
  </sheetViews>
  <sheetFormatPr defaultRowHeight="15" x14ac:dyDescent="0.25"/>
  <cols>
    <col min="1" max="1" width="21.42578125" customWidth="1"/>
    <col min="2" max="2" width="31.85546875" style="3" customWidth="1"/>
    <col min="3" max="4" width="18.28515625" customWidth="1"/>
    <col min="6" max="6" width="21.42578125" customWidth="1"/>
    <col min="7" max="8" width="20.7109375" customWidth="1"/>
    <col min="9" max="9" width="16.28515625" customWidth="1"/>
  </cols>
  <sheetData>
    <row r="1" spans="1:10" x14ac:dyDescent="0.25">
      <c r="A1" s="1" t="s">
        <v>0</v>
      </c>
      <c r="B1" s="2" t="s">
        <v>1</v>
      </c>
      <c r="C1" s="1" t="s">
        <v>18</v>
      </c>
      <c r="D1" s="1" t="s">
        <v>55</v>
      </c>
      <c r="E1" s="1" t="s">
        <v>9</v>
      </c>
      <c r="F1" s="1" t="s">
        <v>10</v>
      </c>
      <c r="G1" s="1" t="s">
        <v>11</v>
      </c>
      <c r="H1" s="1" t="s">
        <v>19</v>
      </c>
      <c r="I1" s="1" t="s">
        <v>12</v>
      </c>
      <c r="J1" s="1" t="s">
        <v>16</v>
      </c>
    </row>
    <row r="2" spans="1:10" ht="60" customHeight="1" x14ac:dyDescent="0.25">
      <c r="A2" t="s">
        <v>2</v>
      </c>
      <c r="B2" s="4" t="s">
        <v>8</v>
      </c>
      <c r="C2">
        <f>J2</f>
        <v>623.99599999999998</v>
      </c>
      <c r="D2">
        <f>(11.5)*4</f>
        <v>46</v>
      </c>
      <c r="E2">
        <v>8</v>
      </c>
      <c r="F2">
        <f>E2/2</f>
        <v>4</v>
      </c>
      <c r="G2" s="5">
        <v>10</v>
      </c>
      <c r="H2">
        <v>1559.99</v>
      </c>
      <c r="I2">
        <f>H2/G2</f>
        <v>155.999</v>
      </c>
      <c r="J2">
        <f>I2*F2</f>
        <v>623.99599999999998</v>
      </c>
    </row>
    <row r="3" spans="1:10" ht="65.25" customHeight="1" x14ac:dyDescent="0.25">
      <c r="A3" t="s">
        <v>4</v>
      </c>
      <c r="B3" s="4" t="s">
        <v>7</v>
      </c>
      <c r="C3">
        <v>249</v>
      </c>
      <c r="D3">
        <v>80</v>
      </c>
    </row>
    <row r="4" spans="1:10" ht="87.75" customHeight="1" x14ac:dyDescent="0.25">
      <c r="A4" t="s">
        <v>3</v>
      </c>
      <c r="B4" s="4" t="s">
        <v>25</v>
      </c>
      <c r="C4">
        <f>189.99+79.99</f>
        <v>269.98</v>
      </c>
      <c r="D4">
        <f>6*2.5</f>
        <v>15</v>
      </c>
    </row>
    <row r="5" spans="1:10" ht="55.5" customHeight="1" x14ac:dyDescent="0.25">
      <c r="A5" t="s">
        <v>5</v>
      </c>
      <c r="B5" s="4" t="s">
        <v>14</v>
      </c>
      <c r="C5">
        <v>68.900000000000006</v>
      </c>
      <c r="D5">
        <f>5*3</f>
        <v>15</v>
      </c>
    </row>
    <row r="6" spans="1:10" ht="44.25" customHeight="1" x14ac:dyDescent="0.25">
      <c r="A6" t="s">
        <v>6</v>
      </c>
      <c r="B6" s="4" t="s">
        <v>26</v>
      </c>
      <c r="C6">
        <f>139.99*2</f>
        <v>279.98</v>
      </c>
      <c r="D6">
        <f>(150/POWER(10,3))*2</f>
        <v>0.3</v>
      </c>
    </row>
    <row r="8" spans="1:10" x14ac:dyDescent="0.25">
      <c r="A8" t="s">
        <v>17</v>
      </c>
      <c r="C8">
        <f>SUM(C2:C6)</f>
        <v>1491.8560000000002</v>
      </c>
      <c r="D8">
        <f>SUM(D2:D6)</f>
        <v>156.30000000000001</v>
      </c>
    </row>
    <row r="9" spans="1:10" x14ac:dyDescent="0.25">
      <c r="D9">
        <f>D8/1000</f>
        <v>0.15630000000000002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opLeftCell="A3" workbookViewId="0">
      <selection activeCell="A2" sqref="A2:C8"/>
    </sheetView>
  </sheetViews>
  <sheetFormatPr defaultRowHeight="15" x14ac:dyDescent="0.25"/>
  <cols>
    <col min="1" max="1" width="21.42578125" customWidth="1"/>
    <col min="2" max="2" width="31.85546875" style="3" customWidth="1"/>
    <col min="3" max="4" width="18.28515625" customWidth="1"/>
    <col min="6" max="6" width="21.42578125" customWidth="1"/>
    <col min="7" max="8" width="20.7109375" customWidth="1"/>
    <col min="9" max="9" width="16.28515625" customWidth="1"/>
  </cols>
  <sheetData>
    <row r="1" spans="1:10" x14ac:dyDescent="0.25">
      <c r="A1" s="1" t="s">
        <v>0</v>
      </c>
      <c r="B1" s="2" t="s">
        <v>1</v>
      </c>
      <c r="C1" s="1" t="s">
        <v>18</v>
      </c>
      <c r="D1" s="1" t="s">
        <v>55</v>
      </c>
      <c r="E1" s="1" t="s">
        <v>9</v>
      </c>
      <c r="F1" s="1" t="s">
        <v>10</v>
      </c>
      <c r="G1" s="1" t="s">
        <v>11</v>
      </c>
      <c r="H1" s="1" t="s">
        <v>19</v>
      </c>
      <c r="I1" s="1" t="s">
        <v>12</v>
      </c>
      <c r="J1" s="1" t="s">
        <v>16</v>
      </c>
    </row>
    <row r="2" spans="1:10" ht="60" customHeight="1" x14ac:dyDescent="0.25">
      <c r="A2" t="s">
        <v>2</v>
      </c>
      <c r="B2" s="4" t="s">
        <v>27</v>
      </c>
      <c r="C2">
        <f>J2</f>
        <v>2831.9839999999999</v>
      </c>
      <c r="D2">
        <f>11.5*16</f>
        <v>184</v>
      </c>
      <c r="E2">
        <v>32</v>
      </c>
      <c r="F2">
        <f>E2/2</f>
        <v>16</v>
      </c>
      <c r="G2" s="5">
        <v>10</v>
      </c>
      <c r="H2">
        <v>1769.99</v>
      </c>
      <c r="I2">
        <f>H2/G2</f>
        <v>176.999</v>
      </c>
      <c r="J2">
        <f>I2*F2</f>
        <v>2831.9839999999999</v>
      </c>
    </row>
    <row r="3" spans="1:10" ht="65.25" customHeight="1" x14ac:dyDescent="0.25">
      <c r="A3" t="s">
        <v>4</v>
      </c>
      <c r="B3" s="4" t="s">
        <v>7</v>
      </c>
      <c r="C3">
        <v>249</v>
      </c>
      <c r="D3">
        <v>80</v>
      </c>
    </row>
    <row r="4" spans="1:10" ht="123.75" customHeight="1" x14ac:dyDescent="0.25">
      <c r="A4" t="s">
        <v>3</v>
      </c>
      <c r="B4" s="4" t="s">
        <v>39</v>
      </c>
      <c r="C4">
        <f>309.99+169</f>
        <v>478.99</v>
      </c>
      <c r="D4">
        <f>6*2.5</f>
        <v>15</v>
      </c>
    </row>
    <row r="5" spans="1:10" ht="55.5" customHeight="1" x14ac:dyDescent="0.25">
      <c r="A5" t="s">
        <v>5</v>
      </c>
      <c r="B5" s="4" t="s">
        <v>22</v>
      </c>
      <c r="C5">
        <v>325.99</v>
      </c>
      <c r="D5">
        <v>25</v>
      </c>
    </row>
    <row r="6" spans="1:10" ht="87.75" customHeight="1" x14ac:dyDescent="0.25">
      <c r="A6" t="s">
        <v>6</v>
      </c>
      <c r="B6" s="4" t="s">
        <v>28</v>
      </c>
      <c r="C6">
        <f>109.99+90</f>
        <v>199.99</v>
      </c>
      <c r="D6">
        <f>(150/POWER(10,3))*2</f>
        <v>0.3</v>
      </c>
    </row>
    <row r="8" spans="1:10" x14ac:dyDescent="0.25">
      <c r="A8" t="s">
        <v>17</v>
      </c>
      <c r="C8">
        <f>SUM(C2:C6)</f>
        <v>4085.9539999999997</v>
      </c>
      <c r="D8">
        <f>SUM(D2:D6)</f>
        <v>304.3</v>
      </c>
    </row>
    <row r="9" spans="1:10" x14ac:dyDescent="0.25">
      <c r="D9">
        <f>D8/1000</f>
        <v>0.30430000000000001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opLeftCell="A4" workbookViewId="0">
      <selection activeCell="A2" sqref="A2:C8"/>
    </sheetView>
  </sheetViews>
  <sheetFormatPr defaultRowHeight="15" x14ac:dyDescent="0.25"/>
  <cols>
    <col min="1" max="1" width="21.42578125" customWidth="1"/>
    <col min="2" max="2" width="31.85546875" style="3" customWidth="1"/>
    <col min="3" max="4" width="18.28515625" customWidth="1"/>
    <col min="6" max="6" width="21.42578125" customWidth="1"/>
    <col min="7" max="8" width="20.7109375" customWidth="1"/>
    <col min="9" max="9" width="16.28515625" customWidth="1"/>
  </cols>
  <sheetData>
    <row r="1" spans="1:10" x14ac:dyDescent="0.25">
      <c r="A1" s="1" t="s">
        <v>0</v>
      </c>
      <c r="B1" s="2" t="s">
        <v>1</v>
      </c>
      <c r="C1" s="1" t="s">
        <v>18</v>
      </c>
      <c r="D1" s="1" t="s">
        <v>55</v>
      </c>
      <c r="E1" s="1" t="s">
        <v>9</v>
      </c>
      <c r="F1" s="1" t="s">
        <v>10</v>
      </c>
      <c r="G1" s="1" t="s">
        <v>11</v>
      </c>
      <c r="H1" s="1" t="s">
        <v>19</v>
      </c>
      <c r="I1" s="1" t="s">
        <v>12</v>
      </c>
      <c r="J1" s="1" t="s">
        <v>16</v>
      </c>
    </row>
    <row r="2" spans="1:10" ht="60" customHeight="1" x14ac:dyDescent="0.25">
      <c r="A2" t="s">
        <v>2</v>
      </c>
      <c r="B2" s="4" t="s">
        <v>29</v>
      </c>
      <c r="C2">
        <f>J2</f>
        <v>287.5</v>
      </c>
      <c r="D2" t="s">
        <v>56</v>
      </c>
      <c r="E2">
        <v>8</v>
      </c>
      <c r="F2">
        <f>E2/2</f>
        <v>4</v>
      </c>
      <c r="G2" s="5">
        <v>8</v>
      </c>
      <c r="H2">
        <v>575</v>
      </c>
      <c r="I2">
        <f>H2/G2</f>
        <v>71.875</v>
      </c>
      <c r="J2">
        <f>I2*F2</f>
        <v>287.5</v>
      </c>
    </row>
    <row r="3" spans="1:10" ht="65.25" customHeight="1" x14ac:dyDescent="0.25">
      <c r="A3" t="s">
        <v>4</v>
      </c>
      <c r="B3" s="4" t="s">
        <v>7</v>
      </c>
      <c r="C3">
        <v>249</v>
      </c>
      <c r="D3">
        <v>80</v>
      </c>
    </row>
    <row r="4" spans="1:10" ht="187.5" customHeight="1" x14ac:dyDescent="0.25">
      <c r="A4" t="s">
        <v>3</v>
      </c>
      <c r="B4" s="4" t="s">
        <v>30</v>
      </c>
      <c r="C4">
        <f>169+27.49+18.99</f>
        <v>215.48000000000002</v>
      </c>
      <c r="D4">
        <f>5*2.5</f>
        <v>12.5</v>
      </c>
    </row>
    <row r="5" spans="1:10" ht="55.5" customHeight="1" x14ac:dyDescent="0.25">
      <c r="A5" t="s">
        <v>5</v>
      </c>
      <c r="B5" s="4" t="s">
        <v>14</v>
      </c>
      <c r="C5">
        <v>68.900000000000006</v>
      </c>
      <c r="D5">
        <v>15</v>
      </c>
    </row>
    <row r="6" spans="1:10" ht="44.25" customHeight="1" x14ac:dyDescent="0.25">
      <c r="A6" t="s">
        <v>6</v>
      </c>
      <c r="B6" s="4" t="s">
        <v>31</v>
      </c>
      <c r="C6">
        <f>138.99</f>
        <v>138.99</v>
      </c>
      <c r="D6">
        <f>150/POWER(10,3)</f>
        <v>0.15</v>
      </c>
    </row>
    <row r="8" spans="1:10" x14ac:dyDescent="0.25">
      <c r="A8" t="s">
        <v>17</v>
      </c>
      <c r="C8">
        <f>SUM(C2:C6)</f>
        <v>959.87</v>
      </c>
      <c r="D8">
        <f>SUM(D2:D6)</f>
        <v>107.65</v>
      </c>
    </row>
    <row r="9" spans="1:10" x14ac:dyDescent="0.25">
      <c r="D9">
        <f>D8/1000</f>
        <v>0.10765000000000001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opLeftCell="A4" workbookViewId="0">
      <selection activeCell="A2" sqref="A2:C8"/>
    </sheetView>
  </sheetViews>
  <sheetFormatPr defaultRowHeight="15" x14ac:dyDescent="0.25"/>
  <cols>
    <col min="1" max="1" width="21.42578125" customWidth="1"/>
    <col min="2" max="2" width="31.85546875" style="3" customWidth="1"/>
    <col min="3" max="4" width="18.28515625" customWidth="1"/>
    <col min="6" max="6" width="21.42578125" customWidth="1"/>
    <col min="7" max="8" width="20.7109375" customWidth="1"/>
    <col min="9" max="9" width="16.28515625" customWidth="1"/>
  </cols>
  <sheetData>
    <row r="1" spans="1:10" x14ac:dyDescent="0.25">
      <c r="A1" s="1" t="s">
        <v>0</v>
      </c>
      <c r="B1" s="2" t="s">
        <v>1</v>
      </c>
      <c r="C1" s="1" t="s">
        <v>18</v>
      </c>
      <c r="D1" s="1" t="s">
        <v>55</v>
      </c>
      <c r="E1" s="1" t="s">
        <v>9</v>
      </c>
      <c r="F1" s="1" t="s">
        <v>10</v>
      </c>
      <c r="G1" s="1" t="s">
        <v>11</v>
      </c>
      <c r="H1" s="1" t="s">
        <v>19</v>
      </c>
      <c r="I1" s="1" t="s">
        <v>12</v>
      </c>
      <c r="J1" s="1" t="s">
        <v>16</v>
      </c>
    </row>
    <row r="2" spans="1:10" ht="60" customHeight="1" x14ac:dyDescent="0.25">
      <c r="A2" t="s">
        <v>2</v>
      </c>
      <c r="B2" s="4" t="s">
        <v>8</v>
      </c>
      <c r="C2">
        <f>J2</f>
        <v>1247.992</v>
      </c>
      <c r="D2">
        <f>(11.5*8)</f>
        <v>92</v>
      </c>
      <c r="E2">
        <v>16</v>
      </c>
      <c r="F2">
        <f>E2/2</f>
        <v>8</v>
      </c>
      <c r="G2" s="5">
        <v>10</v>
      </c>
      <c r="H2">
        <v>1559.99</v>
      </c>
      <c r="I2">
        <f>H2/G2</f>
        <v>155.999</v>
      </c>
      <c r="J2">
        <f>I2*F2</f>
        <v>1247.992</v>
      </c>
    </row>
    <row r="3" spans="1:10" ht="65.25" customHeight="1" x14ac:dyDescent="0.25">
      <c r="A3" t="s">
        <v>4</v>
      </c>
      <c r="B3" s="4" t="s">
        <v>32</v>
      </c>
      <c r="C3">
        <v>374.99</v>
      </c>
      <c r="D3">
        <v>100</v>
      </c>
    </row>
    <row r="4" spans="1:10" ht="161.25" customHeight="1" x14ac:dyDescent="0.25">
      <c r="A4" t="s">
        <v>3</v>
      </c>
      <c r="B4" s="4" t="s">
        <v>33</v>
      </c>
      <c r="C4">
        <f>999.99+186.99+27.49</f>
        <v>1214.47</v>
      </c>
      <c r="D4">
        <f>7*2.5</f>
        <v>17.5</v>
      </c>
    </row>
    <row r="5" spans="1:10" ht="55.5" customHeight="1" x14ac:dyDescent="0.25">
      <c r="A5" t="s">
        <v>5</v>
      </c>
      <c r="B5" s="4" t="s">
        <v>14</v>
      </c>
      <c r="C5">
        <v>68.900000000000006</v>
      </c>
      <c r="D5">
        <v>15</v>
      </c>
    </row>
    <row r="6" spans="1:10" ht="119.25" customHeight="1" x14ac:dyDescent="0.25">
      <c r="A6" t="s">
        <v>6</v>
      </c>
      <c r="B6" s="4" t="s">
        <v>34</v>
      </c>
      <c r="C6">
        <f>319.99+111.43</f>
        <v>431.42</v>
      </c>
      <c r="D6">
        <f>2*(150/POWER(10,3))</f>
        <v>0.3</v>
      </c>
    </row>
    <row r="8" spans="1:10" x14ac:dyDescent="0.25">
      <c r="A8" t="s">
        <v>17</v>
      </c>
      <c r="C8">
        <f>SUM(C2:C6)</f>
        <v>3337.7720000000004</v>
      </c>
      <c r="D8">
        <f>SUM(D2:D6)</f>
        <v>224.8</v>
      </c>
    </row>
    <row r="9" spans="1:10" x14ac:dyDescent="0.25">
      <c r="D9">
        <f>D8/1000</f>
        <v>0.2248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opLeftCell="A3" workbookViewId="0">
      <selection activeCell="A2" sqref="A2:C8"/>
    </sheetView>
  </sheetViews>
  <sheetFormatPr defaultRowHeight="15" x14ac:dyDescent="0.25"/>
  <cols>
    <col min="1" max="1" width="21.42578125" customWidth="1"/>
    <col min="2" max="2" width="31.85546875" style="3" customWidth="1"/>
    <col min="3" max="4" width="18.28515625" customWidth="1"/>
    <col min="6" max="6" width="21.42578125" customWidth="1"/>
    <col min="7" max="8" width="20.7109375" customWidth="1"/>
    <col min="9" max="9" width="16.28515625" customWidth="1"/>
  </cols>
  <sheetData>
    <row r="1" spans="1:10" x14ac:dyDescent="0.25">
      <c r="A1" s="1" t="s">
        <v>0</v>
      </c>
      <c r="B1" s="2" t="s">
        <v>1</v>
      </c>
      <c r="C1" s="1" t="s">
        <v>18</v>
      </c>
      <c r="D1" s="1" t="s">
        <v>55</v>
      </c>
      <c r="E1" s="1" t="s">
        <v>9</v>
      </c>
      <c r="F1" s="1" t="s">
        <v>10</v>
      </c>
      <c r="G1" s="1" t="s">
        <v>11</v>
      </c>
      <c r="H1" s="1" t="s">
        <v>19</v>
      </c>
      <c r="I1" s="1" t="s">
        <v>12</v>
      </c>
      <c r="J1" s="1" t="s">
        <v>16</v>
      </c>
    </row>
    <row r="2" spans="1:10" ht="60" customHeight="1" x14ac:dyDescent="0.25">
      <c r="A2" t="s">
        <v>2</v>
      </c>
      <c r="B2" s="4" t="s">
        <v>8</v>
      </c>
      <c r="C2">
        <f>J2</f>
        <v>2495.9839999999999</v>
      </c>
      <c r="D2">
        <f>11.5*16</f>
        <v>184</v>
      </c>
      <c r="E2">
        <v>32</v>
      </c>
      <c r="F2">
        <f>E2/2</f>
        <v>16</v>
      </c>
      <c r="G2" s="5">
        <v>10</v>
      </c>
      <c r="H2">
        <v>1559.99</v>
      </c>
      <c r="I2">
        <f>H2/G2</f>
        <v>155.999</v>
      </c>
      <c r="J2">
        <f>I2*F2</f>
        <v>2495.9839999999999</v>
      </c>
    </row>
    <row r="3" spans="1:10" ht="80.25" customHeight="1" x14ac:dyDescent="0.25">
      <c r="A3" t="s">
        <v>4</v>
      </c>
      <c r="B3" s="4" t="s">
        <v>35</v>
      </c>
      <c r="C3">
        <f>374.99*2</f>
        <v>749.98</v>
      </c>
      <c r="D3">
        <v>200</v>
      </c>
    </row>
    <row r="4" spans="1:10" ht="140.25" customHeight="1" x14ac:dyDescent="0.25">
      <c r="A4" t="s">
        <v>3</v>
      </c>
      <c r="B4" s="4" t="s">
        <v>37</v>
      </c>
      <c r="C4">
        <f>999.99+(439.99*2)</f>
        <v>1879.97</v>
      </c>
      <c r="D4">
        <f>7*2.5</f>
        <v>17.5</v>
      </c>
    </row>
    <row r="5" spans="1:10" ht="55.5" customHeight="1" x14ac:dyDescent="0.25">
      <c r="A5" t="s">
        <v>5</v>
      </c>
      <c r="B5" s="4" t="s">
        <v>22</v>
      </c>
      <c r="C5">
        <v>325.99</v>
      </c>
      <c r="D5">
        <v>25</v>
      </c>
    </row>
    <row r="6" spans="1:10" ht="44.25" customHeight="1" x14ac:dyDescent="0.25">
      <c r="A6" t="s">
        <v>6</v>
      </c>
      <c r="B6" s="4" t="s">
        <v>36</v>
      </c>
      <c r="C6">
        <f>1319.95*8</f>
        <v>10559.6</v>
      </c>
      <c r="D6">
        <f>8*(150/POWER(10,3))</f>
        <v>1.2</v>
      </c>
    </row>
    <row r="8" spans="1:10" x14ac:dyDescent="0.25">
      <c r="A8" t="s">
        <v>17</v>
      </c>
      <c r="C8">
        <f>SUM(C2:C6)</f>
        <v>16011.524000000001</v>
      </c>
      <c r="D8">
        <f>SUM(D2:D6)</f>
        <v>427.7</v>
      </c>
    </row>
    <row r="9" spans="1:10" x14ac:dyDescent="0.25">
      <c r="D9">
        <f>D8/1000</f>
        <v>0.42769999999999997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A2" sqref="A2:C8"/>
    </sheetView>
  </sheetViews>
  <sheetFormatPr defaultRowHeight="15" x14ac:dyDescent="0.25"/>
  <cols>
    <col min="1" max="1" width="21.42578125" customWidth="1"/>
    <col min="2" max="2" width="31.85546875" style="3" customWidth="1"/>
    <col min="3" max="4" width="18.28515625" customWidth="1"/>
    <col min="6" max="6" width="21.42578125" customWidth="1"/>
    <col min="7" max="8" width="20.7109375" customWidth="1"/>
    <col min="9" max="9" width="16.28515625" customWidth="1"/>
  </cols>
  <sheetData>
    <row r="1" spans="1:10" x14ac:dyDescent="0.25">
      <c r="A1" s="1" t="s">
        <v>0</v>
      </c>
      <c r="B1" s="2" t="s">
        <v>1</v>
      </c>
      <c r="C1" s="1" t="s">
        <v>18</v>
      </c>
      <c r="D1" s="1" t="s">
        <v>55</v>
      </c>
      <c r="E1" s="1" t="s">
        <v>9</v>
      </c>
      <c r="F1" s="1" t="s">
        <v>10</v>
      </c>
      <c r="G1" s="1" t="s">
        <v>11</v>
      </c>
      <c r="H1" s="1" t="s">
        <v>19</v>
      </c>
      <c r="I1" s="1" t="s">
        <v>12</v>
      </c>
      <c r="J1" s="1" t="s">
        <v>16</v>
      </c>
    </row>
    <row r="2" spans="1:10" ht="60" customHeight="1" x14ac:dyDescent="0.25">
      <c r="A2" t="s">
        <v>2</v>
      </c>
      <c r="B2" s="4" t="s">
        <v>20</v>
      </c>
      <c r="C2">
        <f>J2</f>
        <v>2506.4850000000001</v>
      </c>
      <c r="D2">
        <f>10*18</f>
        <v>180</v>
      </c>
      <c r="E2">
        <v>36</v>
      </c>
      <c r="F2">
        <f>E2/2</f>
        <v>18</v>
      </c>
      <c r="G2" s="5">
        <v>12</v>
      </c>
      <c r="H2">
        <v>1670.99</v>
      </c>
      <c r="I2">
        <f>H2/G2</f>
        <v>139.24916666666667</v>
      </c>
      <c r="J2">
        <f>I2*F2</f>
        <v>2506.4850000000001</v>
      </c>
    </row>
    <row r="3" spans="1:10" ht="74.25" customHeight="1" x14ac:dyDescent="0.25">
      <c r="A3" t="s">
        <v>4</v>
      </c>
      <c r="B3" s="4" t="s">
        <v>35</v>
      </c>
      <c r="C3">
        <f>374.99*2</f>
        <v>749.98</v>
      </c>
      <c r="D3">
        <v>200</v>
      </c>
    </row>
    <row r="4" spans="1:10" ht="140.25" customHeight="1" x14ac:dyDescent="0.25">
      <c r="A4" t="s">
        <v>3</v>
      </c>
      <c r="B4" s="4" t="s">
        <v>37</v>
      </c>
      <c r="C4">
        <f>999.99+(439.99*2)</f>
        <v>1879.97</v>
      </c>
      <c r="D4">
        <f>7*2.5</f>
        <v>17.5</v>
      </c>
    </row>
    <row r="5" spans="1:10" ht="60" x14ac:dyDescent="0.25">
      <c r="A5" t="s">
        <v>5</v>
      </c>
      <c r="B5" s="4" t="s">
        <v>22</v>
      </c>
      <c r="C5">
        <v>325.99</v>
      </c>
      <c r="D5">
        <v>25</v>
      </c>
    </row>
    <row r="6" spans="1:10" ht="44.25" customHeight="1" x14ac:dyDescent="0.25">
      <c r="A6" t="s">
        <v>6</v>
      </c>
      <c r="B6" s="4" t="s">
        <v>38</v>
      </c>
      <c r="C6">
        <f>112.99*24</f>
        <v>2711.7599999999998</v>
      </c>
      <c r="D6">
        <f>7*24</f>
        <v>168</v>
      </c>
    </row>
    <row r="8" spans="1:10" x14ac:dyDescent="0.25">
      <c r="A8" t="s">
        <v>17</v>
      </c>
      <c r="C8">
        <f>SUM(C2:C6)</f>
        <v>8174.1849999999995</v>
      </c>
      <c r="D8">
        <f>SUM(D2:D6)</f>
        <v>590.5</v>
      </c>
    </row>
    <row r="9" spans="1:10" x14ac:dyDescent="0.25">
      <c r="D9">
        <f>D8/1000</f>
        <v>0.59050000000000002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final</vt:lpstr>
      <vt:lpstr>m4.10xlarge</vt:lpstr>
      <vt:lpstr>m3.large</vt:lpstr>
      <vt:lpstr>m3.2xlarge</vt:lpstr>
      <vt:lpstr>c3.8xlarge</vt:lpstr>
      <vt:lpstr>g2.2xlarge</vt:lpstr>
      <vt:lpstr>r3.4xlarge</vt:lpstr>
      <vt:lpstr>i2.8xlarge</vt:lpstr>
      <vt:lpstr>d2.8xlarge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2016-04-16T21:54:11Z</dcterms:modified>
</cp:coreProperties>
</file>