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60" windowWidth="25600" windowHeight="16640" tabRatio="600" firstSheet="0" activeTab="2" autoFilterDateGrouping="1"/>
  </bookViews>
  <sheets>
    <sheet xmlns:r="http://schemas.openxmlformats.org/officeDocument/2006/relationships" name="Codes" sheetId="1" state="visible" r:id="rId1"/>
    <sheet xmlns:r="http://schemas.openxmlformats.org/officeDocument/2006/relationships" name="Human" sheetId="2" state="visible" r:id="rId2"/>
    <sheet xmlns:r="http://schemas.openxmlformats.org/officeDocument/2006/relationships" name="Codification" sheetId="3" state="visible" r:id="rId3"/>
    <sheet xmlns:r="http://schemas.openxmlformats.org/officeDocument/2006/relationships" name="Time" sheetId="4" state="visible" r:id="rId4"/>
  </sheets>
  <definedNames/>
  <calcPr calcId="191029" fullCalcOnLoad="1"/>
</workbook>
</file>

<file path=xl/styles.xml><?xml version="1.0" encoding="utf-8"?>
<styleSheet xmlns="http://schemas.openxmlformats.org/spreadsheetml/2006/main">
  <numFmts count="0"/>
  <fonts count="9">
    <font>
      <name val="Aptos Narrow"/>
      <family val="2"/>
      <color theme="1"/>
      <sz val="12"/>
      <scheme val="minor"/>
    </font>
    <font>
      <name val="Arial"/>
      <family val="2"/>
      <b val="1"/>
      <color theme="1"/>
      <sz val="8"/>
    </font>
    <font>
      <name val="Arial"/>
      <family val="2"/>
      <color theme="1"/>
      <sz val="8"/>
    </font>
    <font>
      <name val="Aptos Narrow"/>
      <color indexed="8"/>
      <sz val="12"/>
    </font>
    <font>
      <name val="Arial"/>
      <family val="2"/>
      <b val="1"/>
      <color indexed="8"/>
      <sz val="9"/>
    </font>
    <font>
      <name val="Arial"/>
      <family val="2"/>
      <b val="1"/>
      <color indexed="11"/>
      <sz val="9"/>
    </font>
    <font>
      <name val="Arial"/>
      <family val="2"/>
      <color indexed="11"/>
      <sz val="9"/>
    </font>
    <font>
      <name val="Arial"/>
      <family val="2"/>
      <b val="1"/>
      <color indexed="8"/>
      <sz val="8"/>
    </font>
    <font>
      <name val="Arial"/>
      <family val="2"/>
      <color indexed="8"/>
      <sz val="12"/>
    </font>
  </fonts>
  <fills count="9">
    <fill>
      <patternFill/>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2"/>
        <bgColor indexed="64"/>
      </patternFill>
    </fill>
    <fill>
      <patternFill patternType="solid">
        <fgColor theme="5" tint="0.7999816888943144"/>
        <bgColor indexed="64"/>
      </patternFill>
    </fill>
    <fill>
      <patternFill patternType="solid">
        <fgColor theme="9" tint="0.7999816888943144"/>
        <bgColor indexed="64"/>
      </patternFill>
    </fill>
  </fills>
  <borders count="1">
    <border>
      <left/>
      <right/>
      <top/>
      <bottom/>
      <diagonal/>
    </border>
  </borders>
  <cellStyleXfs count="2">
    <xf numFmtId="0" fontId="0" fillId="0" borderId="0"/>
    <xf numFmtId="0" fontId="3" fillId="0" borderId="0"/>
  </cellStyleXfs>
  <cellXfs count="25">
    <xf numFmtId="0" fontId="0" fillId="0" borderId="0" pivotButton="0" quotePrefix="0" xfId="0"/>
    <xf numFmtId="0" fontId="1" fillId="0" borderId="0" pivotButton="0" quotePrefix="0" xfId="0"/>
    <xf numFmtId="0" fontId="1" fillId="0" borderId="0" applyAlignment="1" pivotButton="0" quotePrefix="0" xfId="0">
      <alignment wrapText="1"/>
    </xf>
    <xf numFmtId="0" fontId="1" fillId="2" borderId="0" applyAlignment="1" pivotButton="0" quotePrefix="0" xfId="0">
      <alignment textRotation="90"/>
    </xf>
    <xf numFmtId="0" fontId="1" fillId="3" borderId="0" applyAlignment="1" pivotButton="0" quotePrefix="0" xfId="0">
      <alignment textRotation="90"/>
    </xf>
    <xf numFmtId="0" fontId="1" fillId="4" borderId="0" applyAlignment="1" pivotButton="0" quotePrefix="0" xfId="0">
      <alignment textRotation="90"/>
    </xf>
    <xf numFmtId="0" fontId="2" fillId="0" borderId="0" pivotButton="0" quotePrefix="0" xfId="0"/>
    <xf numFmtId="0" fontId="2" fillId="0" borderId="0" applyAlignment="1" pivotButton="0" quotePrefix="0" xfId="0">
      <alignment wrapText="1"/>
    </xf>
    <xf numFmtId="9" fontId="2" fillId="2" borderId="0" pivotButton="0" quotePrefix="0" xfId="0"/>
    <xf numFmtId="9" fontId="2" fillId="3" borderId="0" pivotButton="0" quotePrefix="0" xfId="0"/>
    <xf numFmtId="9" fontId="2" fillId="4" borderId="0" pivotButton="0" quotePrefix="0" xfId="0"/>
    <xf numFmtId="49" fontId="4" fillId="5" borderId="0" pivotButton="0" quotePrefix="0" xfId="1"/>
    <xf numFmtId="0" fontId="3" fillId="5" borderId="0" pivotButton="0" quotePrefix="0" xfId="1"/>
    <xf numFmtId="0" fontId="3" fillId="0" borderId="0" pivotButton="0" quotePrefix="0" xfId="1"/>
    <xf numFmtId="0" fontId="5" fillId="5" borderId="0" applyAlignment="1" pivotButton="0" quotePrefix="0" xfId="1">
      <alignment vertical="center" wrapText="1"/>
    </xf>
    <xf numFmtId="0" fontId="6" fillId="5" borderId="0" applyAlignment="1" pivotButton="0" quotePrefix="0" xfId="1">
      <alignment vertical="center" wrapText="1"/>
    </xf>
    <xf numFmtId="0" fontId="3" fillId="5" borderId="0" applyAlignment="1" pivotButton="0" quotePrefix="0" xfId="1">
      <alignment vertical="center" wrapText="1"/>
    </xf>
    <xf numFmtId="0" fontId="3" fillId="5" borderId="0" applyAlignment="1" pivotButton="0" quotePrefix="0" xfId="1">
      <alignment wrapText="1"/>
    </xf>
    <xf numFmtId="49" fontId="3" fillId="6" borderId="0" applyAlignment="1" pivotButton="0" quotePrefix="0" xfId="1">
      <alignment wrapText="1"/>
    </xf>
    <xf numFmtId="0" fontId="5" fillId="5" borderId="0" applyAlignment="1" pivotButton="0" quotePrefix="0" xfId="1">
      <alignment wrapText="1"/>
    </xf>
    <xf numFmtId="0" fontId="6" fillId="5" borderId="0" pivotButton="0" quotePrefix="0" xfId="1"/>
    <xf numFmtId="49" fontId="7" fillId="6" borderId="0" applyAlignment="1" pivotButton="0" quotePrefix="0" xfId="1">
      <alignment wrapText="1"/>
    </xf>
    <xf numFmtId="49" fontId="3" fillId="7" borderId="0" applyAlignment="1" pivotButton="0" quotePrefix="0" xfId="1">
      <alignment wrapText="1"/>
    </xf>
    <xf numFmtId="49" fontId="3" fillId="8" borderId="0" applyAlignment="1" pivotButton="0" quotePrefix="0" xfId="1">
      <alignment wrapText="1"/>
    </xf>
    <xf numFmtId="49" fontId="8" fillId="8" borderId="0" applyAlignment="1" pivotButton="0" quotePrefix="0" xfId="1">
      <alignment wrapText="1" readingOrder="1"/>
    </xf>
  </cellXfs>
  <cellStyles count="2">
    <cellStyle name="Normal" xfId="0" builtinId="0"/>
    <cellStyle name="Normal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G37"/>
  <sheetViews>
    <sheetView showGridLines="0" topLeftCell="A6" zoomScale="76" zoomScaleNormal="76" workbookViewId="0">
      <selection activeCell="C3" sqref="C3"/>
    </sheetView>
  </sheetViews>
  <sheetFormatPr baseColWidth="10" defaultColWidth="10.83203125" defaultRowHeight="16" customHeight="1" outlineLevelCol="0"/>
  <cols>
    <col width="31.6640625" customWidth="1" style="13" min="1" max="1"/>
    <col width="87.1640625" customWidth="1" style="13" min="2" max="2"/>
    <col width="225.6640625" customWidth="1" style="13" min="3" max="3"/>
    <col width="10.83203125" customWidth="1" style="13" min="4" max="6"/>
    <col width="30" customWidth="1" style="13" min="7" max="7"/>
    <col width="10.83203125" customWidth="1" style="13" min="8" max="16"/>
    <col width="10.83203125" customWidth="1" style="13" min="17" max="16384"/>
  </cols>
  <sheetData>
    <row r="1" ht="17" customHeight="1">
      <c r="A1" s="11" t="inlineStr">
        <is>
          <t>Code name</t>
        </is>
      </c>
      <c r="B1" s="11" t="inlineStr">
        <is>
          <t>Code description</t>
        </is>
      </c>
      <c r="C1" s="11" t="inlineStr">
        <is>
          <t>Code examples</t>
        </is>
      </c>
      <c r="D1" s="12" t="n"/>
      <c r="E1" s="12" t="n"/>
      <c r="F1" s="12" t="n"/>
      <c r="G1" s="12" t="n"/>
    </row>
    <row r="2" ht="255" customHeight="1">
      <c r="A2" s="14" t="n"/>
      <c r="B2" s="15" t="n"/>
      <c r="C2" s="16" t="n"/>
      <c r="D2" s="17" t="n"/>
      <c r="E2" s="17" t="n"/>
      <c r="F2" s="12" t="n"/>
      <c r="G2" s="12" t="n"/>
    </row>
    <row r="3" ht="323" customHeight="1">
      <c r="A3" s="18" t="inlineStr">
        <is>
          <t>passive learning</t>
        </is>
      </c>
      <c r="B3" s="18" t="inlineStr">
        <is>
          <t>Learners being oriented toward and receiving information from the instructional materials without overtly doing anything else related to learning.</t>
        </is>
      </c>
      <c r="C3" s="18" t="inlineStr">
        <is>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is>
      </c>
      <c r="D3" s="17" t="n"/>
      <c r="E3" s="19" t="n"/>
      <c r="F3" s="20" t="n"/>
      <c r="G3" s="17" t="n"/>
    </row>
    <row r="4" ht="409.5" customHeight="1">
      <c r="A4" s="18" t="inlineStr">
        <is>
          <t>active learning</t>
        </is>
      </c>
      <c r="B4" s="18" t="inlineStr">
        <is>
          <t>Learners do some form of overt motoric action or physical manipulation without necessarily entailubf the production of an artifact.</t>
        </is>
      </c>
      <c r="C4" s="18" t="inlineStr">
        <is>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is>
      </c>
      <c r="D4" s="17" t="n"/>
      <c r="E4" s="17" t="n"/>
      <c r="F4" s="17" t="n"/>
      <c r="G4" s="17" t="n"/>
    </row>
    <row r="5" ht="255" customHeight="1">
      <c r="A5" s="18" t="inlineStr">
        <is>
          <t>constructive learning</t>
        </is>
      </c>
      <c r="B5" s="18" t="inlineStr">
        <is>
          <t>Learners generate or produce additional externalized outputs or products beyond what was provided in the learning materials.</t>
        </is>
      </c>
      <c r="C5" s="18" t="inlineStr">
        <is>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5" s="17" t="n"/>
      <c r="E5" s="14" t="n"/>
      <c r="F5" s="15" t="n"/>
      <c r="G5" s="16" t="n"/>
    </row>
    <row r="6" ht="136" customHeight="1">
      <c r="A6" s="21" t="inlineStr">
        <is>
          <t>interactive learning</t>
        </is>
      </c>
      <c r="B6" s="18" t="inlineStr">
        <is>
          <t>Learners dialogue with another person, device, learning environment, or system (e.g., a chatbot). Also, if a learning environment or computer-based system expects a response from the user, and provides feedback to that response. It does not necessarily entail the creation of an artifact.</t>
        </is>
      </c>
      <c r="C6" s="18" t="inlineStr">
        <is>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is>
      </c>
      <c r="D6" s="17" t="n"/>
      <c r="E6" s="17" t="n"/>
      <c r="F6" s="12" t="n"/>
      <c r="G6" s="12" t="n"/>
    </row>
    <row r="7" ht="68" customHeight="1">
      <c r="A7" s="22" t="inlineStr">
        <is>
          <t>individual activity</t>
        </is>
      </c>
      <c r="B7" s="22" t="inlineStr">
        <is>
          <t>Learners are asked to accomplish certain activities individually, not involving the creation of an artifact</t>
        </is>
      </c>
      <c r="C7" s="22" t="inlineStr">
        <is>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is>
      </c>
      <c r="D7" s="17" t="n"/>
      <c r="E7" s="17" t="n"/>
      <c r="F7" s="12" t="n"/>
      <c r="G7" s="12" t="n"/>
    </row>
    <row r="8" ht="68" customHeight="1">
      <c r="A8" s="22" t="inlineStr">
        <is>
          <t>individual product</t>
        </is>
      </c>
      <c r="B8" s="22" t="inlineStr">
        <is>
          <t>The participating students were asked to produce an individual artifact</t>
        </is>
      </c>
      <c r="C8" s="22" t="inlineStr">
        <is>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8" s="17" t="n"/>
      <c r="E8" s="17" t="n"/>
      <c r="F8" s="12" t="n"/>
      <c r="G8" s="12" t="n"/>
    </row>
    <row r="9" ht="85" customHeight="1">
      <c r="A9" s="22" t="inlineStr">
        <is>
          <t>collective activity</t>
        </is>
      </c>
      <c r="B9" s="22" t="inlineStr">
        <is>
          <t>Learners are asked to only accomplish certain activities with other people (e.g., other peers, teacher, parents, external people) not involving the creation of an artifact</t>
        </is>
      </c>
      <c r="C9" s="22" t="inlineStr">
        <is>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is>
      </c>
      <c r="D9" s="17" t="n"/>
      <c r="E9" s="17" t="n"/>
      <c r="F9" s="12" t="n"/>
      <c r="G9" s="12" t="n"/>
    </row>
    <row r="10" ht="85" customHeight="1">
      <c r="A10" s="22" t="inlineStr">
        <is>
          <t>collective product</t>
        </is>
      </c>
      <c r="B10" s="22" t="inlineStr">
        <is>
          <t>Learners are asked to produce an artifact with other people (e.g., other peers, teacher, parents, external people)</t>
        </is>
      </c>
      <c r="C10" s="22" t="inlineStr">
        <is>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is>
      </c>
      <c r="D10" s="17" t="n"/>
      <c r="E10" s="17" t="n"/>
      <c r="F10" s="12" t="n"/>
      <c r="G10" s="12" t="n"/>
    </row>
    <row r="11" ht="238" customHeight="1">
      <c r="A11" s="23" t="inlineStr">
        <is>
          <t>orientation</t>
        </is>
      </c>
      <c r="B11" s="23" t="inlineStr">
        <is>
          <t>The process of stimulating curiosity about a topic and addressing a learning challenge through a problem statement.</t>
        </is>
      </c>
      <c r="C11" s="24" t="inlineStr">
        <is>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is>
      </c>
      <c r="D11" s="17" t="n"/>
      <c r="E11" s="17" t="n"/>
      <c r="F11" s="12" t="n"/>
      <c r="G11" s="12" t="n"/>
    </row>
    <row r="12" ht="85" customHeight="1">
      <c r="A12" s="23" t="inlineStr">
        <is>
          <t>conceptualisation</t>
        </is>
      </c>
      <c r="B12" s="23" t="inlineStr">
        <is>
          <t>The process of generating research questions and/or hypotheses regarding a stated problem.</t>
        </is>
      </c>
      <c r="C12" s="23" t="inlineStr">
        <is>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is>
      </c>
      <c r="D12" s="17" t="n"/>
      <c r="E12" s="17" t="n"/>
      <c r="F12" s="12" t="n"/>
      <c r="G12" s="12" t="n"/>
    </row>
    <row r="13" ht="170" customHeight="1">
      <c r="A13" s="23" t="inlineStr">
        <is>
          <t>investigation</t>
        </is>
      </c>
      <c r="B13" s="23" t="inlineStr">
        <is>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is>
      </c>
      <c r="C13" s="23" t="inlineStr">
        <is>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is>
      </c>
      <c r="D13" s="17" t="n"/>
      <c r="E13" s="17" t="n"/>
      <c r="F13" s="12" t="n"/>
      <c r="G13" s="12" t="n"/>
    </row>
    <row r="14" ht="85" customHeight="1">
      <c r="A14" s="23" t="inlineStr">
        <is>
          <t>conclusion</t>
        </is>
      </c>
      <c r="B14" s="23" t="inlineStr">
        <is>
          <t>The process of drawing conclusions from the data. Comparing inferences made based on data with hypotheses or research questions.</t>
        </is>
      </c>
      <c r="C14" s="23" t="inlineStr">
        <is>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is>
      </c>
      <c r="D14" s="17" t="n"/>
      <c r="E14" s="17" t="n"/>
      <c r="F14" s="12" t="n"/>
      <c r="G14" s="12" t="n"/>
    </row>
    <row r="15" ht="187" customHeight="1">
      <c r="A15" s="23" t="inlineStr">
        <is>
          <t>discussion</t>
        </is>
      </c>
      <c r="B15" s="23" t="inlineStr">
        <is>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is>
      </c>
      <c r="C15" s="23" t="inlineStr">
        <is>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is>
      </c>
      <c r="D15" s="17" t="n"/>
      <c r="E15" s="17" t="n"/>
      <c r="F15" s="12" t="n"/>
      <c r="G15" s="12" t="n"/>
    </row>
    <row r="16" ht="17" customHeight="1">
      <c r="A16" s="17" t="n"/>
      <c r="B16" s="17" t="n"/>
      <c r="C16" s="17" t="n"/>
      <c r="D16" s="17" t="n"/>
      <c r="E16" s="17" t="n"/>
      <c r="F16" s="12" t="n"/>
      <c r="G16" s="12" t="n"/>
    </row>
    <row r="17" ht="17" customHeight="1">
      <c r="A17" s="17" t="n"/>
      <c r="B17" s="17" t="n"/>
      <c r="C17" s="17" t="n"/>
      <c r="D17" s="17" t="n"/>
      <c r="E17" s="17" t="n"/>
      <c r="F17" s="12" t="n"/>
      <c r="G17" s="12" t="n"/>
    </row>
    <row r="18" ht="17" customHeight="1">
      <c r="A18" s="17" t="n"/>
      <c r="B18" s="17" t="n"/>
      <c r="C18" s="17" t="n"/>
      <c r="D18" s="17" t="n"/>
      <c r="E18" s="17" t="n"/>
      <c r="F18" s="12" t="n"/>
      <c r="G18" s="12" t="n"/>
    </row>
    <row r="19" ht="17" customHeight="1">
      <c r="A19" s="17" t="n"/>
      <c r="B19" s="17" t="n"/>
      <c r="C19" s="17" t="n"/>
      <c r="D19" s="17" t="n"/>
      <c r="E19" s="17" t="n"/>
      <c r="F19" s="12" t="n"/>
      <c r="G19" s="12" t="n"/>
    </row>
    <row r="20" ht="17" customHeight="1">
      <c r="A20" s="17" t="n"/>
      <c r="B20" s="17" t="n"/>
      <c r="C20" s="17" t="n"/>
      <c r="D20" s="17" t="n"/>
      <c r="E20" s="17" t="n"/>
      <c r="F20" s="12" t="n"/>
      <c r="G20" s="12" t="n"/>
    </row>
    <row r="21" ht="17" customHeight="1">
      <c r="A21" s="17" t="n"/>
      <c r="B21" s="17" t="n"/>
      <c r="C21" s="17" t="n"/>
      <c r="D21" s="17" t="n"/>
      <c r="E21" s="17" t="n"/>
      <c r="F21" s="12" t="n"/>
      <c r="G21" s="12" t="n"/>
    </row>
    <row r="22" ht="17" customHeight="1">
      <c r="A22" s="17" t="n"/>
      <c r="B22" s="17" t="n"/>
      <c r="C22" s="17" t="n"/>
      <c r="D22" s="17" t="n"/>
      <c r="E22" s="17" t="n"/>
      <c r="F22" s="12" t="n"/>
      <c r="G22" s="12" t="n"/>
    </row>
    <row r="23" ht="17" customHeight="1">
      <c r="A23" s="17" t="n"/>
      <c r="B23" s="17" t="n"/>
      <c r="C23" s="17" t="n"/>
      <c r="D23" s="17" t="n"/>
      <c r="E23" s="17" t="n"/>
      <c r="F23" s="12" t="n"/>
      <c r="G23" s="12" t="n"/>
    </row>
    <row r="24" ht="17" customHeight="1">
      <c r="A24" s="17" t="n"/>
      <c r="B24" s="17" t="n"/>
      <c r="C24" s="17" t="n"/>
      <c r="D24" s="17" t="n"/>
      <c r="E24" s="17" t="n"/>
      <c r="F24" s="12" t="n"/>
      <c r="G24" s="12" t="n"/>
    </row>
    <row r="25" ht="17" customHeight="1">
      <c r="A25" s="17" t="n"/>
      <c r="B25" s="17" t="n"/>
      <c r="C25" s="17" t="n"/>
      <c r="D25" s="17" t="n"/>
      <c r="E25" s="17" t="n"/>
      <c r="F25" s="12" t="n"/>
      <c r="G25" s="12" t="n"/>
    </row>
    <row r="26" ht="17" customHeight="1">
      <c r="A26" s="17" t="n"/>
      <c r="B26" s="17" t="n"/>
      <c r="C26" s="17" t="n"/>
      <c r="D26" s="17" t="n"/>
      <c r="E26" s="17" t="n"/>
      <c r="F26" s="12" t="n"/>
      <c r="G26" s="12" t="n"/>
    </row>
    <row r="27" ht="17" customHeight="1">
      <c r="A27" s="17" t="n"/>
      <c r="B27" s="17" t="n"/>
      <c r="C27" s="17" t="n"/>
      <c r="D27" s="17" t="n"/>
      <c r="E27" s="17" t="n"/>
      <c r="F27" s="12" t="n"/>
      <c r="G27" s="12" t="n"/>
    </row>
    <row r="28" ht="17" customHeight="1">
      <c r="A28" s="17" t="n"/>
      <c r="B28" s="17" t="n"/>
      <c r="C28" s="17" t="n"/>
      <c r="D28" s="17" t="n"/>
      <c r="E28" s="17" t="n"/>
      <c r="F28" s="12" t="n"/>
      <c r="G28" s="12" t="n"/>
    </row>
    <row r="29" ht="17" customHeight="1">
      <c r="A29" s="17" t="n"/>
      <c r="B29" s="17" t="n"/>
      <c r="C29" s="17" t="n"/>
      <c r="D29" s="17" t="n"/>
      <c r="E29" s="17" t="n"/>
      <c r="F29" s="12" t="n"/>
      <c r="G29" s="12" t="n"/>
    </row>
    <row r="30" ht="17" customHeight="1">
      <c r="A30" s="17" t="n"/>
      <c r="B30" s="17" t="n"/>
      <c r="C30" s="17" t="n"/>
      <c r="D30" s="17" t="n"/>
      <c r="E30" s="17" t="n"/>
      <c r="F30" s="12" t="n"/>
      <c r="G30" s="12" t="n"/>
    </row>
    <row r="31" ht="17" customHeight="1">
      <c r="A31" s="17" t="n"/>
      <c r="B31" s="17" t="n"/>
      <c r="C31" s="17" t="n"/>
      <c r="D31" s="17" t="n"/>
      <c r="E31" s="17" t="n"/>
      <c r="F31" s="12" t="n"/>
      <c r="G31" s="12" t="n"/>
    </row>
    <row r="32" ht="17" customHeight="1">
      <c r="A32" s="17" t="n"/>
      <c r="B32" s="17" t="n"/>
      <c r="C32" s="17" t="n"/>
      <c r="D32" s="17" t="n"/>
      <c r="E32" s="17" t="n"/>
      <c r="F32" s="12" t="n"/>
      <c r="G32" s="12" t="n"/>
    </row>
    <row r="33" ht="17" customHeight="1">
      <c r="A33" s="17" t="n"/>
      <c r="B33" s="17" t="n"/>
      <c r="C33" s="17" t="n"/>
      <c r="D33" s="17" t="n"/>
      <c r="E33" s="17" t="n"/>
      <c r="F33" s="12" t="n"/>
      <c r="G33" s="12" t="n"/>
    </row>
    <row r="34" ht="17" customHeight="1">
      <c r="A34" s="17" t="n"/>
      <c r="B34" s="17" t="n"/>
      <c r="C34" s="17" t="n"/>
      <c r="D34" s="17" t="n"/>
      <c r="E34" s="17" t="n"/>
      <c r="F34" s="12" t="n"/>
      <c r="G34" s="12" t="n"/>
    </row>
    <row r="35" ht="17" customHeight="1">
      <c r="A35" s="17" t="n"/>
      <c r="B35" s="17" t="n"/>
      <c r="C35" s="17" t="n"/>
      <c r="D35" s="17" t="n"/>
      <c r="E35" s="17" t="n"/>
      <c r="F35" s="12" t="n"/>
      <c r="G35" s="12" t="n"/>
    </row>
    <row r="36" ht="17" customHeight="1">
      <c r="A36" s="17" t="n"/>
      <c r="B36" s="17" t="n"/>
      <c r="C36" s="17" t="n"/>
      <c r="D36" s="17" t="n"/>
      <c r="E36" s="17" t="n"/>
      <c r="F36" s="12" t="n"/>
      <c r="G36" s="12" t="n"/>
    </row>
    <row r="37" ht="17" customHeight="1">
      <c r="A37" s="17" t="n"/>
      <c r="B37" s="17" t="n"/>
      <c r="C37" s="17" t="n"/>
      <c r="D37" s="17" t="n"/>
      <c r="E37" s="17" t="n"/>
      <c r="F37" s="12" t="n"/>
      <c r="G37" s="12" t="n"/>
    </row>
  </sheetData>
  <pageMargins left="0.7" right="0.7" top="0.75" bottom="0.75" header="0.3" footer="0.3"/>
  <pageSetup orientation="portrait"/>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S759"/>
  <sheetViews>
    <sheetView workbookViewId="0">
      <selection activeCell="I3" sqref="I3"/>
    </sheetView>
  </sheetViews>
  <sheetFormatPr baseColWidth="10" defaultRowHeight="16"/>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Summary</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n">
        <v>0</v>
      </c>
      <c r="H2" s="8" t="n">
        <v>0</v>
      </c>
      <c r="I2" s="8" t="n">
        <v>0</v>
      </c>
      <c r="J2" s="8" t="n">
        <v>0</v>
      </c>
      <c r="K2" s="9" t="n">
        <v>0</v>
      </c>
      <c r="L2" s="9" t="n">
        <v>0</v>
      </c>
      <c r="M2" s="9" t="n">
        <v>0</v>
      </c>
      <c r="N2" s="9" t="n">
        <v>0</v>
      </c>
      <c r="O2" s="10" t="n">
        <v>0</v>
      </c>
      <c r="P2" s="10" t="n">
        <v>0</v>
      </c>
      <c r="Q2" s="10" t="n">
        <v>0</v>
      </c>
      <c r="R2" s="10" t="n">
        <v>0</v>
      </c>
      <c r="S2" s="10" t="n">
        <v>0</v>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n">
        <v>1</v>
      </c>
      <c r="H3" s="8" t="n">
        <v>0</v>
      </c>
      <c r="I3" s="8" t="n">
        <v>0</v>
      </c>
      <c r="J3" s="8" t="n">
        <v>0</v>
      </c>
      <c r="K3" s="9" t="n">
        <v>1</v>
      </c>
      <c r="L3" s="9" t="n">
        <v>0</v>
      </c>
      <c r="M3" s="9" t="n">
        <v>0</v>
      </c>
      <c r="N3" s="9" t="n">
        <v>0</v>
      </c>
      <c r="O3" s="10" t="n">
        <v>1</v>
      </c>
      <c r="P3" s="10" t="n">
        <v>0</v>
      </c>
      <c r="Q3" s="10" t="n">
        <v>0</v>
      </c>
      <c r="R3" s="10" t="n">
        <v>0</v>
      </c>
      <c r="S3" s="10" t="n">
        <v>0</v>
      </c>
    </row>
    <row r="4" ht="121"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n">
        <v>1</v>
      </c>
      <c r="H4" s="8" t="n">
        <v>0</v>
      </c>
      <c r="I4" s="8" t="n">
        <v>0</v>
      </c>
      <c r="J4" s="8" t="n">
        <v>0</v>
      </c>
      <c r="K4" s="9" t="n">
        <v>1</v>
      </c>
      <c r="L4" s="9" t="n">
        <v>0</v>
      </c>
      <c r="M4" s="9" t="n">
        <v>0</v>
      </c>
      <c r="N4" s="9" t="n">
        <v>0</v>
      </c>
      <c r="O4" s="10" t="n">
        <v>0</v>
      </c>
      <c r="P4" s="10" t="n">
        <v>0</v>
      </c>
      <c r="Q4" s="10" t="n">
        <v>0</v>
      </c>
      <c r="R4" s="10" t="n">
        <v>0</v>
      </c>
      <c r="S4" s="10" t="n">
        <v>0</v>
      </c>
    </row>
    <row r="5" ht="329"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n"/>
      <c r="G5" s="8" t="n">
        <v>0</v>
      </c>
      <c r="H5" s="8" t="n">
        <v>0</v>
      </c>
      <c r="I5" s="8" t="n">
        <v>1</v>
      </c>
      <c r="J5" s="8" t="n">
        <v>0</v>
      </c>
      <c r="K5" s="9" t="n">
        <v>0</v>
      </c>
      <c r="L5" s="9" t="n">
        <v>1</v>
      </c>
      <c r="M5" s="9" t="n">
        <v>0</v>
      </c>
      <c r="N5" s="9" t="n">
        <v>0</v>
      </c>
      <c r="O5" s="10" t="n">
        <v>0</v>
      </c>
      <c r="P5" s="10" t="n">
        <v>0</v>
      </c>
      <c r="Q5" s="10" t="n">
        <v>0</v>
      </c>
      <c r="R5" s="10" t="n">
        <v>0</v>
      </c>
      <c r="S5" s="10" t="n">
        <v>0</v>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n"/>
      <c r="G6" s="8" t="n">
        <v>1</v>
      </c>
      <c r="H6" s="8" t="n">
        <v>0</v>
      </c>
      <c r="I6" s="8" t="n">
        <v>0</v>
      </c>
      <c r="J6" s="8" t="n">
        <v>0</v>
      </c>
      <c r="K6" s="9" t="n">
        <v>1</v>
      </c>
      <c r="L6" s="9" t="n">
        <v>0</v>
      </c>
      <c r="M6" s="9" t="n">
        <v>0</v>
      </c>
      <c r="N6" s="9" t="n">
        <v>0</v>
      </c>
      <c r="O6" s="10" t="n">
        <v>0</v>
      </c>
      <c r="P6" s="10" t="n">
        <v>0</v>
      </c>
      <c r="Q6" s="10" t="n">
        <v>0</v>
      </c>
      <c r="R6" s="10" t="n">
        <v>0</v>
      </c>
      <c r="S6" s="10" t="n">
        <v>1</v>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n"/>
      <c r="G7" s="8" t="n">
        <v>1</v>
      </c>
      <c r="H7" s="8" t="n">
        <v>0</v>
      </c>
      <c r="I7" s="8" t="n">
        <v>0</v>
      </c>
      <c r="J7" s="8" t="n">
        <v>0</v>
      </c>
      <c r="K7" s="9" t="n">
        <v>1</v>
      </c>
      <c r="L7" s="9" t="n">
        <v>0</v>
      </c>
      <c r="M7" s="9" t="n">
        <v>0</v>
      </c>
      <c r="N7" s="9" t="n">
        <v>0</v>
      </c>
      <c r="O7" s="10" t="n">
        <v>1</v>
      </c>
      <c r="P7" s="10" t="n">
        <v>0</v>
      </c>
      <c r="Q7" s="10" t="n">
        <v>0</v>
      </c>
      <c r="R7" s="10" t="n">
        <v>0</v>
      </c>
      <c r="S7" s="10" t="n">
        <v>0</v>
      </c>
    </row>
    <row r="8" ht="121"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n"/>
      <c r="G8" s="8" t="n">
        <v>1</v>
      </c>
      <c r="H8" s="8" t="n">
        <v>0</v>
      </c>
      <c r="I8" s="8" t="n">
        <v>0</v>
      </c>
      <c r="J8" s="8" t="n">
        <v>0</v>
      </c>
      <c r="K8" s="9" t="n">
        <v>1</v>
      </c>
      <c r="L8" s="9" t="n">
        <v>0</v>
      </c>
      <c r="M8" s="9" t="n">
        <v>0</v>
      </c>
      <c r="N8" s="9" t="n">
        <v>0</v>
      </c>
      <c r="O8" s="10" t="n">
        <v>0</v>
      </c>
      <c r="P8" s="10" t="n">
        <v>0</v>
      </c>
      <c r="Q8" s="10" t="n">
        <v>0</v>
      </c>
      <c r="R8" s="10" t="n">
        <v>0</v>
      </c>
      <c r="S8" s="10" t="n">
        <v>0</v>
      </c>
    </row>
    <row r="9" ht="329"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n"/>
      <c r="G9" s="8" t="n">
        <v>0</v>
      </c>
      <c r="H9" s="8" t="n">
        <v>0</v>
      </c>
      <c r="I9" s="8" t="n">
        <v>0</v>
      </c>
      <c r="J9" s="8" t="n">
        <v>0</v>
      </c>
      <c r="K9" s="9" t="n">
        <v>0</v>
      </c>
      <c r="L9" s="9" t="n">
        <v>0</v>
      </c>
      <c r="M9" s="9" t="n">
        <v>0</v>
      </c>
      <c r="N9" s="9" t="n">
        <v>0</v>
      </c>
      <c r="O9" s="10" t="n">
        <v>0</v>
      </c>
      <c r="P9" s="10" t="n">
        <v>0</v>
      </c>
      <c r="Q9" s="10" t="n">
        <v>0</v>
      </c>
      <c r="R9" s="10" t="n">
        <v>0</v>
      </c>
      <c r="S9" s="10" t="n">
        <v>0</v>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n"/>
      <c r="G10" s="8" t="n">
        <v>1</v>
      </c>
      <c r="H10" s="8" t="n">
        <v>0</v>
      </c>
      <c r="I10" s="8" t="n">
        <v>0</v>
      </c>
      <c r="J10" s="8" t="n">
        <v>0</v>
      </c>
      <c r="K10" s="9" t="n">
        <v>1</v>
      </c>
      <c r="L10" s="9" t="n">
        <v>0</v>
      </c>
      <c r="M10" s="9" t="n">
        <v>0</v>
      </c>
      <c r="N10" s="9" t="n">
        <v>0</v>
      </c>
      <c r="O10" s="10" t="n">
        <v>0</v>
      </c>
      <c r="P10" s="10" t="n">
        <v>0</v>
      </c>
      <c r="Q10" s="10" t="n">
        <v>0</v>
      </c>
      <c r="R10" s="10" t="n">
        <v>0</v>
      </c>
      <c r="S10" s="10" t="n">
        <v>1</v>
      </c>
    </row>
    <row r="11" ht="37"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n"/>
      <c r="G11" s="8" t="n">
        <v>0</v>
      </c>
      <c r="H11" s="8" t="n">
        <v>0</v>
      </c>
      <c r="I11" s="8" t="n">
        <v>0</v>
      </c>
      <c r="J11" s="8" t="n">
        <v>0</v>
      </c>
      <c r="K11" s="9" t="n">
        <v>0</v>
      </c>
      <c r="L11" s="9" t="n">
        <v>0</v>
      </c>
      <c r="M11" s="9" t="n">
        <v>0</v>
      </c>
      <c r="N11" s="9" t="n">
        <v>0</v>
      </c>
      <c r="O11" s="10" t="n">
        <v>0</v>
      </c>
      <c r="P11" s="10" t="n">
        <v>0</v>
      </c>
      <c r="Q11" s="10" t="n">
        <v>0</v>
      </c>
      <c r="R11" s="10" t="n">
        <v>0</v>
      </c>
      <c r="S11" s="10" t="n">
        <v>0</v>
      </c>
    </row>
    <row r="12" ht="241"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n"/>
      <c r="G12" s="8" t="n">
        <v>0</v>
      </c>
      <c r="H12" s="8" t="n">
        <v>1</v>
      </c>
      <c r="I12" s="8" t="n">
        <v>0</v>
      </c>
      <c r="J12" s="8" t="n">
        <v>0</v>
      </c>
      <c r="K12" s="9" t="n">
        <v>1</v>
      </c>
      <c r="L12" s="9" t="n">
        <v>0</v>
      </c>
      <c r="M12" s="9" t="n">
        <v>0</v>
      </c>
      <c r="N12" s="9" t="n">
        <v>0</v>
      </c>
      <c r="O12" s="10" t="n">
        <v>0</v>
      </c>
      <c r="P12" s="10" t="n">
        <v>0</v>
      </c>
      <c r="Q12" s="10" t="n">
        <v>1</v>
      </c>
      <c r="R12" s="10" t="n">
        <v>0</v>
      </c>
      <c r="S12" s="10" t="n">
        <v>0</v>
      </c>
    </row>
    <row r="13" ht="133"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n"/>
      <c r="G13" s="8" t="n">
        <v>0</v>
      </c>
      <c r="H13" s="8" t="n">
        <v>1</v>
      </c>
      <c r="I13" s="8" t="n">
        <v>0</v>
      </c>
      <c r="J13" s="8" t="n">
        <v>0</v>
      </c>
      <c r="K13" s="9" t="n">
        <v>1</v>
      </c>
      <c r="L13" s="9" t="n">
        <v>0</v>
      </c>
      <c r="M13" s="9" t="n">
        <v>0</v>
      </c>
      <c r="N13" s="9" t="n">
        <v>0</v>
      </c>
      <c r="O13" s="10" t="n">
        <v>0</v>
      </c>
      <c r="P13" s="10" t="n">
        <v>0</v>
      </c>
      <c r="Q13" s="10" t="n">
        <v>1</v>
      </c>
      <c r="R13" s="10" t="n">
        <v>0</v>
      </c>
      <c r="S13" s="10" t="n">
        <v>0</v>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n"/>
      <c r="G14" s="8" t="n">
        <v>0</v>
      </c>
      <c r="H14" s="8" t="n">
        <v>0</v>
      </c>
      <c r="I14" s="8" t="n">
        <v>0</v>
      </c>
      <c r="J14" s="8" t="n">
        <v>0</v>
      </c>
      <c r="K14" s="9" t="n">
        <v>0</v>
      </c>
      <c r="L14" s="9" t="n">
        <v>0</v>
      </c>
      <c r="M14" s="9" t="n">
        <v>0</v>
      </c>
      <c r="N14" s="9" t="n">
        <v>0</v>
      </c>
      <c r="O14" s="10" t="n">
        <v>0</v>
      </c>
      <c r="P14" s="10" t="n">
        <v>0</v>
      </c>
      <c r="Q14" s="10" t="n">
        <v>0</v>
      </c>
      <c r="R14" s="10" t="n">
        <v>0</v>
      </c>
      <c r="S14" s="10" t="n">
        <v>0</v>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n"/>
      <c r="G15" s="8" t="n">
        <v>0</v>
      </c>
      <c r="H15" s="8" t="n">
        <v>0</v>
      </c>
      <c r="I15" s="8" t="n">
        <v>0</v>
      </c>
      <c r="J15" s="8" t="n">
        <v>0</v>
      </c>
      <c r="K15" s="9" t="n">
        <v>0</v>
      </c>
      <c r="L15" s="9" t="n">
        <v>0</v>
      </c>
      <c r="M15" s="9" t="n">
        <v>0</v>
      </c>
      <c r="N15" s="9" t="n">
        <v>0</v>
      </c>
      <c r="O15" s="10" t="n">
        <v>0</v>
      </c>
      <c r="P15" s="10" t="n">
        <v>0</v>
      </c>
      <c r="Q15" s="10" t="n">
        <v>0</v>
      </c>
      <c r="R15" s="10" t="n">
        <v>0</v>
      </c>
      <c r="S15" s="10" t="n">
        <v>0</v>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n"/>
      <c r="G16" s="8" t="n">
        <v>0</v>
      </c>
      <c r="H16" s="8" t="n">
        <v>0</v>
      </c>
      <c r="I16" s="8" t="n">
        <v>1</v>
      </c>
      <c r="J16" s="8" t="n">
        <v>0</v>
      </c>
      <c r="K16" s="9" t="n">
        <v>0</v>
      </c>
      <c r="L16" s="9" t="n">
        <v>1</v>
      </c>
      <c r="M16" s="9" t="n">
        <v>0</v>
      </c>
      <c r="N16" s="9" t="n">
        <v>0</v>
      </c>
      <c r="O16" s="10" t="n">
        <v>0</v>
      </c>
      <c r="P16" s="10" t="n">
        <v>1</v>
      </c>
      <c r="Q16" s="10" t="n">
        <v>0</v>
      </c>
      <c r="R16" s="10" t="n">
        <v>0</v>
      </c>
      <c r="S16" s="10" t="n">
        <v>0</v>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n"/>
      <c r="G17" s="8" t="n">
        <v>1</v>
      </c>
      <c r="H17" s="8" t="n">
        <v>0</v>
      </c>
      <c r="I17" s="8" t="n">
        <v>0</v>
      </c>
      <c r="J17" s="8" t="n">
        <v>0</v>
      </c>
      <c r="K17" s="9" t="n">
        <v>1</v>
      </c>
      <c r="L17" s="9" t="n">
        <v>0</v>
      </c>
      <c r="M17" s="9" t="n">
        <v>0</v>
      </c>
      <c r="N17" s="9" t="n">
        <v>0</v>
      </c>
      <c r="O17" s="10" t="n">
        <v>0</v>
      </c>
      <c r="P17" s="10" t="n">
        <v>0</v>
      </c>
      <c r="Q17" s="10" t="n">
        <v>0</v>
      </c>
      <c r="R17" s="10" t="n">
        <v>1</v>
      </c>
      <c r="S17" s="10" t="n">
        <v>0</v>
      </c>
    </row>
    <row r="18" ht="329"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n"/>
      <c r="G18" s="8" t="n">
        <v>0</v>
      </c>
      <c r="H18" s="8" t="n">
        <v>0</v>
      </c>
      <c r="I18" s="8" t="n">
        <v>1</v>
      </c>
      <c r="J18" s="8" t="n">
        <v>0</v>
      </c>
      <c r="K18" s="9" t="n">
        <v>0</v>
      </c>
      <c r="L18" s="9" t="n">
        <v>1</v>
      </c>
      <c r="M18" s="9" t="n">
        <v>0</v>
      </c>
      <c r="N18" s="9" t="n">
        <v>0</v>
      </c>
      <c r="O18" s="10" t="n">
        <v>0</v>
      </c>
      <c r="P18" s="10" t="n">
        <v>0</v>
      </c>
      <c r="Q18" s="10" t="n">
        <v>0</v>
      </c>
      <c r="R18" s="10" t="n">
        <v>0</v>
      </c>
      <c r="S18" s="10" t="n">
        <v>0</v>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n"/>
      <c r="G19" s="8" t="n">
        <v>1</v>
      </c>
      <c r="H19" s="8" t="n">
        <v>0</v>
      </c>
      <c r="I19" s="8" t="n">
        <v>0</v>
      </c>
      <c r="J19" s="8" t="n">
        <v>0</v>
      </c>
      <c r="K19" s="9" t="n">
        <v>1</v>
      </c>
      <c r="L19" s="9" t="n">
        <v>0</v>
      </c>
      <c r="M19" s="9" t="n">
        <v>0</v>
      </c>
      <c r="N19" s="9" t="n">
        <v>0</v>
      </c>
      <c r="O19" s="10" t="n">
        <v>0</v>
      </c>
      <c r="P19" s="10" t="n">
        <v>0</v>
      </c>
      <c r="Q19" s="10" t="n">
        <v>0</v>
      </c>
      <c r="R19" s="10" t="n">
        <v>1</v>
      </c>
      <c r="S19" s="10" t="n">
        <v>0</v>
      </c>
    </row>
    <row r="20" ht="329"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n"/>
      <c r="G20" s="8" t="n">
        <v>0</v>
      </c>
      <c r="H20" s="8" t="n">
        <v>0</v>
      </c>
      <c r="I20" s="8" t="n">
        <v>1</v>
      </c>
      <c r="J20" s="8" t="n">
        <v>0</v>
      </c>
      <c r="K20" s="9" t="n">
        <v>0</v>
      </c>
      <c r="L20" s="9" t="n">
        <v>1</v>
      </c>
      <c r="M20" s="9" t="n">
        <v>0</v>
      </c>
      <c r="N20" s="9" t="n">
        <v>0</v>
      </c>
      <c r="O20" s="10" t="n">
        <v>0</v>
      </c>
      <c r="P20" s="10" t="n">
        <v>0</v>
      </c>
      <c r="Q20" s="10" t="n">
        <v>0</v>
      </c>
      <c r="R20" s="10" t="n">
        <v>0</v>
      </c>
      <c r="S20" s="10" t="n">
        <v>0</v>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n"/>
      <c r="G21" s="8" t="n">
        <v>1</v>
      </c>
      <c r="H21" s="8" t="n">
        <v>0</v>
      </c>
      <c r="I21" s="8" t="n">
        <v>0</v>
      </c>
      <c r="J21" s="8" t="n">
        <v>0</v>
      </c>
      <c r="K21" s="9" t="n">
        <v>1</v>
      </c>
      <c r="L21" s="9" t="n">
        <v>0</v>
      </c>
      <c r="M21" s="9" t="n">
        <v>0</v>
      </c>
      <c r="N21" s="9" t="n">
        <v>0</v>
      </c>
      <c r="O21" s="10" t="n">
        <v>0</v>
      </c>
      <c r="P21" s="10" t="n">
        <v>0</v>
      </c>
      <c r="Q21" s="10" t="n">
        <v>0</v>
      </c>
      <c r="R21" s="10" t="n">
        <v>1</v>
      </c>
      <c r="S21" s="10" t="n">
        <v>0</v>
      </c>
    </row>
    <row r="22" ht="329"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n"/>
      <c r="G22" s="8" t="n">
        <v>0</v>
      </c>
      <c r="H22" s="8" t="n">
        <v>0</v>
      </c>
      <c r="I22" s="8" t="n">
        <v>1</v>
      </c>
      <c r="J22" s="8" t="n">
        <v>0</v>
      </c>
      <c r="K22" s="9" t="n">
        <v>0</v>
      </c>
      <c r="L22" s="9" t="n">
        <v>1</v>
      </c>
      <c r="M22" s="9" t="n">
        <v>0</v>
      </c>
      <c r="N22" s="9" t="n">
        <v>0</v>
      </c>
      <c r="O22" s="10" t="n">
        <v>0</v>
      </c>
      <c r="P22" s="10" t="n">
        <v>0</v>
      </c>
      <c r="Q22" s="10" t="n">
        <v>0</v>
      </c>
      <c r="R22" s="10" t="n">
        <v>0</v>
      </c>
      <c r="S22" s="10" t="n">
        <v>0</v>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n"/>
      <c r="G23" s="8" t="n">
        <v>0</v>
      </c>
      <c r="H23" s="8" t="n">
        <v>0</v>
      </c>
      <c r="I23" s="8" t="n">
        <v>0</v>
      </c>
      <c r="J23" s="8" t="n">
        <v>0</v>
      </c>
      <c r="K23" s="9" t="n">
        <v>0</v>
      </c>
      <c r="L23" s="9" t="n">
        <v>0</v>
      </c>
      <c r="M23" s="9" t="n">
        <v>0</v>
      </c>
      <c r="N23" s="9" t="n">
        <v>0</v>
      </c>
      <c r="O23" s="10" t="n">
        <v>0</v>
      </c>
      <c r="P23" s="10" t="n">
        <v>0</v>
      </c>
      <c r="Q23" s="10" t="n">
        <v>0</v>
      </c>
      <c r="R23" s="10" t="n">
        <v>0</v>
      </c>
      <c r="S23" s="10" t="n">
        <v>0</v>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n"/>
      <c r="G24" s="8" t="n">
        <v>0</v>
      </c>
      <c r="H24" s="8" t="n">
        <v>0</v>
      </c>
      <c r="I24" s="8" t="n">
        <v>0</v>
      </c>
      <c r="J24" s="8" t="n">
        <v>0</v>
      </c>
      <c r="K24" s="9" t="n">
        <v>0</v>
      </c>
      <c r="L24" s="9" t="n">
        <v>0</v>
      </c>
      <c r="M24" s="9" t="n">
        <v>0</v>
      </c>
      <c r="N24" s="9" t="n">
        <v>0</v>
      </c>
      <c r="O24" s="10" t="n">
        <v>0</v>
      </c>
      <c r="P24" s="10" t="n">
        <v>0</v>
      </c>
      <c r="Q24" s="10" t="n">
        <v>0</v>
      </c>
      <c r="R24" s="10" t="n">
        <v>0</v>
      </c>
      <c r="S24" s="10" t="n">
        <v>0</v>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n"/>
      <c r="G25" s="8" t="n">
        <v>1</v>
      </c>
      <c r="H25" s="8" t="n">
        <v>0</v>
      </c>
      <c r="I25" s="8" t="n">
        <v>0</v>
      </c>
      <c r="J25" s="8" t="n">
        <v>0</v>
      </c>
      <c r="K25" s="9" t="n">
        <v>1</v>
      </c>
      <c r="L25" s="9" t="n">
        <v>0</v>
      </c>
      <c r="M25" s="9" t="n">
        <v>0</v>
      </c>
      <c r="N25" s="9" t="n">
        <v>0</v>
      </c>
      <c r="O25" s="10" t="n">
        <v>1</v>
      </c>
      <c r="P25" s="10" t="n">
        <v>0</v>
      </c>
      <c r="Q25" s="10" t="n">
        <v>0</v>
      </c>
      <c r="R25" s="10" t="n">
        <v>0</v>
      </c>
      <c r="S25" s="10" t="n">
        <v>0</v>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n"/>
      <c r="G26" s="8" t="n">
        <v>0</v>
      </c>
      <c r="H26" s="8" t="n">
        <v>0</v>
      </c>
      <c r="I26" s="8" t="n">
        <v>0</v>
      </c>
      <c r="J26" s="8" t="n">
        <v>0</v>
      </c>
      <c r="K26" s="9" t="n">
        <v>0</v>
      </c>
      <c r="L26" s="9" t="n">
        <v>0</v>
      </c>
      <c r="M26" s="9" t="n">
        <v>0</v>
      </c>
      <c r="N26" s="9" t="n">
        <v>0</v>
      </c>
      <c r="O26" s="10" t="n">
        <v>0</v>
      </c>
      <c r="P26" s="10" t="n">
        <v>0</v>
      </c>
      <c r="Q26" s="10" t="n">
        <v>0</v>
      </c>
      <c r="R26" s="10" t="n">
        <v>0</v>
      </c>
      <c r="S26" s="10" t="n">
        <v>0</v>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n"/>
      <c r="G27" s="8" t="n">
        <v>0</v>
      </c>
      <c r="H27" s="8" t="n">
        <v>0</v>
      </c>
      <c r="I27" s="8" t="n">
        <v>0</v>
      </c>
      <c r="J27" s="8" t="n">
        <v>0</v>
      </c>
      <c r="K27" s="9" t="n">
        <v>0</v>
      </c>
      <c r="L27" s="9" t="n">
        <v>0</v>
      </c>
      <c r="M27" s="9" t="n">
        <v>0</v>
      </c>
      <c r="N27" s="9" t="n">
        <v>0</v>
      </c>
      <c r="O27" s="10" t="n">
        <v>0</v>
      </c>
      <c r="P27" s="10" t="n">
        <v>0</v>
      </c>
      <c r="Q27" s="10" t="n">
        <v>0</v>
      </c>
      <c r="R27" s="10" t="n">
        <v>0</v>
      </c>
      <c r="S27" s="10" t="n">
        <v>0</v>
      </c>
    </row>
    <row r="28" ht="296"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n"/>
      <c r="G28" s="8" t="n">
        <v>0</v>
      </c>
      <c r="H28" s="8" t="n">
        <v>0</v>
      </c>
      <c r="I28" s="8" t="n">
        <v>0</v>
      </c>
      <c r="J28" s="8" t="n">
        <v>1</v>
      </c>
      <c r="K28" s="9" t="n">
        <v>0</v>
      </c>
      <c r="L28" s="9" t="n">
        <v>1</v>
      </c>
      <c r="M28" s="9" t="n">
        <v>0</v>
      </c>
      <c r="N28" s="9" t="n">
        <v>0</v>
      </c>
      <c r="O28" s="10" t="n">
        <v>0</v>
      </c>
      <c r="P28" s="10" t="n">
        <v>0</v>
      </c>
      <c r="Q28" s="10" t="n">
        <v>0</v>
      </c>
      <c r="R28" s="10" t="n">
        <v>0</v>
      </c>
      <c r="S28" s="10" t="n">
        <v>1</v>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n"/>
      <c r="G29" s="8" t="n">
        <v>0</v>
      </c>
      <c r="H29" s="8" t="n">
        <v>0</v>
      </c>
      <c r="I29" s="8" t="n">
        <v>1</v>
      </c>
      <c r="J29" s="8" t="n">
        <v>0</v>
      </c>
      <c r="K29" s="9" t="n">
        <v>0</v>
      </c>
      <c r="L29" s="9" t="n">
        <v>1</v>
      </c>
      <c r="M29" s="9" t="n">
        <v>0</v>
      </c>
      <c r="N29" s="9" t="n">
        <v>0</v>
      </c>
      <c r="O29" s="10" t="n">
        <v>0</v>
      </c>
      <c r="P29" s="10" t="n">
        <v>0</v>
      </c>
      <c r="Q29" s="10" t="n">
        <v>0</v>
      </c>
      <c r="R29" s="10" t="n">
        <v>0</v>
      </c>
      <c r="S29" s="10" t="n">
        <v>0</v>
      </c>
    </row>
    <row r="30" ht="329"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n"/>
      <c r="G30" s="8" t="n">
        <v>0</v>
      </c>
      <c r="H30" s="8" t="n">
        <v>0</v>
      </c>
      <c r="I30" s="8" t="n">
        <v>1</v>
      </c>
      <c r="J30" s="8" t="n">
        <v>0</v>
      </c>
      <c r="K30" s="9" t="n">
        <v>0</v>
      </c>
      <c r="L30" s="9" t="n">
        <v>1</v>
      </c>
      <c r="M30" s="9" t="n">
        <v>0</v>
      </c>
      <c r="N30" s="9" t="n">
        <v>0</v>
      </c>
      <c r="O30" s="10" t="n">
        <v>0</v>
      </c>
      <c r="P30" s="10" t="n">
        <v>0</v>
      </c>
      <c r="Q30" s="10" t="n">
        <v>0</v>
      </c>
      <c r="R30" s="10" t="n">
        <v>0</v>
      </c>
      <c r="S30" s="10" t="n">
        <v>0</v>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n"/>
      <c r="G31" s="8" t="n">
        <v>1</v>
      </c>
      <c r="H31" s="8" t="n">
        <v>0</v>
      </c>
      <c r="I31" s="8" t="n">
        <v>0</v>
      </c>
      <c r="J31" s="8" t="n">
        <v>0</v>
      </c>
      <c r="K31" s="9" t="n">
        <v>1</v>
      </c>
      <c r="L31" s="9" t="n">
        <v>0</v>
      </c>
      <c r="M31" s="9" t="n">
        <v>0</v>
      </c>
      <c r="N31" s="9" t="n">
        <v>0</v>
      </c>
      <c r="O31" s="10" t="n">
        <v>0</v>
      </c>
      <c r="P31" s="10" t="n">
        <v>0</v>
      </c>
      <c r="Q31" s="10" t="n">
        <v>0</v>
      </c>
      <c r="R31" s="10" t="n">
        <v>0</v>
      </c>
      <c r="S31" s="10" t="n">
        <v>1</v>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n"/>
      <c r="G32" s="8" t="n">
        <v>0</v>
      </c>
      <c r="H32" s="8" t="n">
        <v>0</v>
      </c>
      <c r="I32" s="8" t="n">
        <v>1</v>
      </c>
      <c r="J32" s="8" t="n">
        <v>0</v>
      </c>
      <c r="K32" s="9" t="n">
        <v>0</v>
      </c>
      <c r="L32" s="9" t="n">
        <v>1</v>
      </c>
      <c r="M32" s="9" t="n">
        <v>0</v>
      </c>
      <c r="N32" s="9" t="n">
        <v>0</v>
      </c>
      <c r="O32" s="10" t="n">
        <v>0</v>
      </c>
      <c r="P32" s="10" t="n">
        <v>0</v>
      </c>
      <c r="Q32" s="10" t="n">
        <v>0</v>
      </c>
      <c r="R32" s="10" t="n">
        <v>0</v>
      </c>
      <c r="S32" s="10" t="n">
        <v>1</v>
      </c>
    </row>
    <row r="33" ht="329"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n"/>
      <c r="G33" s="8" t="n">
        <v>0</v>
      </c>
      <c r="H33" s="8" t="n">
        <v>0</v>
      </c>
      <c r="I33" s="8" t="n">
        <v>1</v>
      </c>
      <c r="J33" s="8" t="n">
        <v>0</v>
      </c>
      <c r="K33" s="9" t="n">
        <v>0</v>
      </c>
      <c r="L33" s="9" t="n">
        <v>1</v>
      </c>
      <c r="M33" s="9" t="n">
        <v>0</v>
      </c>
      <c r="N33" s="9" t="n">
        <v>0</v>
      </c>
      <c r="O33" s="10" t="n">
        <v>0</v>
      </c>
      <c r="P33" s="10" t="n">
        <v>0</v>
      </c>
      <c r="Q33" s="10" t="n">
        <v>0</v>
      </c>
      <c r="R33" s="10" t="n">
        <v>0</v>
      </c>
      <c r="S33" s="10" t="n">
        <v>0</v>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n"/>
      <c r="G34" s="8" t="n">
        <v>1</v>
      </c>
      <c r="H34" s="8" t="n">
        <v>0</v>
      </c>
      <c r="I34" s="8" t="n">
        <v>0</v>
      </c>
      <c r="J34" s="8" t="n">
        <v>0</v>
      </c>
      <c r="K34" s="9" t="n">
        <v>1</v>
      </c>
      <c r="L34" s="9" t="n">
        <v>0</v>
      </c>
      <c r="M34" s="9" t="n">
        <v>0</v>
      </c>
      <c r="N34" s="9" t="n">
        <v>0</v>
      </c>
      <c r="O34" s="10" t="n">
        <v>0</v>
      </c>
      <c r="P34" s="10" t="n">
        <v>0</v>
      </c>
      <c r="Q34" s="10" t="n">
        <v>0</v>
      </c>
      <c r="R34" s="10" t="n">
        <v>0</v>
      </c>
      <c r="S34" s="10" t="n">
        <v>1</v>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n"/>
      <c r="G35" s="8" t="n">
        <v>0</v>
      </c>
      <c r="H35" s="8" t="n">
        <v>0</v>
      </c>
      <c r="I35" s="8" t="n">
        <v>0</v>
      </c>
      <c r="J35" s="8" t="n">
        <v>0</v>
      </c>
      <c r="K35" s="9" t="n">
        <v>0</v>
      </c>
      <c r="L35" s="9" t="n">
        <v>0</v>
      </c>
      <c r="M35" s="9" t="n">
        <v>0</v>
      </c>
      <c r="N35" s="9" t="n">
        <v>0</v>
      </c>
      <c r="O35" s="10" t="n">
        <v>0</v>
      </c>
      <c r="P35" s="10" t="n">
        <v>0</v>
      </c>
      <c r="Q35" s="10" t="n">
        <v>0</v>
      </c>
      <c r="R35" s="10" t="n">
        <v>0</v>
      </c>
      <c r="S35" s="10" t="n">
        <v>0</v>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n"/>
      <c r="G36" s="8" t="n">
        <v>0</v>
      </c>
      <c r="H36" s="8" t="n">
        <v>0</v>
      </c>
      <c r="I36" s="8" t="n">
        <v>1</v>
      </c>
      <c r="J36" s="8" t="n">
        <v>0</v>
      </c>
      <c r="K36" s="9" t="n">
        <v>0</v>
      </c>
      <c r="L36" s="9" t="n">
        <v>1</v>
      </c>
      <c r="M36" s="9" t="n">
        <v>0</v>
      </c>
      <c r="N36" s="9" t="n">
        <v>0</v>
      </c>
      <c r="O36" s="10" t="n">
        <v>0</v>
      </c>
      <c r="P36" s="10" t="n">
        <v>0</v>
      </c>
      <c r="Q36" s="10" t="n">
        <v>0</v>
      </c>
      <c r="R36" s="10" t="n">
        <v>0</v>
      </c>
      <c r="S36" s="10" t="n">
        <v>1</v>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n"/>
      <c r="G37" s="8" t="n">
        <v>1</v>
      </c>
      <c r="H37" s="8" t="n">
        <v>0</v>
      </c>
      <c r="I37" s="8" t="n">
        <v>0</v>
      </c>
      <c r="J37" s="8" t="n">
        <v>0</v>
      </c>
      <c r="K37" s="9" t="n">
        <v>1</v>
      </c>
      <c r="L37" s="9" t="n">
        <v>0</v>
      </c>
      <c r="M37" s="9" t="n">
        <v>0</v>
      </c>
      <c r="N37" s="9" t="n">
        <v>0</v>
      </c>
      <c r="O37" s="10" t="n">
        <v>0</v>
      </c>
      <c r="P37" s="10" t="n">
        <v>0</v>
      </c>
      <c r="Q37" s="10" t="n">
        <v>0</v>
      </c>
      <c r="R37" s="10" t="n">
        <v>0</v>
      </c>
      <c r="S37" s="10" t="n">
        <v>0</v>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n"/>
      <c r="G38" s="8" t="n">
        <v>0</v>
      </c>
      <c r="H38" s="8" t="n">
        <v>0</v>
      </c>
      <c r="I38" s="8" t="n">
        <v>1</v>
      </c>
      <c r="J38" s="8" t="n">
        <v>0</v>
      </c>
      <c r="K38" s="9" t="n">
        <v>0</v>
      </c>
      <c r="L38" s="9" t="n">
        <v>1</v>
      </c>
      <c r="M38" s="9" t="n">
        <v>0</v>
      </c>
      <c r="N38" s="9" t="n">
        <v>0</v>
      </c>
      <c r="O38" s="10" t="n">
        <v>0</v>
      </c>
      <c r="P38" s="10" t="n">
        <v>0</v>
      </c>
      <c r="Q38" s="10" t="n">
        <v>0</v>
      </c>
      <c r="R38" s="10" t="n">
        <v>0</v>
      </c>
      <c r="S38" s="10" t="n">
        <v>0</v>
      </c>
    </row>
    <row r="39" ht="263" customHeight="1">
      <c r="A39" s="6">
        <f>IFERROR(__xludf.DUMMYFUNCTION("""COMPUTED_VALUE"""),"Machine Learning and Artificial Intelligence")</f>
        <v/>
      </c>
      <c r="B39" s="6">
        <f>IFERROR(__xludf.DUMMYFUNCTION("""COMPUTED_VALUE"""),"Space")</f>
        <v/>
      </c>
      <c r="C39" s="6">
        <f>IFERROR(__xludf.DUMMYFUNCTION("""COMPUTED_VALUE"""),"Orientation")</f>
        <v/>
      </c>
      <c r="D39" s="7">
        <f>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
      </c>
      <c r="E39" s="7">
        <f>IFERROR(__xludf.DUMMYFUNCTION("""COMPUTED_VALUE"""),"No artifact embedded")</f>
        <v/>
      </c>
      <c r="F39" s="7" t="n"/>
      <c r="G39" s="8" t="n">
        <v>0</v>
      </c>
      <c r="H39" s="8" t="n">
        <v>0</v>
      </c>
      <c r="I39" s="8" t="n">
        <v>0</v>
      </c>
      <c r="J39" s="8" t="n">
        <v>1</v>
      </c>
      <c r="K39" s="9" t="n">
        <v>1</v>
      </c>
      <c r="L39" s="9" t="n">
        <v>0</v>
      </c>
      <c r="M39" s="9" t="n">
        <v>0</v>
      </c>
      <c r="N39" s="9" t="n">
        <v>1</v>
      </c>
      <c r="O39" s="10" t="n">
        <v>1</v>
      </c>
      <c r="P39" s="10" t="n">
        <v>0</v>
      </c>
      <c r="Q39" s="10" t="n">
        <v>0</v>
      </c>
      <c r="R39" s="10" t="n">
        <v>0</v>
      </c>
      <c r="S39" s="10" t="n">
        <v>1</v>
      </c>
    </row>
    <row r="40" ht="373" customHeight="1">
      <c r="A40" s="6">
        <f>IFERROR(__xludf.DUMMYFUNCTION("""COMPUTED_VALUE"""),"Machine Learning and Artificial Intelligence")</f>
        <v/>
      </c>
      <c r="B40" s="6">
        <f>IFERROR(__xludf.DUMMYFUNCTION("""COMPUTED_VALUE"""),"Resource")</f>
        <v/>
      </c>
      <c r="C40" s="6">
        <f>IFERROR(__xludf.DUMMYFUNCTION("""COMPUTED_VALUE"""),"BUDDY - the Emotional Robot (EN-FR)")</f>
        <v/>
      </c>
      <c r="D40" s="7">
        <f>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
      </c>
      <c r="E40" s="7">
        <f>IFERROR(__xludf.DUMMYFUNCTION("""COMPUTED_VALUE"""),"youtube.com: A widely known video-sharing platform where users can watch videos on a vast array of topics, including educational content.")</f>
        <v/>
      </c>
      <c r="F40" s="7" t="n"/>
      <c r="G40" s="8" t="n">
        <v>1</v>
      </c>
      <c r="H40" s="8" t="n">
        <v>0</v>
      </c>
      <c r="I40" s="8" t="n">
        <v>0</v>
      </c>
      <c r="J40" s="8" t="n">
        <v>0</v>
      </c>
      <c r="K40" s="9" t="n">
        <v>1</v>
      </c>
      <c r="L40" s="9" t="n">
        <v>0</v>
      </c>
      <c r="M40" s="9" t="n">
        <v>0</v>
      </c>
      <c r="N40" s="9" t="n">
        <v>0</v>
      </c>
      <c r="O40" s="10" t="n">
        <v>1</v>
      </c>
      <c r="P40" s="10" t="n">
        <v>0</v>
      </c>
      <c r="Q40" s="10" t="n">
        <v>0</v>
      </c>
      <c r="R40" s="10" t="n">
        <v>0</v>
      </c>
      <c r="S40" s="10" t="n">
        <v>0</v>
      </c>
    </row>
    <row r="41" ht="409.5" customHeight="1">
      <c r="A41" s="6">
        <f>IFERROR(__xludf.DUMMYFUNCTION("""COMPUTED_VALUE"""),"Machine Learning and Artificial Intelligence")</f>
        <v/>
      </c>
      <c r="B41" s="6">
        <f>IFERROR(__xludf.DUMMYFUNCTION("""COMPUTED_VALUE"""),"Application")</f>
        <v/>
      </c>
      <c r="C41" s="6">
        <f>IFERROR(__xludf.DUMMYFUNCTION("""COMPUTED_VALUE"""),"Speakup: how can Buddy interact with us?")</f>
        <v/>
      </c>
      <c r="D41" s="7">
        <f>IFERROR(__xludf.DUMMYFUNCTION("""COMPUTED_VALUE"""),"&lt;p&gt;Discuss with your team and try to respond to the next questions.&lt;/p&gt;&lt;p&gt;1) How do you think that Buddy can interact with people?&lt;br&gt;2) How does it ""hear"", ""see"", or ""talk""?&lt;br&gt;3) How does it move?&lt;/p&gt;")</f>
        <v/>
      </c>
      <c r="E41"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1" s="7" t="n"/>
      <c r="G41" s="8" t="n">
        <v>0</v>
      </c>
      <c r="H41" s="8" t="n">
        <v>0</v>
      </c>
      <c r="I41" s="8" t="n">
        <v>0</v>
      </c>
      <c r="J41" s="8" t="n">
        <v>1</v>
      </c>
      <c r="K41" s="9" t="n">
        <v>0</v>
      </c>
      <c r="L41" s="9" t="n">
        <v>0</v>
      </c>
      <c r="M41" s="9" t="n">
        <v>0</v>
      </c>
      <c r="N41" s="9" t="n">
        <v>1</v>
      </c>
      <c r="O41" s="10" t="n">
        <v>1</v>
      </c>
      <c r="P41" s="10" t="n">
        <v>0</v>
      </c>
      <c r="Q41" s="10" t="n">
        <v>0</v>
      </c>
      <c r="R41" s="10" t="n">
        <v>0</v>
      </c>
      <c r="S41" s="10" t="n">
        <v>1</v>
      </c>
    </row>
    <row r="42" ht="145" customHeight="1">
      <c r="A42" s="6">
        <f>IFERROR(__xludf.DUMMYFUNCTION("""COMPUTED_VALUE"""),"Machine Learning and Artificial Intelligence")</f>
        <v/>
      </c>
      <c r="B42" s="6">
        <f>IFERROR(__xludf.DUMMYFUNCTION("""COMPUTED_VALUE"""),"Space")</f>
        <v/>
      </c>
      <c r="C42" s="6">
        <f>IFERROR(__xludf.DUMMYFUNCTION("""COMPUTED_VALUE"""),"Conceptualisation")</f>
        <v/>
      </c>
      <c r="D42" s="7">
        <f>IFERROR(__xludf.DUMMYFUNCTION("""COMPUTED_VALUE"""),"&lt;p&gt;Maybe you have come to some answers about how Buddy can respond to different requests. Think of Buddy as a computer. Watch the video bellow and try to resolve the quizzes!&lt;/p&gt;")</f>
        <v/>
      </c>
      <c r="E42" s="7">
        <f>IFERROR(__xludf.DUMMYFUNCTION("""COMPUTED_VALUE"""),"No artifact embedded")</f>
        <v/>
      </c>
      <c r="F42" s="7" t="n"/>
      <c r="G42" s="8" t="n">
        <v>0</v>
      </c>
      <c r="H42" s="8" t="n">
        <v>0</v>
      </c>
      <c r="I42" s="8" t="n">
        <v>1</v>
      </c>
      <c r="J42" s="8" t="n">
        <v>0</v>
      </c>
      <c r="K42" s="9" t="n">
        <v>0</v>
      </c>
      <c r="L42" s="9" t="n">
        <v>1</v>
      </c>
      <c r="M42" s="9" t="n">
        <v>0</v>
      </c>
      <c r="N42" s="9" t="n">
        <v>0</v>
      </c>
      <c r="O42" s="10" t="n">
        <v>1</v>
      </c>
      <c r="P42" s="10" t="n">
        <v>0</v>
      </c>
      <c r="Q42" s="10" t="n">
        <v>0</v>
      </c>
      <c r="R42" s="10" t="n">
        <v>0</v>
      </c>
      <c r="S42" s="10" t="n">
        <v>0</v>
      </c>
    </row>
    <row r="43" ht="157" customHeight="1">
      <c r="A43" s="6">
        <f>IFERROR(__xludf.DUMMYFUNCTION("""COMPUTED_VALUE"""),"Machine Learning and Artificial Intelligence")</f>
        <v/>
      </c>
      <c r="B43" s="6">
        <f>IFERROR(__xludf.DUMMYFUNCTION("""COMPUTED_VALUE"""),"Resource")</f>
        <v/>
      </c>
      <c r="C43" s="6">
        <f>IFERROR(__xludf.DUMMYFUNCTION("""COMPUTED_VALUE"""),"How Computers Work: What Makes a Computer, a Computer?")</f>
        <v/>
      </c>
      <c r="D43" s="7">
        <f>IFERROR(__xludf.DUMMYFUNCTION("""COMPUTED_VALUE"""),"&lt;p&gt;Computers are all around us, but what really makes a computer, a computer? Explore the history of computers and the features they all share.&lt;/p&gt;&lt;p&gt;&lt;br&gt;&lt;/p&gt;")</f>
        <v/>
      </c>
      <c r="E43" s="7">
        <f>IFERROR(__xludf.DUMMYFUNCTION("""COMPUTED_VALUE"""),"youtu.be: A shortened URL service for YouTube, leading to various videos on the platform.")</f>
        <v/>
      </c>
      <c r="F43" s="7" t="n"/>
      <c r="G43" s="8" t="n">
        <v>1</v>
      </c>
      <c r="H43" s="8" t="n">
        <v>0</v>
      </c>
      <c r="I43" s="8" t="n">
        <v>0</v>
      </c>
      <c r="J43" s="8" t="n">
        <v>0</v>
      </c>
      <c r="K43" s="9" t="n">
        <v>1</v>
      </c>
      <c r="L43" s="9" t="n">
        <v>0</v>
      </c>
      <c r="M43" s="9" t="n">
        <v>0</v>
      </c>
      <c r="N43" s="9" t="n">
        <v>0</v>
      </c>
      <c r="O43" s="10" t="n">
        <v>1</v>
      </c>
      <c r="P43" s="10" t="n">
        <v>0</v>
      </c>
      <c r="Q43" s="10" t="n">
        <v>0</v>
      </c>
      <c r="R43" s="10" t="n">
        <v>0</v>
      </c>
      <c r="S43" s="10" t="n">
        <v>0</v>
      </c>
    </row>
    <row r="44" ht="157" customHeight="1">
      <c r="A44" s="6">
        <f>IFERROR(__xludf.DUMMYFUNCTION("""COMPUTED_VALUE"""),"Machine Learning and Artificial Intelligence")</f>
        <v/>
      </c>
      <c r="B44" s="6">
        <f>IFERROR(__xludf.DUMMYFUNCTION("""COMPUTED_VALUE"""),"Resource")</f>
        <v/>
      </c>
      <c r="C44" s="6">
        <f>IFERROR(__xludf.DUMMYFUNCTION("""COMPUTED_VALUE"""),"Algorithm:Teach a Computer to draw the letter L")</f>
        <v/>
      </c>
      <c r="D44" s="7">
        <f>IFERROR(__xludf.DUMMYFUNCTION("""COMPUTED_VALUE"""),"Me the A.I eTwinning Project 2019-2020 Create an algorithm! Put the sentences in the right place and teach a computer how to draw the letter L! Teacher: Lascaris Georgia, Greece")</f>
        <v/>
      </c>
      <c r="E44" s="7">
        <f>IFERROR(__xludf.DUMMYFUNCTION("""COMPUTED_VALUE"""),"learningapps.org: A platform for interactive learning modules and educational games.")</f>
        <v/>
      </c>
      <c r="F44" s="7" t="n"/>
      <c r="G44" s="8" t="n">
        <v>0</v>
      </c>
      <c r="H44" s="8" t="n">
        <v>0</v>
      </c>
      <c r="I44" s="8" t="n">
        <v>1</v>
      </c>
      <c r="J44" s="8" t="n">
        <v>0</v>
      </c>
      <c r="K44" s="9" t="n">
        <v>0</v>
      </c>
      <c r="L44" s="9" t="n">
        <v>1</v>
      </c>
      <c r="M44" s="9" t="n">
        <v>0</v>
      </c>
      <c r="N44" s="9" t="n">
        <v>0</v>
      </c>
      <c r="O44" s="10" t="n">
        <v>0</v>
      </c>
      <c r="P44" s="10" t="n">
        <v>0</v>
      </c>
      <c r="Q44" s="10" t="n">
        <v>0</v>
      </c>
      <c r="R44" s="10" t="n">
        <v>0</v>
      </c>
      <c r="S44" s="10" t="n">
        <v>0</v>
      </c>
    </row>
    <row r="45" ht="409.5" customHeight="1">
      <c r="A45" s="6">
        <f>IFERROR(__xludf.DUMMYFUNCTION("""COMPUTED_VALUE"""),"Machine Learning and Artificial Intelligence")</f>
        <v/>
      </c>
      <c r="B45" s="6">
        <f>IFERROR(__xludf.DUMMYFUNCTION("""COMPUTED_VALUE"""),"Space")</f>
        <v/>
      </c>
      <c r="C45" s="6">
        <f>IFERROR(__xludf.DUMMYFUNCTION("""COMPUTED_VALUE"""),"Investigation")</f>
        <v/>
      </c>
      <c r="D45" s="7">
        <f>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
      </c>
      <c r="E45" s="7">
        <f>IFERROR(__xludf.DUMMYFUNCTION("""COMPUTED_VALUE"""),"No artifact embedded")</f>
        <v/>
      </c>
      <c r="F45" s="7" t="n"/>
      <c r="G45" s="8" t="n">
        <v>0</v>
      </c>
      <c r="H45" s="8" t="n">
        <v>0</v>
      </c>
      <c r="I45" s="8" t="n">
        <v>1</v>
      </c>
      <c r="J45" s="8" t="n">
        <v>0</v>
      </c>
      <c r="K45" s="9" t="n">
        <v>0</v>
      </c>
      <c r="L45" s="9" t="n">
        <v>1</v>
      </c>
      <c r="M45" s="9" t="n">
        <v>0</v>
      </c>
      <c r="N45" s="9" t="n">
        <v>0</v>
      </c>
      <c r="O45" s="10" t="n">
        <v>1</v>
      </c>
      <c r="P45" s="10" t="n">
        <v>0</v>
      </c>
      <c r="Q45" s="10" t="n">
        <v>0</v>
      </c>
      <c r="R45" s="10" t="n">
        <v>0</v>
      </c>
      <c r="S45" s="10" t="n">
        <v>0</v>
      </c>
    </row>
    <row r="46" ht="409.5" customHeight="1">
      <c r="A46" s="6">
        <f>IFERROR(__xludf.DUMMYFUNCTION("""COMPUTED_VALUE"""),"Machine Learning and Artificial Intelligence")</f>
        <v/>
      </c>
      <c r="B46" s="6">
        <f>IFERROR(__xludf.DUMMYFUNCTION("""COMPUTED_VALUE"""),"Application")</f>
        <v/>
      </c>
      <c r="C46" s="6">
        <f>IFERROR(__xludf.DUMMYFUNCTION("""COMPUTED_VALUE"""),"Hypothesis : If ...Then")</f>
        <v/>
      </c>
      <c r="D46" s="7">
        <f>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
      </c>
      <c r="E4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6" s="7" t="n"/>
      <c r="G46" s="8" t="n">
        <v>0</v>
      </c>
      <c r="H46" s="8" t="n">
        <v>0</v>
      </c>
      <c r="I46" s="8" t="n">
        <v>1</v>
      </c>
      <c r="J46" s="8" t="n">
        <v>0</v>
      </c>
      <c r="K46" s="9" t="n">
        <v>0</v>
      </c>
      <c r="L46" s="9" t="n">
        <v>1</v>
      </c>
      <c r="M46" s="9" t="n">
        <v>0</v>
      </c>
      <c r="N46" s="9" t="n">
        <v>0</v>
      </c>
      <c r="O46" s="10" t="n">
        <v>0</v>
      </c>
      <c r="P46" s="10" t="n">
        <v>1</v>
      </c>
      <c r="Q46" s="10" t="n">
        <v>0</v>
      </c>
      <c r="R46" s="10" t="n">
        <v>0</v>
      </c>
      <c r="S46" s="10" t="n">
        <v>0</v>
      </c>
    </row>
    <row r="47" ht="145" customHeight="1">
      <c r="A47" s="6">
        <f>IFERROR(__xludf.DUMMYFUNCTION("""COMPUTED_VALUE"""),"Machine Learning and Artificial Intelligence")</f>
        <v/>
      </c>
      <c r="B47" s="6">
        <f>IFERROR(__xludf.DUMMYFUNCTION("""COMPUTED_VALUE"""),"Resource")</f>
        <v/>
      </c>
      <c r="C47" s="6">
        <f>IFERROR(__xludf.DUMMYFUNCTION("""COMPUTED_VALUE"""),"Video tutorial: ""Make me Happy"" - Scratch coding")</f>
        <v/>
      </c>
      <c r="D47" s="7">
        <f>IFERROR(__xludf.DUMMYFUNCTION("""COMPUTED_VALUE"""),"&lt;p&gt;Watch carefully to video below and try to understand how the scratch commands as used to make a face respond (happy, sad, neutral) to the words we are texting. &lt;/p&gt;")</f>
        <v/>
      </c>
      <c r="E47" s="7">
        <f>IFERROR(__xludf.DUMMYFUNCTION("""COMPUTED_VALUE"""),"youtu.be: A shortened URL service for YouTube, leading to various videos on the platform.")</f>
        <v/>
      </c>
      <c r="F47" s="7" t="n"/>
      <c r="G47" s="8" t="n">
        <v>1</v>
      </c>
      <c r="H47" s="8" t="n">
        <v>0</v>
      </c>
      <c r="I47" s="8" t="n">
        <v>0</v>
      </c>
      <c r="J47" s="8" t="n">
        <v>0</v>
      </c>
      <c r="K47" s="9" t="n">
        <v>1</v>
      </c>
      <c r="L47" s="9" t="n">
        <v>0</v>
      </c>
      <c r="M47" s="9" t="n">
        <v>0</v>
      </c>
      <c r="N47" s="9" t="n">
        <v>0</v>
      </c>
      <c r="O47" s="10" t="n">
        <v>1</v>
      </c>
      <c r="P47" s="10" t="n">
        <v>0</v>
      </c>
      <c r="Q47" s="10" t="n">
        <v>0</v>
      </c>
      <c r="R47" s="10" t="n">
        <v>0</v>
      </c>
      <c r="S47" s="10" t="n">
        <v>0</v>
      </c>
    </row>
    <row r="48" ht="296" customHeight="1">
      <c r="A48" s="6">
        <f>IFERROR(__xludf.DUMMYFUNCTION("""COMPUTED_VALUE"""),"Machine Learning and Artificial Intelligence")</f>
        <v/>
      </c>
      <c r="B48" s="6">
        <f>IFERROR(__xludf.DUMMYFUNCTION("""COMPUTED_VALUE"""),"Application")</f>
        <v/>
      </c>
      <c r="C48" s="6">
        <f>IFERROR(__xludf.DUMMYFUNCTION("""COMPUTED_VALUE"""),"Quiz Tool")</f>
        <v/>
      </c>
      <c r="D48" s="7">
        <f>IFERROR(__xludf.DUMMYFUNCTION("""COMPUTED_VALUE"""),"&lt;p&gt;Select True or False&lt;/p&gt;")</f>
        <v/>
      </c>
      <c r="E4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8" s="7" t="n"/>
      <c r="G48" s="8" t="n">
        <v>0</v>
      </c>
      <c r="H48" s="8" t="n">
        <v>0</v>
      </c>
      <c r="I48" s="8" t="n">
        <v>0</v>
      </c>
      <c r="J48" s="8" t="n">
        <v>1</v>
      </c>
      <c r="K48" s="9" t="n">
        <v>0</v>
      </c>
      <c r="L48" s="9" t="n">
        <v>1</v>
      </c>
      <c r="M48" s="9" t="n">
        <v>0</v>
      </c>
      <c r="N48" s="9" t="n">
        <v>0</v>
      </c>
      <c r="O48" s="10" t="n">
        <v>0</v>
      </c>
      <c r="P48" s="10" t="n">
        <v>0</v>
      </c>
      <c r="Q48" s="10" t="n">
        <v>0</v>
      </c>
      <c r="R48" s="10" t="n">
        <v>0</v>
      </c>
      <c r="S48" s="10" t="n">
        <v>1</v>
      </c>
    </row>
    <row r="49" ht="409.5" customHeight="1">
      <c r="A49" s="6">
        <f>IFERROR(__xludf.DUMMYFUNCTION("""COMPUTED_VALUE"""),"Machine Learning and Artificial Intelligence")</f>
        <v/>
      </c>
      <c r="B49" s="6">
        <f>IFERROR(__xludf.DUMMYFUNCTION("""COMPUTED_VALUE"""),"Application")</f>
        <v/>
      </c>
      <c r="C49" s="6">
        <f>IFERROR(__xludf.DUMMYFUNCTION("""COMPUTED_VALUE"""),"Create your own Scratch program: Emotional Robot Face")</f>
        <v/>
      </c>
      <c r="D49" s="7">
        <f>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
      </c>
      <c r="E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9" s="7" t="n"/>
      <c r="G49" s="8" t="n">
        <v>0</v>
      </c>
      <c r="H49" s="8" t="n">
        <v>0</v>
      </c>
      <c r="I49" s="8" t="n">
        <v>1</v>
      </c>
      <c r="J49" s="8" t="n">
        <v>0</v>
      </c>
      <c r="K49" s="9" t="n">
        <v>0</v>
      </c>
      <c r="L49" s="9" t="n">
        <v>1</v>
      </c>
      <c r="M49" s="9" t="n">
        <v>0</v>
      </c>
      <c r="N49" s="9" t="n">
        <v>0</v>
      </c>
      <c r="O49" s="10" t="n">
        <v>0</v>
      </c>
      <c r="P49" s="10" t="n">
        <v>0</v>
      </c>
      <c r="Q49" s="10" t="n">
        <v>0</v>
      </c>
      <c r="R49" s="10" t="n">
        <v>0</v>
      </c>
      <c r="S49" s="10" t="n">
        <v>1</v>
      </c>
    </row>
    <row r="50" ht="409.5" customHeight="1">
      <c r="A50" s="6">
        <f>IFERROR(__xludf.DUMMYFUNCTION("""COMPUTED_VALUE"""),"Machine Learning and Artificial Intelligence")</f>
        <v/>
      </c>
      <c r="B50" s="6">
        <f>IFERROR(__xludf.DUMMYFUNCTION("""COMPUTED_VALUE"""),"Application")</f>
        <v/>
      </c>
      <c r="C50" s="6">
        <f>IFERROR(__xludf.DUMMYFUNCTION("""COMPUTED_VALUE"""),"SpeakUp: How can we improve our Scratch Program?")</f>
        <v/>
      </c>
      <c r="D50" s="7">
        <f>IFERROR(__xludf.DUMMYFUNCTION("""COMPUTED_VALUE"""),"&lt;p&gt;Share your thoughts/ideas/suggestions of how you could improve this program to trace for example Speech Hate on Social Media.&lt;/p&gt;")</f>
        <v/>
      </c>
      <c r="E50"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0" s="7" t="n"/>
      <c r="G50" s="8" t="n">
        <v>0</v>
      </c>
      <c r="H50" s="8" t="n">
        <v>0</v>
      </c>
      <c r="I50" s="8" t="n">
        <v>0</v>
      </c>
      <c r="J50" s="8" t="n">
        <v>1</v>
      </c>
      <c r="K50" s="9" t="n">
        <v>0</v>
      </c>
      <c r="L50" s="9" t="n">
        <v>0</v>
      </c>
      <c r="M50" s="9" t="n">
        <v>1</v>
      </c>
      <c r="N50" s="9" t="n">
        <v>0</v>
      </c>
      <c r="O50" s="10" t="n">
        <v>0</v>
      </c>
      <c r="P50" s="10" t="n">
        <v>0</v>
      </c>
      <c r="Q50" s="10" t="n">
        <v>0</v>
      </c>
      <c r="R50" s="10" t="n">
        <v>0</v>
      </c>
      <c r="S50" s="10" t="n">
        <v>1</v>
      </c>
    </row>
    <row r="51" ht="409.5" customHeight="1">
      <c r="A51" s="6">
        <f>IFERROR(__xludf.DUMMYFUNCTION("""COMPUTED_VALUE"""),"Machine Learning and Artificial Intelligence")</f>
        <v/>
      </c>
      <c r="B51" s="6">
        <f>IFERROR(__xludf.DUMMYFUNCTION("""COMPUTED_VALUE"""),"Space")</f>
        <v/>
      </c>
      <c r="C51" s="6">
        <f>IFERROR(__xludf.DUMMYFUNCTION("""COMPUTED_VALUE"""),"Conclusion")</f>
        <v/>
      </c>
      <c r="D51" s="7">
        <f>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
      </c>
      <c r="E51" s="7">
        <f>IFERROR(__xludf.DUMMYFUNCTION("""COMPUTED_VALUE"""),"No artifact embedded")</f>
        <v/>
      </c>
      <c r="F51" s="7" t="n"/>
      <c r="G51" s="8" t="n">
        <v>0</v>
      </c>
      <c r="H51" s="8" t="n">
        <v>1</v>
      </c>
      <c r="I51" s="8" t="n">
        <v>0</v>
      </c>
      <c r="J51" s="8" t="n">
        <v>0</v>
      </c>
      <c r="K51" s="9" t="n">
        <v>1</v>
      </c>
      <c r="L51" s="9" t="n">
        <v>0</v>
      </c>
      <c r="M51" s="9" t="n">
        <v>0</v>
      </c>
      <c r="N51" s="9" t="n">
        <v>0</v>
      </c>
      <c r="O51" s="10" t="n">
        <v>1</v>
      </c>
      <c r="P51" s="10" t="n">
        <v>0</v>
      </c>
      <c r="Q51" s="10" t="n">
        <v>1</v>
      </c>
      <c r="R51" s="10" t="n">
        <v>0</v>
      </c>
      <c r="S51" s="10" t="n">
        <v>0</v>
      </c>
    </row>
    <row r="52" ht="145" customHeight="1">
      <c r="A52" s="6">
        <f>IFERROR(__xludf.DUMMYFUNCTION("""COMPUTED_VALUE"""),"Machine Learning and Artificial Intelligence")</f>
        <v/>
      </c>
      <c r="B52" s="6">
        <f>IFERROR(__xludf.DUMMYFUNCTION("""COMPUTED_VALUE"""),"Resource")</f>
        <v/>
      </c>
      <c r="C52" s="6">
        <f>IFERROR(__xludf.DUMMYFUNCTION("""COMPUTED_VALUE"""),"Quick, Draw! by Google Creative Lab | Experiments with Google")</f>
        <v/>
      </c>
      <c r="D52" s="7">
        <f>IFERROR(__xludf.DUMMYFUNCTION("""COMPUTED_VALUE"""),"&lt;p&gt;A game where a neural net tries to guess what you’re drawing. Watch the tutorial video first and then click on the LAUNCH EXPERIMENT button below! &lt;/p&gt;")</f>
        <v/>
      </c>
      <c r="E52" s="7">
        <f>IFERROR(__xludf.DUMMYFUNCTION("""COMPUTED_VALUE"""),"experiments.withgoogle.com: Showcases Google's experimental projects, such as ""Quick, Draw!"", an AI-based drawing game.")</f>
        <v/>
      </c>
      <c r="F52" s="7" t="n"/>
      <c r="G52" s="8" t="n">
        <v>0</v>
      </c>
      <c r="H52" s="8" t="n">
        <v>1</v>
      </c>
      <c r="I52" s="8" t="n">
        <v>0</v>
      </c>
      <c r="J52" s="8" t="n">
        <v>0</v>
      </c>
      <c r="K52" s="9" t="n">
        <v>1</v>
      </c>
      <c r="L52" s="9" t="n">
        <v>0</v>
      </c>
      <c r="M52" s="9" t="n">
        <v>0</v>
      </c>
      <c r="N52" s="9" t="n">
        <v>0</v>
      </c>
      <c r="O52" s="10" t="n">
        <v>1</v>
      </c>
      <c r="P52" s="10" t="n">
        <v>0</v>
      </c>
      <c r="Q52" s="10" t="n">
        <v>1</v>
      </c>
      <c r="R52" s="10" t="n">
        <v>0</v>
      </c>
      <c r="S52" s="10" t="n">
        <v>0</v>
      </c>
    </row>
    <row r="53" ht="133" customHeight="1">
      <c r="A53" s="6">
        <f>IFERROR(__xludf.DUMMYFUNCTION("""COMPUTED_VALUE"""),"Machine Learning and Artificial Intelligence")</f>
        <v/>
      </c>
      <c r="B53" s="6">
        <f>IFERROR(__xludf.DUMMYFUNCTION("""COMPUTED_VALUE"""),"Space")</f>
        <v/>
      </c>
      <c r="C53" s="6">
        <f>IFERROR(__xludf.DUMMYFUNCTION("""COMPUTED_VALUE"""),"Discussion")</f>
        <v/>
      </c>
      <c r="D53" s="7">
        <f>IFERROR(__xludf.DUMMYFUNCTION("""COMPUTED_VALUE"""),"&lt;p&gt;We have seen that the quantity of data has a direct impact to how accurate will be the reactions of  our model (robot). But, what about the data quality?&lt;/p&gt;")</f>
        <v/>
      </c>
      <c r="E53" s="7">
        <f>IFERROR(__xludf.DUMMYFUNCTION("""COMPUTED_VALUE"""),"No artifact embedded")</f>
        <v/>
      </c>
      <c r="F53" s="7" t="n"/>
      <c r="G53" s="8" t="n">
        <v>1</v>
      </c>
      <c r="H53" s="8" t="n">
        <v>0</v>
      </c>
      <c r="I53" s="8" t="n">
        <v>0</v>
      </c>
      <c r="J53" s="8" t="n">
        <v>0</v>
      </c>
      <c r="K53" s="9" t="n">
        <v>1</v>
      </c>
      <c r="L53" s="9" t="n">
        <v>0</v>
      </c>
      <c r="M53" s="9" t="n">
        <v>0</v>
      </c>
      <c r="N53" s="9" t="n">
        <v>0</v>
      </c>
      <c r="O53" s="10" t="n">
        <v>0</v>
      </c>
      <c r="P53" s="10" t="n">
        <v>0</v>
      </c>
      <c r="Q53" s="10" t="n">
        <v>0</v>
      </c>
      <c r="R53" s="10" t="n">
        <v>0</v>
      </c>
      <c r="S53" s="10" t="n">
        <v>1</v>
      </c>
    </row>
    <row r="54" ht="409.5" customHeight="1">
      <c r="A54" s="6">
        <f>IFERROR(__xludf.DUMMYFUNCTION("""COMPUTED_VALUE"""),"Machine Learning and Artificial Intelligence")</f>
        <v/>
      </c>
      <c r="B54" s="6">
        <f>IFERROR(__xludf.DUMMYFUNCTION("""COMPUTED_VALUE"""),"Application")</f>
        <v/>
      </c>
      <c r="C54" s="6">
        <f>IFERROR(__xludf.DUMMYFUNCTION("""COMPUTED_VALUE"""),"Speakup")</f>
        <v/>
      </c>
      <c r="D54" s="7">
        <f>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
      </c>
      <c r="E5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4" s="7" t="n"/>
      <c r="G54" s="8" t="n">
        <v>0</v>
      </c>
      <c r="H54" s="8" t="n">
        <v>0</v>
      </c>
      <c r="I54" s="8" t="n">
        <v>0</v>
      </c>
      <c r="J54" s="8" t="n">
        <v>1</v>
      </c>
      <c r="K54" s="9" t="n">
        <v>0</v>
      </c>
      <c r="L54" s="9" t="n">
        <v>0</v>
      </c>
      <c r="M54" s="9" t="n">
        <v>1</v>
      </c>
      <c r="N54" s="9" t="n">
        <v>0</v>
      </c>
      <c r="O54" s="10" t="n">
        <v>0</v>
      </c>
      <c r="P54" s="10" t="n">
        <v>0</v>
      </c>
      <c r="Q54" s="10" t="n">
        <v>0</v>
      </c>
      <c r="R54" s="10" t="n">
        <v>0</v>
      </c>
      <c r="S54" s="10" t="n">
        <v>1</v>
      </c>
    </row>
    <row r="55" ht="61" customHeight="1">
      <c r="A55" s="6">
        <f>IFERROR(__xludf.DUMMYFUNCTION("""COMPUTED_VALUE"""),"BHIMS")</f>
        <v/>
      </c>
      <c r="B55" s="6">
        <f>IFERROR(__xludf.DUMMYFUNCTION("""COMPUTED_VALUE"""),"Space")</f>
        <v/>
      </c>
      <c r="C55" s="6">
        <f>IFERROR(__xludf.DUMMYFUNCTION("""COMPUTED_VALUE"""),"Orientation")</f>
        <v/>
      </c>
      <c r="D55" s="7">
        <f>IFERROR(__xludf.DUMMYFUNCTION("""COMPUTED_VALUE"""),"&lt;p&gt;What do we know about Black holes?&lt;/p&gt;&lt;p&gt;&lt;br&gt;&lt;/p&gt;")</f>
        <v/>
      </c>
      <c r="E55" s="7">
        <f>IFERROR(__xludf.DUMMYFUNCTION("""COMPUTED_VALUE"""),"No artifact embedded")</f>
        <v/>
      </c>
      <c r="F55" s="7" t="n"/>
      <c r="G55" s="8" t="n">
        <v>1</v>
      </c>
      <c r="H55" s="8" t="n">
        <v>0</v>
      </c>
      <c r="I55" s="8" t="n">
        <v>0</v>
      </c>
      <c r="J55" s="8" t="n">
        <v>0</v>
      </c>
      <c r="K55" s="9" t="n">
        <v>1</v>
      </c>
      <c r="L55" s="9" t="n">
        <v>0</v>
      </c>
      <c r="M55" s="9" t="n">
        <v>0</v>
      </c>
      <c r="N55" s="9" t="n">
        <v>0</v>
      </c>
      <c r="O55" s="10" t="n">
        <v>1</v>
      </c>
      <c r="P55" s="10" t="n">
        <v>0</v>
      </c>
      <c r="Q55" s="10" t="n">
        <v>0</v>
      </c>
      <c r="R55" s="10" t="n">
        <v>0</v>
      </c>
      <c r="S55" s="10" t="n">
        <v>0</v>
      </c>
    </row>
    <row r="56" ht="97" customHeight="1">
      <c r="A56" s="6">
        <f>IFERROR(__xludf.DUMMYFUNCTION("""COMPUTED_VALUE"""),"BHIMS")</f>
        <v/>
      </c>
      <c r="B56" s="6">
        <f>IFERROR(__xludf.DUMMYFUNCTION("""COMPUTED_VALUE"""),"Resource")</f>
        <v/>
      </c>
      <c r="C56" s="6">
        <f>IFERROR(__xludf.DUMMYFUNCTION("""COMPUTED_VALUE"""),"cygX1.gif")</f>
        <v/>
      </c>
      <c r="D56" s="7">
        <f>IFERROR(__xludf.DUMMYFUNCTION("""COMPUTED_VALUE"""),"No task description")</f>
        <v/>
      </c>
      <c r="E56" s="7">
        <f>IFERROR(__xludf.DUMMYFUNCTION("""COMPUTED_VALUE"""),"image/gif – An animated or static graphic using the GIF format, often seen in memes and web animations.")</f>
        <v/>
      </c>
      <c r="F56" s="7" t="n"/>
      <c r="G56" s="8" t="n">
        <v>0</v>
      </c>
      <c r="H56" s="8" t="n">
        <v>0</v>
      </c>
      <c r="I56" s="8" t="n">
        <v>0</v>
      </c>
      <c r="J56" s="8" t="n">
        <v>0</v>
      </c>
      <c r="K56" s="9" t="n">
        <v>0</v>
      </c>
      <c r="L56" s="9" t="n">
        <v>0</v>
      </c>
      <c r="M56" s="9" t="n">
        <v>0</v>
      </c>
      <c r="N56" s="9" t="n">
        <v>0</v>
      </c>
      <c r="O56" s="10" t="n">
        <v>0</v>
      </c>
      <c r="P56" s="10" t="n">
        <v>0</v>
      </c>
      <c r="Q56" s="10" t="n">
        <v>0</v>
      </c>
      <c r="R56" s="10" t="n">
        <v>0</v>
      </c>
      <c r="S56" s="10" t="n">
        <v>0</v>
      </c>
    </row>
    <row r="57" ht="409.5" customHeight="1">
      <c r="A57" s="6">
        <f>IFERROR(__xludf.DUMMYFUNCTION("""COMPUTED_VALUE"""),"BHIMS")</f>
        <v/>
      </c>
      <c r="B57" s="6">
        <f>IFERROR(__xludf.DUMMYFUNCTION("""COMPUTED_VALUE"""),"Resource")</f>
        <v/>
      </c>
      <c r="C57" s="6">
        <f>IFERROR(__xludf.DUMMYFUNCTION("""COMPUTED_VALUE"""),"text 5.graasp")</f>
        <v/>
      </c>
      <c r="D57" s="7">
        <f>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
      </c>
      <c r="E57" s="7">
        <f>IFERROR(__xludf.DUMMYFUNCTION("""COMPUTED_VALUE"""),"No artifact embedded")</f>
        <v/>
      </c>
      <c r="F57" s="7" t="n"/>
      <c r="G57" s="8" t="n">
        <v>0</v>
      </c>
      <c r="H57" s="8" t="n">
        <v>0</v>
      </c>
      <c r="I57" s="8" t="n">
        <v>0</v>
      </c>
      <c r="J57" s="8" t="n">
        <v>1</v>
      </c>
      <c r="K57" s="9" t="n">
        <v>0</v>
      </c>
      <c r="L57" s="9" t="n">
        <v>1</v>
      </c>
      <c r="M57" s="9" t="n">
        <v>1</v>
      </c>
      <c r="N57" s="9" t="n">
        <v>0</v>
      </c>
      <c r="O57" s="10" t="n">
        <v>1</v>
      </c>
      <c r="P57" s="10" t="n">
        <v>0</v>
      </c>
      <c r="Q57" s="10" t="n">
        <v>1</v>
      </c>
      <c r="R57" s="10" t="n">
        <v>0</v>
      </c>
      <c r="S57" s="10" t="n">
        <v>1</v>
      </c>
    </row>
    <row r="58" ht="25" customHeight="1">
      <c r="A58" s="6">
        <f>IFERROR(__xludf.DUMMYFUNCTION("""COMPUTED_VALUE"""),"BHIMS")</f>
        <v/>
      </c>
      <c r="B58" s="6">
        <f>IFERROR(__xludf.DUMMYFUNCTION("""COMPUTED_VALUE"""),"Resource")</f>
        <v/>
      </c>
      <c r="C58" s="6">
        <f>IFERROR(__xludf.DUMMYFUNCTION("""COMPUTED_VALUE"""),"text 4.graasp")</f>
        <v/>
      </c>
      <c r="D58" s="7">
        <f>IFERROR(__xludf.DUMMYFUNCTION("""COMPUTED_VALUE"""),"No task description")</f>
        <v/>
      </c>
      <c r="E58" s="7">
        <f>IFERROR(__xludf.DUMMYFUNCTION("""COMPUTED_VALUE"""),"No artifact embedded")</f>
        <v/>
      </c>
      <c r="F58" s="7" t="n"/>
      <c r="G58" s="8" t="n">
        <v>0</v>
      </c>
      <c r="H58" s="8" t="n">
        <v>0</v>
      </c>
      <c r="I58" s="8" t="n">
        <v>0</v>
      </c>
      <c r="J58" s="8" t="n">
        <v>0</v>
      </c>
      <c r="K58" s="9" t="n">
        <v>0</v>
      </c>
      <c r="L58" s="9" t="n">
        <v>0</v>
      </c>
      <c r="M58" s="9" t="n">
        <v>0</v>
      </c>
      <c r="N58" s="9" t="n">
        <v>0</v>
      </c>
      <c r="O58" s="10" t="n">
        <v>0</v>
      </c>
      <c r="P58" s="10" t="n">
        <v>0</v>
      </c>
      <c r="Q58" s="10" t="n">
        <v>0</v>
      </c>
      <c r="R58" s="10" t="n">
        <v>0</v>
      </c>
      <c r="S58" s="10" t="n">
        <v>0</v>
      </c>
    </row>
    <row r="59" ht="229" customHeight="1">
      <c r="A59" s="6">
        <f>IFERROR(__xludf.DUMMYFUNCTION("""COMPUTED_VALUE"""),"BHIMS")</f>
        <v/>
      </c>
      <c r="B59" s="6">
        <f>IFERROR(__xludf.DUMMYFUNCTION("""COMPUTED_VALUE"""),"Resource")</f>
        <v/>
      </c>
      <c r="C59" s="6">
        <f>IFERROR(__xludf.DUMMYFUNCTION("""COMPUTED_VALUE"""),"Christopher Nolan &amp; Kip Thorne Break Down The Physics of Interstellar | TIME")</f>
        <v/>
      </c>
      <c r="D59" s="7">
        <f>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
      </c>
      <c r="E59" s="7">
        <f>IFERROR(__xludf.DUMMYFUNCTION("""COMPUTED_VALUE"""),"youtube.com: A widely known video-sharing platform where users can watch videos on a vast array of topics, including educational content.")</f>
        <v/>
      </c>
      <c r="F59" s="7" t="n"/>
      <c r="G59" s="8" t="n">
        <v>1</v>
      </c>
      <c r="H59" s="8" t="n">
        <v>0</v>
      </c>
      <c r="I59" s="8" t="n">
        <v>0</v>
      </c>
      <c r="J59" s="8" t="n">
        <v>0</v>
      </c>
      <c r="K59" s="9" t="n">
        <v>1</v>
      </c>
      <c r="L59" s="9" t="n">
        <v>0</v>
      </c>
      <c r="M59" s="9" t="n">
        <v>0</v>
      </c>
      <c r="N59" s="9" t="n">
        <v>0</v>
      </c>
      <c r="O59" s="10" t="n">
        <v>1</v>
      </c>
      <c r="P59" s="10" t="n">
        <v>0</v>
      </c>
      <c r="Q59" s="10" t="n">
        <v>0</v>
      </c>
      <c r="R59" s="10" t="n">
        <v>0</v>
      </c>
      <c r="S59" s="10" t="n">
        <v>0</v>
      </c>
    </row>
    <row r="60" ht="296" customHeight="1">
      <c r="A60" s="6">
        <f>IFERROR(__xludf.DUMMYFUNCTION("""COMPUTED_VALUE"""),"BHIMS")</f>
        <v/>
      </c>
      <c r="B60" s="6">
        <f>IFERROR(__xludf.DUMMYFUNCTION("""COMPUTED_VALUE"""),"Resource")</f>
        <v/>
      </c>
      <c r="C60" s="6">
        <f>IFERROR(__xludf.DUMMYFUNCTION("""COMPUTED_VALUE"""),"The Science of Interstellar - Discovery Channel Documentary - HD")</f>
        <v/>
      </c>
      <c r="D60" s="7">
        <f>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
      </c>
      <c r="E60" s="7">
        <f>IFERROR(__xludf.DUMMYFUNCTION("""COMPUTED_VALUE"""),"youtube.com: A widely known video-sharing platform where users can watch videos on a vast array of topics, including educational content.")</f>
        <v/>
      </c>
      <c r="F60" s="7" t="n"/>
      <c r="G60" s="8" t="n">
        <v>0</v>
      </c>
      <c r="H60" s="8" t="n">
        <v>0</v>
      </c>
      <c r="I60" s="8" t="n">
        <v>1</v>
      </c>
      <c r="J60" s="8" t="n">
        <v>0</v>
      </c>
      <c r="K60" s="9" t="n">
        <v>0</v>
      </c>
      <c r="L60" s="9" t="n">
        <v>1</v>
      </c>
      <c r="M60" s="9" t="n">
        <v>0</v>
      </c>
      <c r="N60" s="9" t="n">
        <v>0</v>
      </c>
      <c r="O60" s="10" t="n">
        <v>1</v>
      </c>
      <c r="P60" s="10" t="n">
        <v>0</v>
      </c>
      <c r="Q60" s="10" t="n">
        <v>0</v>
      </c>
      <c r="R60" s="10" t="n">
        <v>0</v>
      </c>
      <c r="S60" s="10" t="n">
        <v>0</v>
      </c>
    </row>
    <row r="61" ht="329" customHeight="1">
      <c r="A61" s="6">
        <f>IFERROR(__xludf.DUMMYFUNCTION("""COMPUTED_VALUE"""),"BHIMS")</f>
        <v/>
      </c>
      <c r="B61" s="6">
        <f>IFERROR(__xludf.DUMMYFUNCTION("""COMPUTED_VALUE"""),"Space")</f>
        <v/>
      </c>
      <c r="C61" s="6">
        <f>IFERROR(__xludf.DUMMYFUNCTION("""COMPUTED_VALUE"""),"Investigation")</f>
        <v/>
      </c>
      <c r="D61" s="7">
        <f>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
      </c>
      <c r="E61" s="7">
        <f>IFERROR(__xludf.DUMMYFUNCTION("""COMPUTED_VALUE"""),"No artifact embedded")</f>
        <v/>
      </c>
      <c r="F61" s="7" t="n"/>
      <c r="G61" s="8" t="n">
        <v>1</v>
      </c>
      <c r="H61" s="8" t="n">
        <v>0</v>
      </c>
      <c r="I61" s="8" t="n">
        <v>0</v>
      </c>
      <c r="J61" s="8" t="n">
        <v>0</v>
      </c>
      <c r="K61" s="9" t="n">
        <v>1</v>
      </c>
      <c r="L61" s="9" t="n">
        <v>0</v>
      </c>
      <c r="M61" s="9" t="n">
        <v>0</v>
      </c>
      <c r="N61" s="9" t="n">
        <v>0</v>
      </c>
      <c r="O61" s="10" t="n">
        <v>1</v>
      </c>
      <c r="P61" s="10" t="n">
        <v>0</v>
      </c>
      <c r="Q61" s="10" t="n">
        <v>0</v>
      </c>
      <c r="R61" s="10" t="n">
        <v>0</v>
      </c>
      <c r="S61" s="10" t="n">
        <v>0</v>
      </c>
    </row>
    <row r="62" ht="409.5" customHeight="1">
      <c r="A62" s="6">
        <f>IFERROR(__xludf.DUMMYFUNCTION("""COMPUTED_VALUE"""),"BHIMS")</f>
        <v/>
      </c>
      <c r="B62" s="6">
        <f>IFERROR(__xludf.DUMMYFUNCTION("""COMPUTED_VALUE"""),"Resource")</f>
        <v/>
      </c>
      <c r="C62" s="6">
        <f>IFERROR(__xludf.DUMMYFUNCTION("""COMPUTED_VALUE"""),"text 0.graasp")</f>
        <v/>
      </c>
      <c r="D62" s="7">
        <f>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
      </c>
      <c r="E62" s="7">
        <f>IFERROR(__xludf.DUMMYFUNCTION("""COMPUTED_VALUE"""),"No artifact embedded")</f>
        <v/>
      </c>
      <c r="F62" s="7" t="n"/>
      <c r="G62" s="8" t="n">
        <v>0</v>
      </c>
      <c r="H62" s="8" t="n">
        <v>1</v>
      </c>
      <c r="I62" s="8" t="n">
        <v>0</v>
      </c>
      <c r="J62" s="8" t="n">
        <v>0</v>
      </c>
      <c r="K62" s="9" t="n">
        <v>1</v>
      </c>
      <c r="L62" s="9" t="n">
        <v>0</v>
      </c>
      <c r="M62" s="9" t="n">
        <v>0</v>
      </c>
      <c r="N62" s="9" t="n">
        <v>0</v>
      </c>
      <c r="O62" s="10" t="n">
        <v>1</v>
      </c>
      <c r="P62" s="10" t="n">
        <v>0</v>
      </c>
      <c r="Q62" s="10" t="n">
        <v>0</v>
      </c>
      <c r="R62" s="10" t="n">
        <v>0</v>
      </c>
      <c r="S62" s="10" t="n">
        <v>0</v>
      </c>
    </row>
    <row r="63" ht="409.5" customHeight="1">
      <c r="A63" s="6">
        <f>IFERROR(__xludf.DUMMYFUNCTION("""COMPUTED_VALUE"""),"BHIMS")</f>
        <v/>
      </c>
      <c r="B63" s="6">
        <f>IFERROR(__xludf.DUMMYFUNCTION("""COMPUTED_VALUE"""),"Resource")</f>
        <v/>
      </c>
      <c r="C63" s="6">
        <f>IFERROR(__xludf.DUMMYFUNCTION("""COMPUTED_VALUE"""),"BHIMS_Photometry.pdf")</f>
        <v/>
      </c>
      <c r="D63" s="7"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7">
        <f>IFERROR(__xludf.DUMMYFUNCTION("""COMPUTED_VALUE"""),"application/pdf – A portable document format (PDF) file, preserving text and layout for consistent viewing across devices.")</f>
        <v/>
      </c>
      <c r="F63" s="7" t="n"/>
      <c r="G63" s="8" t="n">
        <v>0</v>
      </c>
      <c r="H63" s="8" t="n">
        <v>0</v>
      </c>
      <c r="I63" s="8" t="n">
        <v>1</v>
      </c>
      <c r="J63" s="8" t="n">
        <v>0</v>
      </c>
      <c r="K63" s="9" t="n">
        <v>0</v>
      </c>
      <c r="L63" s="9" t="n">
        <v>1</v>
      </c>
      <c r="M63" s="9" t="n">
        <v>0</v>
      </c>
      <c r="N63" s="9" t="n">
        <v>0</v>
      </c>
      <c r="O63" s="10" t="n">
        <v>1</v>
      </c>
      <c r="P63" s="10" t="n">
        <v>0</v>
      </c>
      <c r="Q63" s="10" t="n">
        <v>1</v>
      </c>
      <c r="R63" s="10" t="n">
        <v>0</v>
      </c>
      <c r="S63" s="10" t="n">
        <v>0</v>
      </c>
    </row>
    <row r="64" ht="409.5" customHeight="1">
      <c r="A64" s="6">
        <f>IFERROR(__xludf.DUMMYFUNCTION("""COMPUTED_VALUE"""),"BHIMS")</f>
        <v/>
      </c>
      <c r="B64" s="6">
        <f>IFERROR(__xludf.DUMMYFUNCTION("""COMPUTED_VALUE"""),"Resource")</f>
        <v/>
      </c>
      <c r="C64" s="6">
        <f>IFERROR(__xludf.DUMMYFUNCTION("""COMPUTED_VALUE"""),"observing_blackholes.pdf")</f>
        <v/>
      </c>
      <c r="D64" s="7"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7">
        <f>IFERROR(__xludf.DUMMYFUNCTION("""COMPUTED_VALUE"""),"application/pdf – A portable document format (PDF) file, preserving text and layout for consistent viewing across devices.")</f>
        <v/>
      </c>
      <c r="F64" s="7" t="n"/>
      <c r="G64" s="8" t="n">
        <v>0</v>
      </c>
      <c r="H64" s="8" t="n">
        <v>1</v>
      </c>
      <c r="I64" s="8" t="n">
        <v>0</v>
      </c>
      <c r="J64" s="8" t="n">
        <v>0</v>
      </c>
      <c r="K64" s="9" t="n">
        <v>1</v>
      </c>
      <c r="L64" s="9" t="n">
        <v>0</v>
      </c>
      <c r="M64" s="9" t="n">
        <v>0</v>
      </c>
      <c r="N64" s="9" t="n">
        <v>0</v>
      </c>
      <c r="O64" s="10" t="n">
        <v>1</v>
      </c>
      <c r="P64" s="10" t="n">
        <v>0</v>
      </c>
      <c r="Q64" s="10" t="n">
        <v>1</v>
      </c>
      <c r="R64" s="10" t="n">
        <v>0</v>
      </c>
      <c r="S64" s="10" t="n">
        <v>0</v>
      </c>
    </row>
    <row r="65" ht="409.5" customHeight="1">
      <c r="A65" s="6">
        <f>IFERROR(__xludf.DUMMYFUNCTION("""COMPUTED_VALUE"""),"BHIMS")</f>
        <v/>
      </c>
      <c r="B65" s="6">
        <f>IFERROR(__xludf.DUMMYFUNCTION("""COMPUTED_VALUE"""),"Resource")</f>
        <v/>
      </c>
      <c r="C65" s="6">
        <f>IFERROR(__xludf.DUMMYFUNCTION("""COMPUTED_VALUE"""),"Text 1.graasp")</f>
        <v/>
      </c>
      <c r="D65" s="7">
        <f>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
      </c>
      <c r="E65" s="7">
        <f>IFERROR(__xludf.DUMMYFUNCTION("""COMPUTED_VALUE"""),"No artifact embedded")</f>
        <v/>
      </c>
      <c r="F65" s="7" t="n"/>
      <c r="G65" s="8" t="n">
        <v>0</v>
      </c>
      <c r="H65" s="8" t="n">
        <v>0</v>
      </c>
      <c r="I65" s="8" t="n">
        <v>1</v>
      </c>
      <c r="J65" s="8" t="n">
        <v>0</v>
      </c>
      <c r="K65" s="9" t="n">
        <v>0</v>
      </c>
      <c r="L65" s="9" t="n">
        <v>1</v>
      </c>
      <c r="M65" s="9" t="n">
        <v>0</v>
      </c>
      <c r="N65" s="9" t="n">
        <v>0</v>
      </c>
      <c r="O65" s="10" t="n">
        <v>0</v>
      </c>
      <c r="P65" s="10" t="n">
        <v>0</v>
      </c>
      <c r="Q65" s="10" t="n">
        <v>1</v>
      </c>
      <c r="R65" s="10" t="n">
        <v>0</v>
      </c>
      <c r="S65" s="10" t="n">
        <v>0</v>
      </c>
    </row>
    <row r="66" ht="409.5" customHeight="1">
      <c r="A66" s="6">
        <f>IFERROR(__xludf.DUMMYFUNCTION("""COMPUTED_VALUE"""),"BHIMS")</f>
        <v/>
      </c>
      <c r="B66" s="6">
        <f>IFERROR(__xludf.DUMMYFUNCTION("""COMPUTED_VALUE"""),"Space")</f>
        <v/>
      </c>
      <c r="C66" s="6">
        <f>IFERROR(__xludf.DUMMYFUNCTION("""COMPUTED_VALUE"""),"Advanced Research")</f>
        <v/>
      </c>
      <c r="D66" s="7">
        <f>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
      </c>
      <c r="E66" s="7">
        <f>IFERROR(__xludf.DUMMYFUNCTION("""COMPUTED_VALUE"""),"No artifact embedded")</f>
        <v/>
      </c>
      <c r="F66" s="7" t="n"/>
      <c r="G66" s="8" t="n">
        <v>0</v>
      </c>
      <c r="H66" s="8" t="n">
        <v>0</v>
      </c>
      <c r="I66" s="8" t="n">
        <v>0</v>
      </c>
      <c r="J66" s="8" t="n">
        <v>1</v>
      </c>
      <c r="K66" s="9" t="n">
        <v>1</v>
      </c>
      <c r="L66" s="9" t="n">
        <v>0</v>
      </c>
      <c r="M66" s="9" t="n">
        <v>0</v>
      </c>
      <c r="N66" s="9" t="n">
        <v>0</v>
      </c>
      <c r="O66" s="10" t="n">
        <v>1</v>
      </c>
      <c r="P66" s="10" t="n">
        <v>0</v>
      </c>
      <c r="Q66" s="10" t="n">
        <v>1</v>
      </c>
      <c r="R66" s="10" t="n">
        <v>0</v>
      </c>
      <c r="S66" s="10" t="n">
        <v>0</v>
      </c>
    </row>
    <row r="67" ht="409.5" customHeight="1">
      <c r="A67" s="6">
        <f>IFERROR(__xludf.DUMMYFUNCTION("""COMPUTED_VALUE"""),"BHIMS")</f>
        <v/>
      </c>
      <c r="B67" s="6">
        <f>IFERROR(__xludf.DUMMYFUNCTION("""COMPUTED_VALUE"""),"Resource")</f>
        <v/>
      </c>
      <c r="C67" s="6">
        <f>IFERROR(__xludf.DUMMYFUNCTION("""COMPUTED_VALUE"""),"Stellarium_FT_userguide.pdf")</f>
        <v/>
      </c>
      <c r="D67" s="7">
        <f>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
      </c>
      <c r="E67" s="7">
        <f>IFERROR(__xludf.DUMMYFUNCTION("""COMPUTED_VALUE"""),"application/pdf – A portable document format (PDF) file, preserving text and layout for consistent viewing across devices.")</f>
        <v/>
      </c>
      <c r="F67" s="7" t="n"/>
      <c r="G67" s="8" t="n">
        <v>0</v>
      </c>
      <c r="H67" s="8" t="n">
        <v>1</v>
      </c>
      <c r="I67" s="8" t="n">
        <v>0</v>
      </c>
      <c r="J67" s="8" t="n">
        <v>0</v>
      </c>
      <c r="K67" s="9" t="n">
        <v>1</v>
      </c>
      <c r="L67" s="9" t="n">
        <v>0</v>
      </c>
      <c r="M67" s="9" t="n">
        <v>0</v>
      </c>
      <c r="N67" s="9" t="n">
        <v>0</v>
      </c>
      <c r="O67" s="10" t="n">
        <v>1</v>
      </c>
      <c r="P67" s="10" t="n">
        <v>0</v>
      </c>
      <c r="Q67" s="10" t="n">
        <v>1</v>
      </c>
      <c r="R67" s="10" t="n">
        <v>0</v>
      </c>
      <c r="S67" s="10" t="n">
        <v>0</v>
      </c>
    </row>
    <row r="68" ht="193" customHeight="1">
      <c r="A68" s="6">
        <f>IFERROR(__xludf.DUMMYFUNCTION("""COMPUTED_VALUE"""),"BHIMS")</f>
        <v/>
      </c>
      <c r="B68" s="6">
        <f>IFERROR(__xludf.DUMMYFUNCTION("""COMPUTED_VALUE"""),"Application")</f>
        <v/>
      </c>
      <c r="C68" s="6">
        <f>IFERROR(__xludf.DUMMYFUNCTION("""COMPUTED_VALUE"""),"Shared Wiki Widget")</f>
        <v/>
      </c>
      <c r="D68" s="7">
        <f>IFERROR(__xludf.DUMMYFUNCTION("""COMPUTED_VALUE"""),"No task description")</f>
        <v/>
      </c>
      <c r="E68"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8" s="7" t="n"/>
      <c r="G68" s="8" t="n">
        <v>0</v>
      </c>
      <c r="H68" s="8" t="n">
        <v>0</v>
      </c>
      <c r="I68" s="8" t="n">
        <v>0</v>
      </c>
      <c r="J68" s="8" t="n">
        <v>1</v>
      </c>
      <c r="K68" s="9" t="n">
        <v>0</v>
      </c>
      <c r="L68" s="9" t="n">
        <v>0</v>
      </c>
      <c r="M68" s="9" t="n">
        <v>0</v>
      </c>
      <c r="N68" s="9" t="n">
        <v>1</v>
      </c>
      <c r="O68" s="10" t="n">
        <v>0</v>
      </c>
      <c r="P68" s="10" t="n">
        <v>0</v>
      </c>
      <c r="Q68" s="10" t="n">
        <v>0</v>
      </c>
      <c r="R68" s="10" t="n">
        <v>0</v>
      </c>
      <c r="S68" s="10" t="n">
        <v>1</v>
      </c>
    </row>
    <row r="69" ht="409.5" customHeight="1">
      <c r="A69" s="6">
        <f>IFERROR(__xludf.DUMMYFUNCTION("""COMPUTED_VALUE"""),"BHIMS")</f>
        <v/>
      </c>
      <c r="B69" s="6">
        <f>IFERROR(__xludf.DUMMYFUNCTION("""COMPUTED_VALUE"""),"Application")</f>
        <v/>
      </c>
      <c r="C69" s="6">
        <f>IFERROR(__xludf.DUMMYFUNCTION("""COMPUTED_VALUE"""),"The Faulkes Telescope Project")</f>
        <v/>
      </c>
      <c r="D69" s="7">
        <f>IFERROR(__xludf.DUMMYFUNCTION("""COMPUTED_VALUE"""),"No task description")</f>
        <v/>
      </c>
      <c r="E69" s="7">
        <f>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
      </c>
      <c r="F69" s="7" t="n"/>
      <c r="G69" s="8" t="n">
        <v>0</v>
      </c>
      <c r="H69" s="8" t="n">
        <v>1</v>
      </c>
      <c r="I69" s="8" t="n">
        <v>0</v>
      </c>
      <c r="J69" s="8" t="n">
        <v>0</v>
      </c>
      <c r="K69" s="9" t="n">
        <v>1</v>
      </c>
      <c r="L69" s="9" t="n">
        <v>0</v>
      </c>
      <c r="M69" s="9" t="n">
        <v>0</v>
      </c>
      <c r="N69" s="9" t="n">
        <v>0</v>
      </c>
      <c r="O69" s="10" t="n">
        <v>0</v>
      </c>
      <c r="P69" s="10" t="n">
        <v>0</v>
      </c>
      <c r="Q69" s="10" t="n">
        <v>1</v>
      </c>
      <c r="R69" s="10" t="n">
        <v>0</v>
      </c>
      <c r="S69" s="10" t="n">
        <v>0</v>
      </c>
    </row>
    <row r="70" ht="409.5" customHeight="1">
      <c r="A70" s="6">
        <f>IFERROR(__xludf.DUMMYFUNCTION("""COMPUTED_VALUE"""),"BHIMS")</f>
        <v/>
      </c>
      <c r="B70" s="6">
        <f>IFERROR(__xludf.DUMMYFUNCTION("""COMPUTED_VALUE"""),"Resource")</f>
        <v/>
      </c>
      <c r="C70" s="6">
        <f>IFERROR(__xludf.DUMMYFUNCTION("""COMPUTED_VALUE"""),"BHIMS_IntroductiontoBH_V2.pdf")</f>
        <v/>
      </c>
      <c r="D70" s="7"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7">
        <f>IFERROR(__xludf.DUMMYFUNCTION("""COMPUTED_VALUE"""),"application/pdf – A portable document format (PDF) file, preserving text and layout for consistent viewing across devices.")</f>
        <v/>
      </c>
      <c r="F70" s="7" t="n"/>
      <c r="G70" s="8" t="n">
        <v>1</v>
      </c>
      <c r="H70" s="8" t="n">
        <v>0</v>
      </c>
      <c r="I70" s="8" t="n">
        <v>0</v>
      </c>
      <c r="J70" s="8" t="n">
        <v>0</v>
      </c>
      <c r="K70" s="9" t="n">
        <v>1</v>
      </c>
      <c r="L70" s="9" t="n">
        <v>0</v>
      </c>
      <c r="M70" s="9" t="n">
        <v>0</v>
      </c>
      <c r="N70" s="9" t="n">
        <v>0</v>
      </c>
      <c r="O70" s="10" t="n">
        <v>1</v>
      </c>
      <c r="P70" s="10" t="n">
        <v>0</v>
      </c>
      <c r="Q70" s="10" t="n">
        <v>0</v>
      </c>
      <c r="R70" s="10" t="n">
        <v>0</v>
      </c>
      <c r="S70" s="10" t="n">
        <v>0</v>
      </c>
    </row>
    <row r="71" ht="193" customHeight="1">
      <c r="A71" s="6">
        <f>IFERROR(__xludf.DUMMYFUNCTION("""COMPUTED_VALUE"""),"BHIMS")</f>
        <v/>
      </c>
      <c r="B71" s="6">
        <f>IFERROR(__xludf.DUMMYFUNCTION("""COMPUTED_VALUE"""),"Space")</f>
        <v/>
      </c>
      <c r="C71" s="6">
        <f>IFERROR(__xludf.DUMMYFUNCTION("""COMPUTED_VALUE"""),"Conclusion")</f>
        <v/>
      </c>
      <c r="D71" s="7">
        <f>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
      </c>
      <c r="E71" s="7">
        <f>IFERROR(__xludf.DUMMYFUNCTION("""COMPUTED_VALUE"""),"No artifact embedded")</f>
        <v/>
      </c>
      <c r="F71" s="7" t="n"/>
      <c r="G71" s="8" t="n">
        <v>0</v>
      </c>
      <c r="H71" s="8" t="n">
        <v>0</v>
      </c>
      <c r="I71" s="8" t="n">
        <v>1</v>
      </c>
      <c r="J71" s="8" t="n">
        <v>0</v>
      </c>
      <c r="K71" s="9" t="n">
        <v>0</v>
      </c>
      <c r="L71" s="9" t="n">
        <v>1</v>
      </c>
      <c r="M71" s="9" t="n">
        <v>0</v>
      </c>
      <c r="N71" s="9" t="n">
        <v>0</v>
      </c>
      <c r="O71" s="10" t="n">
        <v>0</v>
      </c>
      <c r="P71" s="10" t="n">
        <v>0</v>
      </c>
      <c r="Q71" s="10" t="n">
        <v>0</v>
      </c>
      <c r="R71" s="10" t="n">
        <v>0</v>
      </c>
      <c r="S71" s="10" t="n">
        <v>1</v>
      </c>
    </row>
    <row r="72" ht="384" customHeight="1">
      <c r="A72" s="6">
        <f>IFERROR(__xludf.DUMMYFUNCTION("""COMPUTED_VALUE"""),"BHIMS")</f>
        <v/>
      </c>
      <c r="B72" s="6">
        <f>IFERROR(__xludf.DUMMYFUNCTION("""COMPUTED_VALUE"""),"Resource")</f>
        <v/>
      </c>
      <c r="C72" s="6">
        <f>IFERROR(__xludf.DUMMYFUNCTION("""COMPUTED_VALUE"""),"post quest.graasp")</f>
        <v/>
      </c>
      <c r="D72" s="7">
        <f>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
      </c>
      <c r="E72" s="7">
        <f>IFERROR(__xludf.DUMMYFUNCTION("""COMPUTED_VALUE"""),"No artifact embedded")</f>
        <v/>
      </c>
      <c r="F72" s="7" t="n"/>
      <c r="G72" s="8" t="n">
        <v>0</v>
      </c>
      <c r="H72" s="8" t="n">
        <v>0</v>
      </c>
      <c r="I72" s="8" t="n">
        <v>1</v>
      </c>
      <c r="J72" s="8" t="n">
        <v>0</v>
      </c>
      <c r="K72" s="9" t="n">
        <v>0</v>
      </c>
      <c r="L72" s="9" t="n">
        <v>1</v>
      </c>
      <c r="M72" s="9" t="n">
        <v>0</v>
      </c>
      <c r="N72" s="9" t="n">
        <v>0</v>
      </c>
      <c r="O72" s="10" t="n">
        <v>0</v>
      </c>
      <c r="P72" s="10" t="n">
        <v>0</v>
      </c>
      <c r="Q72" s="10" t="n">
        <v>0</v>
      </c>
      <c r="R72" s="10" t="n">
        <v>0</v>
      </c>
      <c r="S72" s="10" t="n">
        <v>0</v>
      </c>
    </row>
    <row r="73" ht="157" customHeight="1">
      <c r="A73" s="6">
        <f>IFERROR(__xludf.DUMMYFUNCTION("""COMPUTED_VALUE"""),"BHIMS")</f>
        <v/>
      </c>
      <c r="B73" s="6">
        <f>IFERROR(__xludf.DUMMYFUNCTION("""COMPUTED_VALUE"""),"Application")</f>
        <v/>
      </c>
      <c r="C73" s="6">
        <f>IFERROR(__xludf.DUMMYFUNCTION("""COMPUTED_VALUE"""),"File Drop")</f>
        <v/>
      </c>
      <c r="D73" s="7">
        <f>IFERROR(__xludf.DUMMYFUNCTION("""COMPUTED_VALUE"""),"No task description")</f>
        <v/>
      </c>
      <c r="E73" s="7">
        <f>IFERROR(__xludf.DUMMYFUNCTION("""COMPUTED_VALUE"""),"Golabz app/lab: ""&lt;p&gt;This app allows students to upload files, e.g., assignment and reports, to the Inquiry learning Space. The app also allows teachers to download the uploaded files.&lt;/p&gt;\r\n""")</f>
        <v/>
      </c>
      <c r="F73" s="7" t="n"/>
      <c r="G73" s="8" t="n">
        <v>0</v>
      </c>
      <c r="H73" s="8" t="n">
        <v>0</v>
      </c>
      <c r="I73" s="8" t="n">
        <v>1</v>
      </c>
      <c r="J73" s="8" t="n">
        <v>0</v>
      </c>
      <c r="K73" s="9" t="n">
        <v>0</v>
      </c>
      <c r="L73" s="9" t="n">
        <v>1</v>
      </c>
      <c r="M73" s="9" t="n">
        <v>0</v>
      </c>
      <c r="N73" s="9" t="n">
        <v>0</v>
      </c>
      <c r="O73" s="10" t="n">
        <v>0</v>
      </c>
      <c r="P73" s="10" t="n">
        <v>0</v>
      </c>
      <c r="Q73" s="10" t="n">
        <v>0</v>
      </c>
      <c r="R73" s="10" t="n">
        <v>0</v>
      </c>
      <c r="S73" s="10" t="n">
        <v>0</v>
      </c>
    </row>
    <row r="74" ht="217" customHeight="1">
      <c r="A74" s="6">
        <f>IFERROR(__xludf.DUMMYFUNCTION("""COMPUTED_VALUE"""),"BHIMS")</f>
        <v/>
      </c>
      <c r="B74" s="6">
        <f>IFERROR(__xludf.DUMMYFUNCTION("""COMPUTED_VALUE"""),"Space")</f>
        <v/>
      </c>
      <c r="C74" s="6">
        <f>IFERROR(__xludf.DUMMYFUNCTION("""COMPUTED_VALUE"""),"Discussion")</f>
        <v/>
      </c>
      <c r="D74" s="7">
        <f>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
      </c>
      <c r="E74" s="7">
        <f>IFERROR(__xludf.DUMMYFUNCTION("""COMPUTED_VALUE"""),"No artifact embedded")</f>
        <v/>
      </c>
      <c r="F74" s="7" t="n"/>
      <c r="G74" s="8" t="n">
        <v>0</v>
      </c>
      <c r="H74" s="8" t="n">
        <v>0</v>
      </c>
      <c r="I74" s="8" t="n">
        <v>0</v>
      </c>
      <c r="J74" s="8" t="n">
        <v>1</v>
      </c>
      <c r="K74" s="9" t="n">
        <v>0</v>
      </c>
      <c r="L74" s="9" t="n">
        <v>1</v>
      </c>
      <c r="M74" s="9" t="n">
        <v>1</v>
      </c>
      <c r="N74" s="9" t="n">
        <v>0</v>
      </c>
      <c r="O74" s="10" t="n">
        <v>0</v>
      </c>
      <c r="P74" s="10" t="n">
        <v>0</v>
      </c>
      <c r="Q74" s="10" t="n">
        <v>0</v>
      </c>
      <c r="R74" s="10" t="n">
        <v>0</v>
      </c>
      <c r="S74" s="10" t="n">
        <v>1</v>
      </c>
    </row>
    <row r="75" ht="25" customHeight="1">
      <c r="A75" s="6">
        <f>IFERROR(__xludf.DUMMYFUNCTION("""COMPUTED_VALUE"""),"Scenario-Six thinking hats")</f>
        <v/>
      </c>
      <c r="B75" s="6">
        <f>IFERROR(__xludf.DUMMYFUNCTION("""COMPUTED_VALUE"""),"Space")</f>
        <v/>
      </c>
      <c r="C75" s="6">
        <f>IFERROR(__xludf.DUMMYFUNCTION("""COMPUTED_VALUE"""),"Example ILS: Six Hats Approach for Archimedes' Principle")</f>
        <v/>
      </c>
      <c r="D75" s="7">
        <f>IFERROR(__xludf.DUMMYFUNCTION("""COMPUTED_VALUE"""),"No task description")</f>
        <v/>
      </c>
      <c r="E75" s="7">
        <f>IFERROR(__xludf.DUMMYFUNCTION("""COMPUTED_VALUE"""),"No artifact embedded")</f>
        <v/>
      </c>
      <c r="F75" s="7" t="n"/>
      <c r="G75" s="8" t="n">
        <v>0</v>
      </c>
      <c r="H75" s="8" t="n">
        <v>0</v>
      </c>
      <c r="I75" s="8" t="n">
        <v>0</v>
      </c>
      <c r="J75" s="8" t="n">
        <v>0</v>
      </c>
      <c r="K75" s="9" t="n">
        <v>0</v>
      </c>
      <c r="L75" s="9" t="n">
        <v>0</v>
      </c>
      <c r="M75" s="9" t="n">
        <v>0</v>
      </c>
      <c r="N75" s="9" t="n">
        <v>0</v>
      </c>
      <c r="O75" s="10" t="n">
        <v>0</v>
      </c>
      <c r="P75" s="10" t="n">
        <v>0</v>
      </c>
      <c r="Q75" s="10" t="n">
        <v>0</v>
      </c>
      <c r="R75" s="10" t="n">
        <v>0</v>
      </c>
      <c r="S75" s="10" t="n">
        <v>0</v>
      </c>
    </row>
    <row r="76" ht="329" customHeight="1">
      <c r="A76" s="6">
        <f>IFERROR(__xludf.DUMMYFUNCTION("""COMPUTED_VALUE"""),"Scenario-Six thinking hats")</f>
        <v/>
      </c>
      <c r="B76" s="6">
        <f>IFERROR(__xludf.DUMMYFUNCTION("""COMPUTED_VALUE"""),"Application")</f>
        <v/>
      </c>
      <c r="C76" s="6">
        <f>IFERROR(__xludf.DUMMYFUNCTION("""COMPUTED_VALUE"""),"Input Box")</f>
        <v/>
      </c>
      <c r="D76" s="7">
        <f>IFERROR(__xludf.DUMMYFUNCTION("""COMPUTED_VALUE"""),"No task description")</f>
        <v/>
      </c>
      <c r="E7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6" s="7" t="n"/>
      <c r="G76" s="8" t="n">
        <v>0</v>
      </c>
      <c r="H76" s="8" t="n">
        <v>0</v>
      </c>
      <c r="I76" s="8" t="n">
        <v>0</v>
      </c>
      <c r="J76" s="8" t="n">
        <v>0</v>
      </c>
      <c r="K76" s="9" t="n">
        <v>0</v>
      </c>
      <c r="L76" s="9" t="n">
        <v>0</v>
      </c>
      <c r="M76" s="9" t="n">
        <v>0</v>
      </c>
      <c r="N76" s="9" t="n">
        <v>0</v>
      </c>
      <c r="O76" s="10" t="n">
        <v>0</v>
      </c>
      <c r="P76" s="10" t="n">
        <v>0</v>
      </c>
      <c r="Q76" s="10" t="n">
        <v>0</v>
      </c>
      <c r="R76" s="10" t="n">
        <v>0</v>
      </c>
      <c r="S76" s="10" t="n">
        <v>0</v>
      </c>
    </row>
    <row r="77" ht="25" customHeight="1">
      <c r="A77" s="6">
        <f>IFERROR(__xludf.DUMMYFUNCTION("""COMPUTED_VALUE"""),"Scenario-Six thinking hats")</f>
        <v/>
      </c>
      <c r="B77" s="6">
        <f>IFERROR(__xludf.DUMMYFUNCTION("""COMPUTED_VALUE"""),"Space")</f>
        <v/>
      </c>
      <c r="C77" s="6">
        <f>IFERROR(__xludf.DUMMYFUNCTION("""COMPUTED_VALUE"""),"Orientation")</f>
        <v/>
      </c>
      <c r="D77" s="7">
        <f>IFERROR(__xludf.DUMMYFUNCTION("""COMPUTED_VALUE"""),"No task description")</f>
        <v/>
      </c>
      <c r="E77" s="7">
        <f>IFERROR(__xludf.DUMMYFUNCTION("""COMPUTED_VALUE"""),"No artifact embedded")</f>
        <v/>
      </c>
      <c r="F77" s="7" t="n"/>
      <c r="G77" s="8" t="n">
        <v>0</v>
      </c>
      <c r="H77" s="8" t="n">
        <v>0</v>
      </c>
      <c r="I77" s="8" t="n">
        <v>0</v>
      </c>
      <c r="J77" s="8" t="n">
        <v>0</v>
      </c>
      <c r="K77" s="9" t="n">
        <v>0</v>
      </c>
      <c r="L77" s="9" t="n">
        <v>0</v>
      </c>
      <c r="M77" s="9" t="n">
        <v>0</v>
      </c>
      <c r="N77" s="9" t="n">
        <v>0</v>
      </c>
      <c r="O77" s="10" t="n">
        <v>0</v>
      </c>
      <c r="P77" s="10" t="n">
        <v>0</v>
      </c>
      <c r="Q77" s="10" t="n">
        <v>0</v>
      </c>
      <c r="R77" s="10" t="n">
        <v>0</v>
      </c>
      <c r="S77" s="10" t="n">
        <v>0</v>
      </c>
    </row>
    <row r="78" ht="409.5" customHeight="1">
      <c r="A78" s="6">
        <f>IFERROR(__xludf.DUMMYFUNCTION("""COMPUTED_VALUE"""),"Scenario-Six thinking hats")</f>
        <v/>
      </c>
      <c r="B78" s="6">
        <f>IFERROR(__xludf.DUMMYFUNCTION("""COMPUTED_VALUE"""),"Resource")</f>
        <v/>
      </c>
      <c r="C78" s="6">
        <f>IFERROR(__xludf.DUMMYFUNCTION("""COMPUTED_VALUE"""),"OrientationTextBox.graasp")</f>
        <v/>
      </c>
      <c r="D78" s="7">
        <f>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
      </c>
      <c r="E78" s="7">
        <f>IFERROR(__xludf.DUMMYFUNCTION("""COMPUTED_VALUE"""),"No artifact embedded")</f>
        <v/>
      </c>
      <c r="F78" s="7" t="n"/>
      <c r="G78" s="8" t="n">
        <v>0</v>
      </c>
      <c r="H78" s="8" t="n">
        <v>0</v>
      </c>
      <c r="I78" s="8" t="n">
        <v>0</v>
      </c>
      <c r="J78" s="8" t="n">
        <v>0</v>
      </c>
      <c r="K78" s="9" t="n">
        <v>0</v>
      </c>
      <c r="L78" s="9" t="n">
        <v>0</v>
      </c>
      <c r="M78" s="9" t="n">
        <v>0</v>
      </c>
      <c r="N78" s="9" t="n">
        <v>0</v>
      </c>
      <c r="O78" s="10" t="n">
        <v>0</v>
      </c>
      <c r="P78" s="10" t="n">
        <v>0</v>
      </c>
      <c r="Q78" s="10" t="n">
        <v>0</v>
      </c>
      <c r="R78" s="10" t="n">
        <v>0</v>
      </c>
      <c r="S78" s="10" t="n">
        <v>0</v>
      </c>
    </row>
    <row r="79" ht="25" customHeight="1">
      <c r="A79" s="6">
        <f>IFERROR(__xludf.DUMMYFUNCTION("""COMPUTED_VALUE"""),"Scenario-Six thinking hats")</f>
        <v/>
      </c>
      <c r="B79" s="6">
        <f>IFERROR(__xludf.DUMMYFUNCTION("""COMPUTED_VALUE"""),"Space")</f>
        <v/>
      </c>
      <c r="C79" s="6">
        <f>IFERROR(__xludf.DUMMYFUNCTION("""COMPUTED_VALUE"""),"Conceptualisation")</f>
        <v/>
      </c>
      <c r="D79" s="7">
        <f>IFERROR(__xludf.DUMMYFUNCTION("""COMPUTED_VALUE"""),"No task description")</f>
        <v/>
      </c>
      <c r="E79" s="7">
        <f>IFERROR(__xludf.DUMMYFUNCTION("""COMPUTED_VALUE"""),"No artifact embedded")</f>
        <v/>
      </c>
      <c r="F79" s="7" t="n"/>
      <c r="G79" s="8" t="n">
        <v>0</v>
      </c>
      <c r="H79" s="8" t="n">
        <v>0</v>
      </c>
      <c r="I79" s="8" t="n">
        <v>0</v>
      </c>
      <c r="J79" s="8" t="n">
        <v>0</v>
      </c>
      <c r="K79" s="9" t="n">
        <v>0</v>
      </c>
      <c r="L79" s="9" t="n">
        <v>0</v>
      </c>
      <c r="M79" s="9" t="n">
        <v>0</v>
      </c>
      <c r="N79" s="9" t="n">
        <v>0</v>
      </c>
      <c r="O79" s="10" t="n">
        <v>0</v>
      </c>
      <c r="P79" s="10" t="n">
        <v>0</v>
      </c>
      <c r="Q79" s="10" t="n">
        <v>0</v>
      </c>
      <c r="R79" s="10" t="n">
        <v>0</v>
      </c>
      <c r="S79" s="10" t="n">
        <v>0</v>
      </c>
    </row>
    <row r="80" ht="409.5" customHeight="1">
      <c r="A80" s="6">
        <f>IFERROR(__xludf.DUMMYFUNCTION("""COMPUTED_VALUE"""),"Scenario-Six thinking hats")</f>
        <v/>
      </c>
      <c r="B80" s="6">
        <f>IFERROR(__xludf.DUMMYFUNCTION("""COMPUTED_VALUE"""),"Resource")</f>
        <v/>
      </c>
      <c r="C80" s="6">
        <f>IFERROR(__xludf.DUMMYFUNCTION("""COMPUTED_VALUE"""),"ConceptualisationTextBox.graasp")</f>
        <v/>
      </c>
      <c r="D80" s="7">
        <f>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
      </c>
      <c r="E80" s="7">
        <f>IFERROR(__xludf.DUMMYFUNCTION("""COMPUTED_VALUE"""),"No artifact embedded")</f>
        <v/>
      </c>
      <c r="F80" s="7" t="n"/>
      <c r="G80" s="8" t="n">
        <v>0</v>
      </c>
      <c r="H80" s="8" t="n">
        <v>0</v>
      </c>
      <c r="I80" s="8" t="n">
        <v>0</v>
      </c>
      <c r="J80" s="8" t="n">
        <v>0</v>
      </c>
      <c r="K80" s="9" t="n">
        <v>0</v>
      </c>
      <c r="L80" s="9" t="n">
        <v>0</v>
      </c>
      <c r="M80" s="9" t="n">
        <v>0</v>
      </c>
      <c r="N80" s="9" t="n">
        <v>0</v>
      </c>
      <c r="O80" s="10" t="n">
        <v>0</v>
      </c>
      <c r="P80" s="10" t="n">
        <v>0</v>
      </c>
      <c r="Q80" s="10" t="n">
        <v>0</v>
      </c>
      <c r="R80" s="10" t="n">
        <v>0</v>
      </c>
      <c r="S80" s="10" t="n">
        <v>0</v>
      </c>
    </row>
    <row r="81" ht="25" customHeight="1">
      <c r="A81" s="6">
        <f>IFERROR(__xludf.DUMMYFUNCTION("""COMPUTED_VALUE"""),"Scenario-Six thinking hats")</f>
        <v/>
      </c>
      <c r="B81" s="6">
        <f>IFERROR(__xludf.DUMMYFUNCTION("""COMPUTED_VALUE"""),"Space")</f>
        <v/>
      </c>
      <c r="C81" s="6">
        <f>IFERROR(__xludf.DUMMYFUNCTION("""COMPUTED_VALUE"""),"Investigation")</f>
        <v/>
      </c>
      <c r="D81" s="7">
        <f>IFERROR(__xludf.DUMMYFUNCTION("""COMPUTED_VALUE"""),"No task description")</f>
        <v/>
      </c>
      <c r="E81" s="7">
        <f>IFERROR(__xludf.DUMMYFUNCTION("""COMPUTED_VALUE"""),"No artifact embedded")</f>
        <v/>
      </c>
      <c r="F81" s="7" t="n"/>
      <c r="G81" s="8" t="n">
        <v>0</v>
      </c>
      <c r="H81" s="8" t="n">
        <v>0</v>
      </c>
      <c r="I81" s="8" t="n">
        <v>0</v>
      </c>
      <c r="J81" s="8" t="n">
        <v>0</v>
      </c>
      <c r="K81" s="9" t="n">
        <v>0</v>
      </c>
      <c r="L81" s="9" t="n">
        <v>0</v>
      </c>
      <c r="M81" s="9" t="n">
        <v>0</v>
      </c>
      <c r="N81" s="9" t="n">
        <v>0</v>
      </c>
      <c r="O81" s="10" t="n">
        <v>0</v>
      </c>
      <c r="P81" s="10" t="n">
        <v>0</v>
      </c>
      <c r="Q81" s="10" t="n">
        <v>0</v>
      </c>
      <c r="R81" s="10" t="n">
        <v>0</v>
      </c>
      <c r="S81" s="10" t="n">
        <v>0</v>
      </c>
    </row>
    <row r="82" ht="409.5" customHeight="1">
      <c r="A82" s="6">
        <f>IFERROR(__xludf.DUMMYFUNCTION("""COMPUTED_VALUE"""),"Scenario-Six thinking hats")</f>
        <v/>
      </c>
      <c r="B82" s="6">
        <f>IFERROR(__xludf.DUMMYFUNCTION("""COMPUTED_VALUE"""),"Resource")</f>
        <v/>
      </c>
      <c r="C82" s="6">
        <f>IFERROR(__xludf.DUMMYFUNCTION("""COMPUTED_VALUE"""),"InvestigationTextBox.graasp")</f>
        <v/>
      </c>
      <c r="D82" s="7">
        <f>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
      </c>
      <c r="E82" s="7">
        <f>IFERROR(__xludf.DUMMYFUNCTION("""COMPUTED_VALUE"""),"No artifact embedded")</f>
        <v/>
      </c>
      <c r="F82" s="7" t="n"/>
      <c r="G82" s="8" t="n">
        <v>0</v>
      </c>
      <c r="H82" s="8" t="n">
        <v>0</v>
      </c>
      <c r="I82" s="8" t="n">
        <v>0</v>
      </c>
      <c r="J82" s="8" t="n">
        <v>0</v>
      </c>
      <c r="K82" s="9" t="n">
        <v>0</v>
      </c>
      <c r="L82" s="9" t="n">
        <v>0</v>
      </c>
      <c r="M82" s="9" t="n">
        <v>0</v>
      </c>
      <c r="N82" s="9" t="n">
        <v>0</v>
      </c>
      <c r="O82" s="10" t="n">
        <v>0</v>
      </c>
      <c r="P82" s="10" t="n">
        <v>0</v>
      </c>
      <c r="Q82" s="10" t="n">
        <v>0</v>
      </c>
      <c r="R82" s="10" t="n">
        <v>0</v>
      </c>
      <c r="S82" s="10" t="n">
        <v>0</v>
      </c>
    </row>
    <row r="83" ht="25" customHeight="1">
      <c r="A83" s="6">
        <f>IFERROR(__xludf.DUMMYFUNCTION("""COMPUTED_VALUE"""),"Scenario-Six thinking hats")</f>
        <v/>
      </c>
      <c r="B83" s="6">
        <f>IFERROR(__xludf.DUMMYFUNCTION("""COMPUTED_VALUE"""),"Space")</f>
        <v/>
      </c>
      <c r="C83" s="6">
        <f>IFERROR(__xludf.DUMMYFUNCTION("""COMPUTED_VALUE"""),"Conclusion")</f>
        <v/>
      </c>
      <c r="D83" s="7">
        <f>IFERROR(__xludf.DUMMYFUNCTION("""COMPUTED_VALUE"""),"No task description")</f>
        <v/>
      </c>
      <c r="E83" s="7">
        <f>IFERROR(__xludf.DUMMYFUNCTION("""COMPUTED_VALUE"""),"No artifact embedded")</f>
        <v/>
      </c>
      <c r="F83" s="7" t="n"/>
      <c r="G83" s="8" t="n">
        <v>0</v>
      </c>
      <c r="H83" s="8" t="n">
        <v>0</v>
      </c>
      <c r="I83" s="8" t="n">
        <v>0</v>
      </c>
      <c r="J83" s="8" t="n">
        <v>0</v>
      </c>
      <c r="K83" s="9" t="n">
        <v>0</v>
      </c>
      <c r="L83" s="9" t="n">
        <v>0</v>
      </c>
      <c r="M83" s="9" t="n">
        <v>0</v>
      </c>
      <c r="N83" s="9" t="n">
        <v>0</v>
      </c>
      <c r="O83" s="10" t="n">
        <v>0</v>
      </c>
      <c r="P83" s="10" t="n">
        <v>0</v>
      </c>
      <c r="Q83" s="10" t="n">
        <v>0</v>
      </c>
      <c r="R83" s="10" t="n">
        <v>0</v>
      </c>
      <c r="S83" s="10" t="n">
        <v>0</v>
      </c>
    </row>
    <row r="84" ht="409.5" customHeight="1">
      <c r="A84" s="6">
        <f>IFERROR(__xludf.DUMMYFUNCTION("""COMPUTED_VALUE"""),"Scenario-Six thinking hats")</f>
        <v/>
      </c>
      <c r="B84" s="6">
        <f>IFERROR(__xludf.DUMMYFUNCTION("""COMPUTED_VALUE"""),"Resource")</f>
        <v/>
      </c>
      <c r="C84" s="6">
        <f>IFERROR(__xludf.DUMMYFUNCTION("""COMPUTED_VALUE"""),"ConclusionTextBox.graasp")</f>
        <v/>
      </c>
      <c r="D84" s="7">
        <f>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
      </c>
      <c r="E84" s="7">
        <f>IFERROR(__xludf.DUMMYFUNCTION("""COMPUTED_VALUE"""),"No artifact embedded")</f>
        <v/>
      </c>
      <c r="F84" s="7" t="n"/>
      <c r="G84" s="8" t="n">
        <v>0</v>
      </c>
      <c r="H84" s="8" t="n">
        <v>0</v>
      </c>
      <c r="I84" s="8" t="n">
        <v>0</v>
      </c>
      <c r="J84" s="8" t="n">
        <v>0</v>
      </c>
      <c r="K84" s="9" t="n">
        <v>0</v>
      </c>
      <c r="L84" s="9" t="n">
        <v>0</v>
      </c>
      <c r="M84" s="9" t="n">
        <v>0</v>
      </c>
      <c r="N84" s="9" t="n">
        <v>0</v>
      </c>
      <c r="O84" s="10" t="n">
        <v>0</v>
      </c>
      <c r="P84" s="10" t="n">
        <v>0</v>
      </c>
      <c r="Q84" s="10" t="n">
        <v>0</v>
      </c>
      <c r="R84" s="10" t="n">
        <v>0</v>
      </c>
      <c r="S84" s="10" t="n">
        <v>0</v>
      </c>
    </row>
    <row r="85" ht="25" customHeight="1">
      <c r="A85" s="6">
        <f>IFERROR(__xludf.DUMMYFUNCTION("""COMPUTED_VALUE"""),"Scenario-Six thinking hats")</f>
        <v/>
      </c>
      <c r="B85" s="6">
        <f>IFERROR(__xludf.DUMMYFUNCTION("""COMPUTED_VALUE"""),"Space")</f>
        <v/>
      </c>
      <c r="C85" s="6">
        <f>IFERROR(__xludf.DUMMYFUNCTION("""COMPUTED_VALUE"""),"Discussion")</f>
        <v/>
      </c>
      <c r="D85" s="7">
        <f>IFERROR(__xludf.DUMMYFUNCTION("""COMPUTED_VALUE"""),"No task description")</f>
        <v/>
      </c>
      <c r="E85" s="7">
        <f>IFERROR(__xludf.DUMMYFUNCTION("""COMPUTED_VALUE"""),"No artifact embedded")</f>
        <v/>
      </c>
      <c r="F85" s="7" t="n"/>
      <c r="G85" s="8" t="n">
        <v>0</v>
      </c>
      <c r="H85" s="8" t="n">
        <v>0</v>
      </c>
      <c r="I85" s="8" t="n">
        <v>0</v>
      </c>
      <c r="J85" s="8" t="n">
        <v>0</v>
      </c>
      <c r="K85" s="9" t="n">
        <v>0</v>
      </c>
      <c r="L85" s="9" t="n">
        <v>0</v>
      </c>
      <c r="M85" s="9" t="n">
        <v>0</v>
      </c>
      <c r="N85" s="9" t="n">
        <v>0</v>
      </c>
      <c r="O85" s="10" t="n">
        <v>0</v>
      </c>
      <c r="P85" s="10" t="n">
        <v>0</v>
      </c>
      <c r="Q85" s="10" t="n">
        <v>0</v>
      </c>
      <c r="R85" s="10" t="n">
        <v>0</v>
      </c>
      <c r="S85" s="10" t="n">
        <v>0</v>
      </c>
    </row>
    <row r="86" ht="409.5" customHeight="1">
      <c r="A86" s="6">
        <f>IFERROR(__xludf.DUMMYFUNCTION("""COMPUTED_VALUE"""),"Scenario-Six thinking hats")</f>
        <v/>
      </c>
      <c r="B86" s="6">
        <f>IFERROR(__xludf.DUMMYFUNCTION("""COMPUTED_VALUE"""),"Resource")</f>
        <v/>
      </c>
      <c r="C86" s="6">
        <f>IFERROR(__xludf.DUMMYFUNCTION("""COMPUTED_VALUE"""),"DiscussionTextBox.graasp")</f>
        <v/>
      </c>
      <c r="D86" s="7">
        <f>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
      </c>
      <c r="E86" s="7">
        <f>IFERROR(__xludf.DUMMYFUNCTION("""COMPUTED_VALUE"""),"No artifact embedded")</f>
        <v/>
      </c>
      <c r="F86" s="7" t="n"/>
      <c r="G86" s="8" t="n">
        <v>0</v>
      </c>
      <c r="H86" s="8" t="n">
        <v>0</v>
      </c>
      <c r="I86" s="8" t="n">
        <v>0</v>
      </c>
      <c r="J86" s="8" t="n">
        <v>0</v>
      </c>
      <c r="K86" s="9" t="n">
        <v>0</v>
      </c>
      <c r="L86" s="9" t="n">
        <v>0</v>
      </c>
      <c r="M86" s="9" t="n">
        <v>0</v>
      </c>
      <c r="N86" s="9" t="n">
        <v>0</v>
      </c>
      <c r="O86" s="10" t="n">
        <v>0</v>
      </c>
      <c r="P86" s="10" t="n">
        <v>0</v>
      </c>
      <c r="Q86" s="10" t="n">
        <v>0</v>
      </c>
      <c r="R86" s="10" t="n">
        <v>0</v>
      </c>
      <c r="S86" s="10" t="n">
        <v>0</v>
      </c>
    </row>
    <row r="87" ht="409.5" customHeight="1">
      <c r="A87" s="6">
        <f>IFERROR(__xludf.DUMMYFUNCTION("""COMPUTED_VALUE"""),"Scenario-Six thinking hats")</f>
        <v/>
      </c>
      <c r="B87" s="6">
        <f>IFERROR(__xludf.DUMMYFUNCTION("""COMPUTED_VALUE"""),"Resource")</f>
        <v/>
      </c>
      <c r="C87" s="6">
        <f>IFERROR(__xludf.DUMMYFUNCTION("""COMPUTED_VALUE"""),"Six-Thinking-Hats.pdf")</f>
        <v/>
      </c>
      <c r="D87" s="7">
        <f>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
      </c>
      <c r="E87" s="7">
        <f>IFERROR(__xludf.DUMMYFUNCTION("""COMPUTED_VALUE"""),"No artifact embedded")</f>
        <v/>
      </c>
      <c r="F87" s="7" t="n"/>
      <c r="G87" s="8" t="n">
        <v>0</v>
      </c>
      <c r="H87" s="8" t="n">
        <v>0</v>
      </c>
      <c r="I87" s="8" t="n">
        <v>0</v>
      </c>
      <c r="J87" s="8" t="n">
        <v>0</v>
      </c>
      <c r="K87" s="9" t="n">
        <v>0</v>
      </c>
      <c r="L87" s="9" t="n">
        <v>0</v>
      </c>
      <c r="M87" s="9" t="n">
        <v>0</v>
      </c>
      <c r="N87" s="9" t="n">
        <v>0</v>
      </c>
      <c r="O87" s="10" t="n">
        <v>0</v>
      </c>
      <c r="P87" s="10" t="n">
        <v>0</v>
      </c>
      <c r="Q87" s="10" t="n">
        <v>0</v>
      </c>
      <c r="R87" s="10" t="n">
        <v>0</v>
      </c>
      <c r="S87" s="10" t="n">
        <v>0</v>
      </c>
    </row>
    <row r="88" ht="25" customHeight="1">
      <c r="A88" s="6">
        <f>IFERROR(__xludf.DUMMYFUNCTION("""COMPUTED_VALUE"""),"Trigonometry (Math)")</f>
        <v/>
      </c>
      <c r="B88" s="6">
        <f>IFERROR(__xludf.DUMMYFUNCTION("""COMPUTED_VALUE"""),"Space")</f>
        <v/>
      </c>
      <c r="C88" s="6">
        <f>IFERROR(__xludf.DUMMYFUNCTION("""COMPUTED_VALUE"""),"Orientation")</f>
        <v/>
      </c>
      <c r="D88" s="7">
        <f>IFERROR(__xludf.DUMMYFUNCTION("""COMPUTED_VALUE"""),"&lt;p&gt;Trigonometry&lt;/p&gt;")</f>
        <v/>
      </c>
      <c r="E88" s="7">
        <f>IFERROR(__xludf.DUMMYFUNCTION("""COMPUTED_VALUE"""),"No artifact embedded")</f>
        <v/>
      </c>
      <c r="F88" s="7" t="n"/>
      <c r="G88" s="8" t="n">
        <v>0</v>
      </c>
      <c r="H88" s="8" t="n">
        <v>0</v>
      </c>
      <c r="I88" s="8" t="n">
        <v>0</v>
      </c>
      <c r="J88" s="8" t="n">
        <v>0</v>
      </c>
      <c r="K88" s="9" t="n">
        <v>0</v>
      </c>
      <c r="L88" s="9" t="n">
        <v>0</v>
      </c>
      <c r="M88" s="9" t="n">
        <v>0</v>
      </c>
      <c r="N88" s="9" t="n">
        <v>0</v>
      </c>
      <c r="O88" s="10" t="n">
        <v>0</v>
      </c>
      <c r="P88" s="10" t="n">
        <v>0</v>
      </c>
      <c r="Q88" s="10" t="n">
        <v>0</v>
      </c>
      <c r="R88" s="10" t="n">
        <v>0</v>
      </c>
      <c r="S88" s="10" t="n">
        <v>0</v>
      </c>
    </row>
    <row r="89" ht="121" customHeight="1">
      <c r="A89" s="6">
        <f>IFERROR(__xludf.DUMMYFUNCTION("""COMPUTED_VALUE"""),"Trigonometry (Math)")</f>
        <v/>
      </c>
      <c r="B89" s="6">
        <f>IFERROR(__xludf.DUMMYFUNCTION("""COMPUTED_VALUE"""),"Resource")</f>
        <v/>
      </c>
      <c r="C89" s="6">
        <f>IFERROR(__xludf.DUMMYFUNCTION("""COMPUTED_VALUE"""),"Optimized-shutterstock_277837433-768x576.jpg")</f>
        <v/>
      </c>
      <c r="D89" s="7">
        <f>IFERROR(__xludf.DUMMYFUNCTION("""COMPUTED_VALUE"""),"No task description")</f>
        <v/>
      </c>
      <c r="E89" s="7">
        <f>IFERROR(__xludf.DUMMYFUNCTION("""COMPUTED_VALUE"""),"image/jpeg – A digital photograph or web image stored in a compressed format, often used for photography and web graphics.")</f>
        <v/>
      </c>
      <c r="F89" s="7" t="n"/>
      <c r="G89" s="8" t="n">
        <v>0</v>
      </c>
      <c r="H89" s="8" t="n">
        <v>0</v>
      </c>
      <c r="I89" s="8" t="n">
        <v>0</v>
      </c>
      <c r="J89" s="8" t="n">
        <v>0</v>
      </c>
      <c r="K89" s="9" t="n">
        <v>0</v>
      </c>
      <c r="L89" s="9" t="n">
        <v>0</v>
      </c>
      <c r="M89" s="9" t="n">
        <v>0</v>
      </c>
      <c r="N89" s="9" t="n">
        <v>0</v>
      </c>
      <c r="O89" s="10" t="n">
        <v>0</v>
      </c>
      <c r="P89" s="10" t="n">
        <v>0</v>
      </c>
      <c r="Q89" s="10" t="n">
        <v>0</v>
      </c>
      <c r="R89" s="10" t="n">
        <v>0</v>
      </c>
      <c r="S89" s="10" t="n">
        <v>0</v>
      </c>
    </row>
    <row r="90" ht="384" customHeight="1">
      <c r="A90" s="6">
        <f>IFERROR(__xludf.DUMMYFUNCTION("""COMPUTED_VALUE"""),"Trigonometry (Math)")</f>
        <v/>
      </c>
      <c r="B90" s="6">
        <f>IFERROR(__xludf.DUMMYFUNCTION("""COMPUTED_VALUE"""),"Resource")</f>
        <v/>
      </c>
      <c r="C90" s="6">
        <f>IFERROR(__xludf.DUMMYFUNCTION("""COMPUTED_VALUE"""),"Intro.graasp")</f>
        <v/>
      </c>
      <c r="D90" s="7">
        <f>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
      </c>
      <c r="E90" s="7">
        <f>IFERROR(__xludf.DUMMYFUNCTION("""COMPUTED_VALUE"""),"No artifact embedded")</f>
        <v/>
      </c>
      <c r="F90" s="7" t="n"/>
      <c r="G90" s="8" t="n">
        <v>1</v>
      </c>
      <c r="H90" s="8" t="n">
        <v>0</v>
      </c>
      <c r="I90" s="8" t="n">
        <v>0</v>
      </c>
      <c r="J90" s="8" t="n">
        <v>0</v>
      </c>
      <c r="K90" s="9" t="n">
        <v>1</v>
      </c>
      <c r="L90" s="9" t="n">
        <v>0</v>
      </c>
      <c r="M90" s="9" t="n">
        <v>0</v>
      </c>
      <c r="N90" s="9" t="n">
        <v>0</v>
      </c>
      <c r="O90" s="10" t="n">
        <v>1</v>
      </c>
      <c r="P90" s="10" t="n">
        <v>0</v>
      </c>
      <c r="Q90" s="10" t="n">
        <v>0</v>
      </c>
      <c r="R90" s="10" t="n">
        <v>0</v>
      </c>
      <c r="S90" s="10" t="n">
        <v>0</v>
      </c>
    </row>
    <row r="91" ht="121" customHeight="1">
      <c r="A91" s="6">
        <f>IFERROR(__xludf.DUMMYFUNCTION("""COMPUTED_VALUE"""),"Trigonometry (Math)")</f>
        <v/>
      </c>
      <c r="B91" s="6">
        <f>IFERROR(__xludf.DUMMYFUNCTION("""COMPUTED_VALUE"""),"Resource")</f>
        <v/>
      </c>
      <c r="C91" s="6">
        <f>IFERROR(__xludf.DUMMYFUNCTION("""COMPUTED_VALUE"""),"Trig Tour Video - Made with Clipchamp.mp4")</f>
        <v/>
      </c>
      <c r="D91" s="7">
        <f>IFERROR(__xludf.DUMMYFUNCTION("""COMPUTED_VALUE"""),"No task description")</f>
        <v/>
      </c>
      <c r="E91" s="7">
        <f>IFERROR(__xludf.DUMMYFUNCTION("""COMPUTED_VALUE"""),"video/mp4 – A video file containing moving images and possibly audio, suitable for playback on most modern devices and platforms.")</f>
        <v/>
      </c>
      <c r="F91" s="7" t="n"/>
      <c r="G91" s="8" t="n">
        <v>1</v>
      </c>
      <c r="H91" s="8" t="n">
        <v>0</v>
      </c>
      <c r="I91" s="8" t="n">
        <v>0</v>
      </c>
      <c r="J91" s="8" t="n">
        <v>0</v>
      </c>
      <c r="K91" s="9" t="n">
        <v>1</v>
      </c>
      <c r="L91" s="9" t="n">
        <v>0</v>
      </c>
      <c r="M91" s="9" t="n">
        <v>0</v>
      </c>
      <c r="N91" s="9" t="n">
        <v>0</v>
      </c>
      <c r="O91" s="10" t="n">
        <v>0</v>
      </c>
      <c r="P91" s="10" t="n">
        <v>0</v>
      </c>
      <c r="Q91" s="10" t="n">
        <v>0</v>
      </c>
      <c r="R91" s="10" t="n">
        <v>0</v>
      </c>
      <c r="S91" s="10" t="n">
        <v>0</v>
      </c>
    </row>
    <row r="92" ht="121" customHeight="1">
      <c r="A92" s="6">
        <f>IFERROR(__xludf.DUMMYFUNCTION("""COMPUTED_VALUE"""),"Trigonometry (Math)")</f>
        <v/>
      </c>
      <c r="B92" s="6">
        <f>IFERROR(__xludf.DUMMYFUNCTION("""COMPUTED_VALUE"""),"Resource")</f>
        <v/>
      </c>
      <c r="C92" s="6">
        <f>IFERROR(__xludf.DUMMYFUNCTION("""COMPUTED_VALUE"""),"a3.JPG")</f>
        <v/>
      </c>
      <c r="D92" s="7">
        <f>IFERROR(__xludf.DUMMYFUNCTION("""COMPUTED_VALUE"""),"No task description")</f>
        <v/>
      </c>
      <c r="E92" s="7">
        <f>IFERROR(__xludf.DUMMYFUNCTION("""COMPUTED_VALUE"""),"image/jpeg – A digital photograph or web image stored in a compressed format, often used for photography and web graphics.")</f>
        <v/>
      </c>
      <c r="F92" s="7" t="n"/>
      <c r="G92" s="8" t="n">
        <v>0</v>
      </c>
      <c r="H92" s="8" t="n">
        <v>0</v>
      </c>
      <c r="I92" s="8" t="n">
        <v>0</v>
      </c>
      <c r="J92" s="8" t="n">
        <v>0</v>
      </c>
      <c r="K92" s="9" t="n">
        <v>0</v>
      </c>
      <c r="L92" s="9" t="n">
        <v>0</v>
      </c>
      <c r="M92" s="9" t="n">
        <v>0</v>
      </c>
      <c r="N92" s="9" t="n">
        <v>0</v>
      </c>
      <c r="O92" s="10" t="n">
        <v>0</v>
      </c>
      <c r="P92" s="10" t="n">
        <v>0</v>
      </c>
      <c r="Q92" s="10" t="n">
        <v>0</v>
      </c>
      <c r="R92" s="10" t="n">
        <v>0</v>
      </c>
      <c r="S92" s="10" t="n">
        <v>0</v>
      </c>
    </row>
    <row r="93" ht="25" customHeight="1">
      <c r="A93" s="6">
        <f>IFERROR(__xludf.DUMMYFUNCTION("""COMPUTED_VALUE"""),"Trigonometry (Math)")</f>
        <v/>
      </c>
      <c r="B93" s="6">
        <f>IFERROR(__xludf.DUMMYFUNCTION("""COMPUTED_VALUE"""),"Space")</f>
        <v/>
      </c>
      <c r="C93" s="6">
        <f>IFERROR(__xludf.DUMMYFUNCTION("""COMPUTED_VALUE"""),"Conceptualisation")</f>
        <v/>
      </c>
      <c r="D93" s="7">
        <f>IFERROR(__xludf.DUMMYFUNCTION("""COMPUTED_VALUE"""),"No task description")</f>
        <v/>
      </c>
      <c r="E93" s="7">
        <f>IFERROR(__xludf.DUMMYFUNCTION("""COMPUTED_VALUE"""),"No artifact embedded")</f>
        <v/>
      </c>
      <c r="F93" s="7" t="n"/>
      <c r="G93" s="8" t="n">
        <v>0</v>
      </c>
      <c r="H93" s="8" t="n">
        <v>0</v>
      </c>
      <c r="I93" s="8" t="n">
        <v>0</v>
      </c>
      <c r="J93" s="8" t="n">
        <v>0</v>
      </c>
      <c r="K93" s="9" t="n">
        <v>0</v>
      </c>
      <c r="L93" s="9" t="n">
        <v>0</v>
      </c>
      <c r="M93" s="9" t="n">
        <v>0</v>
      </c>
      <c r="N93" s="9" t="n">
        <v>0</v>
      </c>
      <c r="O93" s="10" t="n">
        <v>0</v>
      </c>
      <c r="P93" s="10" t="n">
        <v>0</v>
      </c>
      <c r="Q93" s="10" t="n">
        <v>0</v>
      </c>
      <c r="R93" s="10" t="n">
        <v>0</v>
      </c>
      <c r="S93" s="10" t="n">
        <v>0</v>
      </c>
    </row>
    <row r="94" ht="121" customHeight="1">
      <c r="A94" s="6">
        <f>IFERROR(__xludf.DUMMYFUNCTION("""COMPUTED_VALUE"""),"Trigonometry (Math)")</f>
        <v/>
      </c>
      <c r="B94" s="6">
        <f>IFERROR(__xludf.DUMMYFUNCTION("""COMPUTED_VALUE"""),"Resource")</f>
        <v/>
      </c>
      <c r="C94" s="6">
        <f>IFERROR(__xludf.DUMMYFUNCTION("""COMPUTED_VALUE"""),"img_6501.jpg")</f>
        <v/>
      </c>
      <c r="D94" s="7">
        <f>IFERROR(__xludf.DUMMYFUNCTION("""COMPUTED_VALUE"""),"No task description")</f>
        <v/>
      </c>
      <c r="E94" s="7">
        <f>IFERROR(__xludf.DUMMYFUNCTION("""COMPUTED_VALUE"""),"image/jpeg – A digital photograph or web image stored in a compressed format, often used for photography and web graphics.")</f>
        <v/>
      </c>
      <c r="F94" s="7" t="n"/>
      <c r="G94" s="8" t="n">
        <v>0</v>
      </c>
      <c r="H94" s="8" t="n">
        <v>0</v>
      </c>
      <c r="I94" s="8" t="n">
        <v>0</v>
      </c>
      <c r="J94" s="8" t="n">
        <v>0</v>
      </c>
      <c r="K94" s="9" t="n">
        <v>0</v>
      </c>
      <c r="L94" s="9" t="n">
        <v>0</v>
      </c>
      <c r="M94" s="9" t="n">
        <v>0</v>
      </c>
      <c r="N94" s="9" t="n">
        <v>0</v>
      </c>
      <c r="O94" s="10" t="n">
        <v>0</v>
      </c>
      <c r="P94" s="10" t="n">
        <v>0</v>
      </c>
      <c r="Q94" s="10" t="n">
        <v>0</v>
      </c>
      <c r="R94" s="10" t="n">
        <v>0</v>
      </c>
      <c r="S94" s="10" t="n">
        <v>0</v>
      </c>
    </row>
    <row r="95" ht="97" customHeight="1">
      <c r="A95" s="6">
        <f>IFERROR(__xludf.DUMMYFUNCTION("""COMPUTED_VALUE"""),"Trigonometry (Math)")</f>
        <v/>
      </c>
      <c r="B95" s="6">
        <f>IFERROR(__xludf.DUMMYFUNCTION("""COMPUTED_VALUE"""),"Resource")</f>
        <v/>
      </c>
      <c r="C95" s="6">
        <f>IFERROR(__xludf.DUMMYFUNCTION("""COMPUTED_VALUE"""),"unit circle.png")</f>
        <v/>
      </c>
      <c r="D95" s="7">
        <f>IFERROR(__xludf.DUMMYFUNCTION("""COMPUTED_VALUE"""),"&lt;p&gt;                                                                   &lt;strong&gt; All About the Unit Circle&lt;/strong&gt; &lt;/p&gt;")</f>
        <v/>
      </c>
      <c r="E95" s="7">
        <f>IFERROR(__xludf.DUMMYFUNCTION("""COMPUTED_VALUE"""),"image/png – A high-quality image with support for transparency, often used in design and web applications.")</f>
        <v/>
      </c>
      <c r="F95" s="7" t="n"/>
      <c r="G95" s="8" t="n">
        <v>0</v>
      </c>
      <c r="H95" s="8" t="n">
        <v>0</v>
      </c>
      <c r="I95" s="8" t="n">
        <v>0</v>
      </c>
      <c r="J95" s="8" t="n">
        <v>0</v>
      </c>
      <c r="K95" s="9" t="n">
        <v>0</v>
      </c>
      <c r="L95" s="9" t="n">
        <v>0</v>
      </c>
      <c r="M95" s="9" t="n">
        <v>0</v>
      </c>
      <c r="N95" s="9" t="n">
        <v>0</v>
      </c>
      <c r="O95" s="10" t="n">
        <v>0</v>
      </c>
      <c r="P95" s="10" t="n">
        <v>0</v>
      </c>
      <c r="Q95" s="10" t="n">
        <v>0</v>
      </c>
      <c r="R95" s="10" t="n">
        <v>0</v>
      </c>
      <c r="S95" s="10" t="n">
        <v>0</v>
      </c>
    </row>
    <row r="96" ht="409.5" customHeight="1">
      <c r="A96" s="6">
        <f>IFERROR(__xludf.DUMMYFUNCTION("""COMPUTED_VALUE"""),"Trigonometry (Math)")</f>
        <v/>
      </c>
      <c r="B96" s="6">
        <f>IFERROR(__xludf.DUMMYFUNCTION("""COMPUTED_VALUE"""),"Resource")</f>
        <v/>
      </c>
      <c r="C96" s="6">
        <f>IFERROR(__xludf.DUMMYFUNCTION("""COMPUTED_VALUE"""),"concept.graasp")</f>
        <v/>
      </c>
      <c r="D96" s="7">
        <f>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
      </c>
      <c r="E96" s="7">
        <f>IFERROR(__xludf.DUMMYFUNCTION("""COMPUTED_VALUE"""),"No artifact embedded")</f>
        <v/>
      </c>
      <c r="F96" s="7" t="n"/>
      <c r="G96" s="8" t="n">
        <v>1</v>
      </c>
      <c r="H96" s="8" t="n">
        <v>0</v>
      </c>
      <c r="I96" s="8" t="n">
        <v>0</v>
      </c>
      <c r="J96" s="8" t="n">
        <v>0</v>
      </c>
      <c r="K96" s="9" t="n">
        <v>1</v>
      </c>
      <c r="L96" s="9" t="n">
        <v>0</v>
      </c>
      <c r="M96" s="9" t="n">
        <v>0</v>
      </c>
      <c r="N96" s="9" t="n">
        <v>0</v>
      </c>
      <c r="O96" s="10" t="n">
        <v>1</v>
      </c>
      <c r="P96" s="10" t="n">
        <v>0</v>
      </c>
      <c r="Q96" s="10" t="n">
        <v>0</v>
      </c>
      <c r="R96" s="10" t="n">
        <v>0</v>
      </c>
      <c r="S96" s="10" t="n">
        <v>0</v>
      </c>
    </row>
    <row r="97" ht="25" customHeight="1">
      <c r="A97" s="6">
        <f>IFERROR(__xludf.DUMMYFUNCTION("""COMPUTED_VALUE"""),"Trigonometry (Math)")</f>
        <v/>
      </c>
      <c r="B97" s="6">
        <f>IFERROR(__xludf.DUMMYFUNCTION("""COMPUTED_VALUE"""),"Space")</f>
        <v/>
      </c>
      <c r="C97" s="6">
        <f>IFERROR(__xludf.DUMMYFUNCTION("""COMPUTED_VALUE"""),"Investigation")</f>
        <v/>
      </c>
      <c r="D97" s="7">
        <f>IFERROR(__xludf.DUMMYFUNCTION("""COMPUTED_VALUE"""),"No task description")</f>
        <v/>
      </c>
      <c r="E97" s="7">
        <f>IFERROR(__xludf.DUMMYFUNCTION("""COMPUTED_VALUE"""),"No artifact embedded")</f>
        <v/>
      </c>
      <c r="F97" s="7" t="n"/>
      <c r="G97" s="8" t="n">
        <v>0</v>
      </c>
      <c r="H97" s="8" t="n">
        <v>0</v>
      </c>
      <c r="I97" s="8" t="n">
        <v>0</v>
      </c>
      <c r="J97" s="8" t="n">
        <v>0</v>
      </c>
      <c r="K97" s="9" t="n">
        <v>0</v>
      </c>
      <c r="L97" s="9" t="n">
        <v>0</v>
      </c>
      <c r="M97" s="9" t="n">
        <v>0</v>
      </c>
      <c r="N97" s="9" t="n">
        <v>0</v>
      </c>
      <c r="O97" s="10" t="n">
        <v>0</v>
      </c>
      <c r="P97" s="10" t="n">
        <v>0</v>
      </c>
      <c r="Q97" s="10" t="n">
        <v>0</v>
      </c>
      <c r="R97" s="10" t="n">
        <v>0</v>
      </c>
      <c r="S97" s="10" t="n">
        <v>0</v>
      </c>
    </row>
    <row r="98" ht="169" customHeight="1">
      <c r="A98" s="6">
        <f>IFERROR(__xludf.DUMMYFUNCTION("""COMPUTED_VALUE"""),"Trigonometry (Math)")</f>
        <v/>
      </c>
      <c r="B98" s="6">
        <f>IFERROR(__xludf.DUMMYFUNCTION("""COMPUTED_VALUE"""),"Application")</f>
        <v/>
      </c>
      <c r="C98" s="6">
        <f>IFERROR(__xludf.DUMMYFUNCTION("""COMPUTED_VALUE"""),"Trig Tour")</f>
        <v/>
      </c>
      <c r="D98" s="7">
        <f>IFERROR(__xludf.DUMMYFUNCTION("""COMPUTED_VALUE"""),"&lt;p&gt;Explore the Simulation by moving the red dot and write down your observation below;&lt;/p&gt;")</f>
        <v/>
      </c>
      <c r="E98" s="7">
        <f>IFERROR(__xludf.DUMMYFUNCTION("""COMPUTED_VALUE"""),"Golabz app/lab: ""&lt;p&gt;Take a tour of trigonometry using degrees or radians! Look for patterns in the values and on the graph when you change the value of theta. Compare the graphs of sine, cosine, and tangent.&lt;/p&gt;\r\n""")</f>
        <v/>
      </c>
      <c r="F98" s="7" t="n"/>
      <c r="G98" s="8" t="n">
        <v>0</v>
      </c>
      <c r="H98" s="8" t="n">
        <v>0</v>
      </c>
      <c r="I98" s="8" t="n">
        <v>1</v>
      </c>
      <c r="J98" s="8" t="n">
        <v>0</v>
      </c>
      <c r="K98" s="9" t="n">
        <v>0</v>
      </c>
      <c r="L98" s="9" t="n">
        <v>1</v>
      </c>
      <c r="M98" s="9" t="n">
        <v>0</v>
      </c>
      <c r="N98" s="9" t="n">
        <v>0</v>
      </c>
      <c r="O98" s="10" t="n">
        <v>0</v>
      </c>
      <c r="P98" s="10" t="n">
        <v>0</v>
      </c>
      <c r="Q98" s="10" t="n">
        <v>1</v>
      </c>
      <c r="R98" s="10" t="n">
        <v>0</v>
      </c>
      <c r="S98" s="10" t="n">
        <v>0</v>
      </c>
    </row>
    <row r="99" ht="329" customHeight="1">
      <c r="A99" s="6">
        <f>IFERROR(__xludf.DUMMYFUNCTION("""COMPUTED_VALUE"""),"Trigonometry (Math)")</f>
        <v/>
      </c>
      <c r="B99" s="6">
        <f>IFERROR(__xludf.DUMMYFUNCTION("""COMPUTED_VALUE"""),"Application")</f>
        <v/>
      </c>
      <c r="C99" s="6">
        <f>IFERROR(__xludf.DUMMYFUNCTION("""COMPUTED_VALUE"""),"Input Box (3)")</f>
        <v/>
      </c>
      <c r="D99" s="7">
        <f>IFERROR(__xludf.DUMMYFUNCTION("""COMPUTED_VALUE"""),"&lt;p&gt;From the unit circle on the lab, what is the radius of the circle and how do you know?&lt;/p&gt;")</f>
        <v/>
      </c>
      <c r="E9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9" s="7" t="n"/>
      <c r="G99" s="8" t="n">
        <v>0</v>
      </c>
      <c r="H99" s="8" t="n">
        <v>0</v>
      </c>
      <c r="I99" s="8" t="n">
        <v>1</v>
      </c>
      <c r="J99" s="8" t="n">
        <v>0</v>
      </c>
      <c r="K99" s="9" t="n">
        <v>0</v>
      </c>
      <c r="L99" s="9" t="n">
        <v>1</v>
      </c>
      <c r="M99" s="9" t="n">
        <v>0</v>
      </c>
      <c r="N99" s="9" t="n">
        <v>0</v>
      </c>
      <c r="O99" s="10" t="n">
        <v>0</v>
      </c>
      <c r="P99" s="10" t="n">
        <v>0</v>
      </c>
      <c r="Q99" s="10" t="n">
        <v>1</v>
      </c>
      <c r="R99" s="10" t="n">
        <v>0</v>
      </c>
      <c r="S99" s="10" t="n">
        <v>0</v>
      </c>
    </row>
    <row r="100" ht="329" customHeight="1">
      <c r="A100" s="6">
        <f>IFERROR(__xludf.DUMMYFUNCTION("""COMPUTED_VALUE"""),"Trigonometry (Math)")</f>
        <v/>
      </c>
      <c r="B100" s="6">
        <f>IFERROR(__xludf.DUMMYFUNCTION("""COMPUTED_VALUE"""),"Application")</f>
        <v/>
      </c>
      <c r="C100" s="6">
        <f>IFERROR(__xludf.DUMMYFUNCTION("""COMPUTED_VALUE"""),"Input Box (4)")</f>
        <v/>
      </c>
      <c r="D100" s="7">
        <f>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
      </c>
      <c r="E1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0" s="7" t="n"/>
      <c r="G100" s="8" t="n">
        <v>0</v>
      </c>
      <c r="H100" s="8" t="n">
        <v>0</v>
      </c>
      <c r="I100" s="8" t="n">
        <v>1</v>
      </c>
      <c r="J100" s="8" t="n">
        <v>0</v>
      </c>
      <c r="K100" s="9" t="n">
        <v>0</v>
      </c>
      <c r="L100" s="9" t="n">
        <v>1</v>
      </c>
      <c r="M100" s="9" t="n">
        <v>0</v>
      </c>
      <c r="N100" s="9" t="n">
        <v>0</v>
      </c>
      <c r="O100" s="10" t="n">
        <v>0</v>
      </c>
      <c r="P100" s="10" t="n">
        <v>0</v>
      </c>
      <c r="Q100" s="10" t="n">
        <v>1</v>
      </c>
      <c r="R100" s="10" t="n">
        <v>0</v>
      </c>
      <c r="S100" s="10" t="n">
        <v>0</v>
      </c>
    </row>
    <row r="101" ht="329" customHeight="1">
      <c r="A101" s="6">
        <f>IFERROR(__xludf.DUMMYFUNCTION("""COMPUTED_VALUE"""),"Trigonometry (Math)")</f>
        <v/>
      </c>
      <c r="B101" s="6">
        <f>IFERROR(__xludf.DUMMYFUNCTION("""COMPUTED_VALUE"""),"Application")</f>
        <v/>
      </c>
      <c r="C101" s="6">
        <f>IFERROR(__xludf.DUMMYFUNCTION("""COMPUTED_VALUE"""),"Input Box")</f>
        <v/>
      </c>
      <c r="D101" s="7">
        <f>IFERROR(__xludf.DUMMYFUNCTION("""COMPUTED_VALUE"""),"&lt;p&gt;Click on sin, then look at the values of SIN \theta as you move the red dot in an anti-clock direction round about the circle. What do you notice?&lt;/p&gt;")</f>
        <v/>
      </c>
      <c r="E10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1" s="7" t="n"/>
      <c r="G101" s="8" t="n">
        <v>0</v>
      </c>
      <c r="H101" s="8" t="n">
        <v>0</v>
      </c>
      <c r="I101" s="8" t="n">
        <v>1</v>
      </c>
      <c r="J101" s="8" t="n">
        <v>0</v>
      </c>
      <c r="K101" s="9" t="n">
        <v>0</v>
      </c>
      <c r="L101" s="9" t="n">
        <v>1</v>
      </c>
      <c r="M101" s="9" t="n">
        <v>0</v>
      </c>
      <c r="N101" s="9" t="n">
        <v>0</v>
      </c>
      <c r="O101" s="10" t="n">
        <v>0</v>
      </c>
      <c r="P101" s="10" t="n">
        <v>0</v>
      </c>
      <c r="Q101" s="10" t="n">
        <v>1</v>
      </c>
      <c r="R101" s="10" t="n">
        <v>0</v>
      </c>
      <c r="S101" s="10" t="n">
        <v>0</v>
      </c>
    </row>
    <row r="102" ht="329" customHeight="1">
      <c r="A102" s="6">
        <f>IFERROR(__xludf.DUMMYFUNCTION("""COMPUTED_VALUE"""),"Trigonometry (Math)")</f>
        <v/>
      </c>
      <c r="B102" s="6">
        <f>IFERROR(__xludf.DUMMYFUNCTION("""COMPUTED_VALUE"""),"Application")</f>
        <v/>
      </c>
      <c r="C102" s="6">
        <f>IFERROR(__xludf.DUMMYFUNCTION("""COMPUTED_VALUE"""),"Input Box (1)")</f>
        <v/>
      </c>
      <c r="D102" s="7">
        <f>IFERROR(__xludf.DUMMYFUNCTION("""COMPUTED_VALUE"""),"&lt;p&gt;Click on cos, then look at the values of COS theta as you move the red dot in an anti-clock direction round about the circle. What do you notice?&lt;/p&gt;")</f>
        <v/>
      </c>
      <c r="E1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2" s="7" t="n"/>
      <c r="G102" s="8" t="n">
        <v>0</v>
      </c>
      <c r="H102" s="8" t="n">
        <v>0</v>
      </c>
      <c r="I102" s="8" t="n">
        <v>1</v>
      </c>
      <c r="J102" s="8" t="n">
        <v>0</v>
      </c>
      <c r="K102" s="9" t="n">
        <v>0</v>
      </c>
      <c r="L102" s="9" t="n">
        <v>1</v>
      </c>
      <c r="M102" s="9" t="n">
        <v>0</v>
      </c>
      <c r="N102" s="9" t="n">
        <v>0</v>
      </c>
      <c r="O102" s="10" t="n">
        <v>0</v>
      </c>
      <c r="P102" s="10" t="n">
        <v>0</v>
      </c>
      <c r="Q102" s="10" t="n">
        <v>1</v>
      </c>
      <c r="R102" s="10" t="n">
        <v>0</v>
      </c>
      <c r="S102" s="10" t="n">
        <v>0</v>
      </c>
    </row>
    <row r="103" ht="329" customHeight="1">
      <c r="A103" s="6">
        <f>IFERROR(__xludf.DUMMYFUNCTION("""COMPUTED_VALUE"""),"Trigonometry (Math)")</f>
        <v/>
      </c>
      <c r="B103" s="6">
        <f>IFERROR(__xludf.DUMMYFUNCTION("""COMPUTED_VALUE"""),"Application")</f>
        <v/>
      </c>
      <c r="C103" s="6">
        <f>IFERROR(__xludf.DUMMYFUNCTION("""COMPUTED_VALUE"""),"Input Box (2)")</f>
        <v/>
      </c>
      <c r="D103" s="7">
        <f>IFERROR(__xludf.DUMMYFUNCTION("""COMPUTED_VALUE"""),"&lt;p&gt;Click on tan, then look at the values of TAN theta as you move the red dot in an anti-clock direction round about the circle. What do you notice?&lt;/p&gt;")</f>
        <v/>
      </c>
      <c r="E1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3" s="7" t="n"/>
      <c r="G103" s="8" t="n">
        <v>0</v>
      </c>
      <c r="H103" s="8" t="n">
        <v>0</v>
      </c>
      <c r="I103" s="8" t="n">
        <v>1</v>
      </c>
      <c r="J103" s="8" t="n">
        <v>0</v>
      </c>
      <c r="K103" s="9" t="n">
        <v>0</v>
      </c>
      <c r="L103" s="9" t="n">
        <v>1</v>
      </c>
      <c r="M103" s="9" t="n">
        <v>0</v>
      </c>
      <c r="N103" s="9" t="n">
        <v>0</v>
      </c>
      <c r="O103" s="10" t="n">
        <v>0</v>
      </c>
      <c r="P103" s="10" t="n">
        <v>0</v>
      </c>
      <c r="Q103" s="10" t="n">
        <v>1</v>
      </c>
      <c r="R103" s="10" t="n">
        <v>0</v>
      </c>
      <c r="S103" s="10" t="n">
        <v>0</v>
      </c>
    </row>
    <row r="104" ht="217" customHeight="1">
      <c r="A104" s="6">
        <f>IFERROR(__xludf.DUMMYFUNCTION("""COMPUTED_VALUE"""),"Trigonometry (Math)")</f>
        <v/>
      </c>
      <c r="B104" s="6">
        <f>IFERROR(__xludf.DUMMYFUNCTION("""COMPUTED_VALUE"""),"Resource")</f>
        <v/>
      </c>
      <c r="C104" s="6">
        <f>IFERROR(__xludf.DUMMYFUNCTION("""COMPUTED_VALUE"""),"table text.graasp")</f>
        <v/>
      </c>
      <c r="D104" s="7">
        <f>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
      </c>
      <c r="E104" s="7">
        <f>IFERROR(__xludf.DUMMYFUNCTION("""COMPUTED_VALUE"""),"No artifact embedded")</f>
        <v/>
      </c>
      <c r="F104" s="7" t="n"/>
      <c r="G104" s="8" t="n">
        <v>0</v>
      </c>
      <c r="H104" s="8" t="n">
        <v>0</v>
      </c>
      <c r="I104" s="8" t="n">
        <v>1</v>
      </c>
      <c r="J104" s="8" t="n">
        <v>0</v>
      </c>
      <c r="K104" s="9" t="n">
        <v>0</v>
      </c>
      <c r="L104" s="9" t="n">
        <v>1</v>
      </c>
      <c r="M104" s="9" t="n">
        <v>0</v>
      </c>
      <c r="N104" s="9" t="n">
        <v>0</v>
      </c>
      <c r="O104" s="10" t="n">
        <v>0</v>
      </c>
      <c r="P104" s="10" t="n">
        <v>0</v>
      </c>
      <c r="Q104" s="10" t="n">
        <v>1</v>
      </c>
      <c r="R104" s="10" t="n">
        <v>0</v>
      </c>
      <c r="S104" s="10" t="n">
        <v>0</v>
      </c>
    </row>
    <row r="105" ht="97" customHeight="1">
      <c r="A105" s="6">
        <f>IFERROR(__xludf.DUMMYFUNCTION("""COMPUTED_VALUE"""),"Trigonometry (Math)")</f>
        <v/>
      </c>
      <c r="B105" s="6">
        <f>IFERROR(__xludf.DUMMYFUNCTION("""COMPUTED_VALUE"""),"Resource")</f>
        <v/>
      </c>
      <c r="C105" s="6">
        <f>IFERROR(__xludf.DUMMYFUNCTION("""COMPUTED_VALUE"""),"Untitled.png2.png")</f>
        <v/>
      </c>
      <c r="D105" s="7">
        <f>IFERROR(__xludf.DUMMYFUNCTION("""COMPUTED_VALUE"""),"No task description")</f>
        <v/>
      </c>
      <c r="E105" s="7">
        <f>IFERROR(__xludf.DUMMYFUNCTION("""COMPUTED_VALUE"""),"image/png – A high-quality image with support for transparency, often used in design and web applications.")</f>
        <v/>
      </c>
      <c r="F105" s="7" t="n"/>
      <c r="G105" s="8" t="n">
        <v>1</v>
      </c>
      <c r="H105" s="8" t="n">
        <v>0</v>
      </c>
      <c r="I105" s="8" t="n">
        <v>0</v>
      </c>
      <c r="J105" s="8" t="n">
        <v>0</v>
      </c>
      <c r="K105" s="9" t="n">
        <v>1</v>
      </c>
      <c r="L105" s="9" t="n">
        <v>0</v>
      </c>
      <c r="M105" s="9" t="n">
        <v>0</v>
      </c>
      <c r="N105" s="9" t="n">
        <v>0</v>
      </c>
      <c r="O105" s="10" t="n">
        <v>0</v>
      </c>
      <c r="P105" s="10" t="n">
        <v>0</v>
      </c>
      <c r="Q105" s="10" t="n">
        <v>0</v>
      </c>
      <c r="R105" s="10" t="n">
        <v>0</v>
      </c>
      <c r="S105" s="10" t="n">
        <v>0</v>
      </c>
    </row>
    <row r="106" ht="409.5" customHeight="1">
      <c r="A106" s="6">
        <f>IFERROR(__xludf.DUMMYFUNCTION("""COMPUTED_VALUE"""),"Trigonometry (Math)")</f>
        <v/>
      </c>
      <c r="B106" s="6">
        <f>IFERROR(__xludf.DUMMYFUNCTION("""COMPUTED_VALUE"""),"Application")</f>
        <v/>
      </c>
      <c r="C106" s="6">
        <f>IFERROR(__xludf.DUMMYFUNCTION("""COMPUTED_VALUE"""),"Table Tool")</f>
        <v/>
      </c>
      <c r="D106" s="7">
        <f>IFERROR(__xludf.DUMMYFUNCTION("""COMPUTED_VALUE"""),"No task description")</f>
        <v/>
      </c>
      <c r="E10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06" s="7" t="n"/>
      <c r="G106" s="8" t="n">
        <v>0</v>
      </c>
      <c r="H106" s="8" t="n">
        <v>0</v>
      </c>
      <c r="I106" s="8" t="n">
        <v>1</v>
      </c>
      <c r="J106" s="8" t="n">
        <v>0</v>
      </c>
      <c r="K106" s="9" t="n">
        <v>0</v>
      </c>
      <c r="L106" s="9" t="n">
        <v>1</v>
      </c>
      <c r="M106" s="9" t="n">
        <v>0</v>
      </c>
      <c r="N106" s="9" t="n">
        <v>0</v>
      </c>
      <c r="O106" s="10" t="n">
        <v>0</v>
      </c>
      <c r="P106" s="10" t="n">
        <v>0</v>
      </c>
      <c r="Q106" s="10" t="n">
        <v>0</v>
      </c>
      <c r="R106" s="10" t="n">
        <v>0</v>
      </c>
      <c r="S106" s="10" t="n">
        <v>0</v>
      </c>
    </row>
    <row r="107" ht="25" customHeight="1">
      <c r="A107" s="6">
        <f>IFERROR(__xludf.DUMMYFUNCTION("""COMPUTED_VALUE"""),"Trigonometry (Math)")</f>
        <v/>
      </c>
      <c r="B107" s="6">
        <f>IFERROR(__xludf.DUMMYFUNCTION("""COMPUTED_VALUE"""),"Resource")</f>
        <v/>
      </c>
      <c r="C107" s="6">
        <f>IFERROR(__xludf.DUMMYFUNCTION("""COMPUTED_VALUE"""),"investigate.graasp")</f>
        <v/>
      </c>
      <c r="D107" s="7">
        <f>IFERROR(__xludf.DUMMYFUNCTION("""COMPUTED_VALUE"""),"No task description")</f>
        <v/>
      </c>
      <c r="E107" s="7">
        <f>IFERROR(__xludf.DUMMYFUNCTION("""COMPUTED_VALUE"""),"No artifact embedded")</f>
        <v/>
      </c>
      <c r="F107" s="7" t="n"/>
      <c r="G107" s="8" t="n">
        <v>0</v>
      </c>
      <c r="H107" s="8" t="n">
        <v>0</v>
      </c>
      <c r="I107" s="8" t="n">
        <v>0</v>
      </c>
      <c r="J107" s="8" t="n">
        <v>0</v>
      </c>
      <c r="K107" s="9" t="n">
        <v>0</v>
      </c>
      <c r="L107" s="9" t="n">
        <v>0</v>
      </c>
      <c r="M107" s="9" t="n">
        <v>0</v>
      </c>
      <c r="N107" s="9" t="n">
        <v>0</v>
      </c>
      <c r="O107" s="10" t="n">
        <v>0</v>
      </c>
      <c r="P107" s="10" t="n">
        <v>0</v>
      </c>
      <c r="Q107" s="10" t="n">
        <v>0</v>
      </c>
      <c r="R107" s="10" t="n">
        <v>0</v>
      </c>
      <c r="S107" s="10" t="n">
        <v>0</v>
      </c>
    </row>
    <row r="108" ht="25" customHeight="1">
      <c r="A108" s="6">
        <f>IFERROR(__xludf.DUMMYFUNCTION("""COMPUTED_VALUE"""),"Trigonometry (Math)")</f>
        <v/>
      </c>
      <c r="B108" s="6">
        <f>IFERROR(__xludf.DUMMYFUNCTION("""COMPUTED_VALUE"""),"Space")</f>
        <v/>
      </c>
      <c r="C108" s="6">
        <f>IFERROR(__xludf.DUMMYFUNCTION("""COMPUTED_VALUE"""),"Conclusion")</f>
        <v/>
      </c>
      <c r="D108" s="7">
        <f>IFERROR(__xludf.DUMMYFUNCTION("""COMPUTED_VALUE"""),"No task description")</f>
        <v/>
      </c>
      <c r="E108" s="7">
        <f>IFERROR(__xludf.DUMMYFUNCTION("""COMPUTED_VALUE"""),"No artifact embedded")</f>
        <v/>
      </c>
      <c r="F108" s="7" t="n"/>
      <c r="G108" s="8" t="n">
        <v>0</v>
      </c>
      <c r="H108" s="8" t="n">
        <v>0</v>
      </c>
      <c r="I108" s="8" t="n">
        <v>0</v>
      </c>
      <c r="J108" s="8" t="n">
        <v>0</v>
      </c>
      <c r="K108" s="9" t="n">
        <v>0</v>
      </c>
      <c r="L108" s="9" t="n">
        <v>0</v>
      </c>
      <c r="M108" s="9" t="n">
        <v>0</v>
      </c>
      <c r="N108" s="9" t="n">
        <v>0</v>
      </c>
      <c r="O108" s="10" t="n">
        <v>0</v>
      </c>
      <c r="P108" s="10" t="n">
        <v>0</v>
      </c>
      <c r="Q108" s="10" t="n">
        <v>0</v>
      </c>
      <c r="R108" s="10" t="n">
        <v>0</v>
      </c>
      <c r="S108" s="10" t="n">
        <v>0</v>
      </c>
    </row>
    <row r="109" ht="121" customHeight="1">
      <c r="A109" s="6">
        <f>IFERROR(__xludf.DUMMYFUNCTION("""COMPUTED_VALUE"""),"Trigonometry (Math)")</f>
        <v/>
      </c>
      <c r="B109" s="6">
        <f>IFERROR(__xludf.DUMMYFUNCTION("""COMPUTED_VALUE"""),"Resource")</f>
        <v/>
      </c>
      <c r="C109" s="6">
        <f>IFERROR(__xludf.DUMMYFUNCTION("""COMPUTED_VALUE"""),"mathematics-in-our-daily-life-21-638.jpg")</f>
        <v/>
      </c>
      <c r="D109" s="7">
        <f>IFERROR(__xludf.DUMMYFUNCTION("""COMPUTED_VALUE"""),"No task description")</f>
        <v/>
      </c>
      <c r="E109" s="7">
        <f>IFERROR(__xludf.DUMMYFUNCTION("""COMPUTED_VALUE"""),"image/jpeg – A digital photograph or web image stored in a compressed format, often used for photography and web graphics.")</f>
        <v/>
      </c>
      <c r="F109" s="7" t="n"/>
      <c r="G109" s="8" t="n">
        <v>0</v>
      </c>
      <c r="H109" s="8" t="n">
        <v>0</v>
      </c>
      <c r="I109" s="8" t="n">
        <v>0</v>
      </c>
      <c r="J109" s="8" t="n">
        <v>0</v>
      </c>
      <c r="K109" s="9" t="n">
        <v>0</v>
      </c>
      <c r="L109" s="9" t="n">
        <v>0</v>
      </c>
      <c r="M109" s="9" t="n">
        <v>0</v>
      </c>
      <c r="N109" s="9" t="n">
        <v>0</v>
      </c>
      <c r="O109" s="10" t="n">
        <v>0</v>
      </c>
      <c r="P109" s="10" t="n">
        <v>0</v>
      </c>
      <c r="Q109" s="10" t="n">
        <v>0</v>
      </c>
      <c r="R109" s="10" t="n">
        <v>0</v>
      </c>
      <c r="S109" s="10" t="n">
        <v>0</v>
      </c>
    </row>
    <row r="110" ht="409.5" customHeight="1">
      <c r="A110" s="6">
        <f>IFERROR(__xludf.DUMMYFUNCTION("""COMPUTED_VALUE"""),"Trigonometry (Math)")</f>
        <v/>
      </c>
      <c r="B110" s="6">
        <f>IFERROR(__xludf.DUMMYFUNCTION("""COMPUTED_VALUE"""),"Resource")</f>
        <v/>
      </c>
      <c r="C110" s="6">
        <f>IFERROR(__xludf.DUMMYFUNCTION("""COMPUTED_VALUE"""),"conclude.graasp")</f>
        <v/>
      </c>
      <c r="D110" s="7">
        <f>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
      </c>
      <c r="E110" s="7">
        <f>IFERROR(__xludf.DUMMYFUNCTION("""COMPUTED_VALUE"""),"No artifact embedded")</f>
        <v/>
      </c>
      <c r="F110" s="7" t="n"/>
      <c r="G110" s="8" t="n">
        <v>0</v>
      </c>
      <c r="H110" s="8" t="n">
        <v>0</v>
      </c>
      <c r="I110" s="8" t="n">
        <v>1</v>
      </c>
      <c r="J110" s="8" t="n">
        <v>0</v>
      </c>
      <c r="K110" s="9" t="n">
        <v>0</v>
      </c>
      <c r="L110" s="9" t="n">
        <v>1</v>
      </c>
      <c r="M110" s="9" t="n">
        <v>0</v>
      </c>
      <c r="N110" s="9" t="n">
        <v>0</v>
      </c>
      <c r="O110" s="10" t="n">
        <v>1</v>
      </c>
      <c r="P110" s="10" t="n">
        <v>0</v>
      </c>
      <c r="Q110" s="10" t="n">
        <v>0</v>
      </c>
      <c r="R110" s="10" t="n">
        <v>0</v>
      </c>
      <c r="S110" s="10" t="n">
        <v>0</v>
      </c>
    </row>
    <row r="111" ht="296" customHeight="1">
      <c r="A111" s="6">
        <f>IFERROR(__xludf.DUMMYFUNCTION("""COMPUTED_VALUE"""),"Trigonometry (Math)")</f>
        <v/>
      </c>
      <c r="B111" s="6">
        <f>IFERROR(__xludf.DUMMYFUNCTION("""COMPUTED_VALUE"""),"Application")</f>
        <v/>
      </c>
      <c r="C111" s="6">
        <f>IFERROR(__xludf.DUMMYFUNCTION("""COMPUTED_VALUE"""),"Quiz Tool")</f>
        <v/>
      </c>
      <c r="D111" s="7">
        <f>IFERROR(__xludf.DUMMYFUNCTION("""COMPUTED_VALUE"""),"No task description")</f>
        <v/>
      </c>
      <c r="E11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11" s="7" t="n"/>
      <c r="G111" s="8" t="n">
        <v>0</v>
      </c>
      <c r="H111" s="8" t="n">
        <v>0</v>
      </c>
      <c r="I111" s="8" t="n">
        <v>0</v>
      </c>
      <c r="J111" s="8" t="n">
        <v>1</v>
      </c>
      <c r="K111" s="9" t="n">
        <v>0</v>
      </c>
      <c r="L111" s="9" t="n">
        <v>1</v>
      </c>
      <c r="M111" s="9" t="n">
        <v>0</v>
      </c>
      <c r="N111" s="9" t="n">
        <v>0</v>
      </c>
      <c r="O111" s="10" t="n">
        <v>0</v>
      </c>
      <c r="P111" s="10" t="n">
        <v>0</v>
      </c>
      <c r="Q111" s="10" t="n">
        <v>0</v>
      </c>
      <c r="R111" s="10" t="n">
        <v>0</v>
      </c>
      <c r="S111" s="10" t="n">
        <v>1</v>
      </c>
    </row>
    <row r="112" ht="121" customHeight="1">
      <c r="A112" s="6">
        <f>IFERROR(__xludf.DUMMYFUNCTION("""COMPUTED_VALUE"""),"Trigonometry (Math)")</f>
        <v/>
      </c>
      <c r="B112" s="6">
        <f>IFERROR(__xludf.DUMMYFUNCTION("""COMPUTED_VALUE"""),"Space")</f>
        <v/>
      </c>
      <c r="C112" s="6">
        <f>IFERROR(__xludf.DUMMYFUNCTION("""COMPUTED_VALUE"""),"Discussion")</f>
        <v/>
      </c>
      <c r="D112" s="7">
        <f>IFERROR(__xludf.DUMMYFUNCTION("""COMPUTED_VALUE"""),"&lt;p&gt;Feel free to tell what you have learnt in Trigonometry and ask questions for further clarification. &lt;/p&gt;&lt;p&gt;Thank you!&lt;/p&gt;")</f>
        <v/>
      </c>
      <c r="E112" s="7">
        <f>IFERROR(__xludf.DUMMYFUNCTION("""COMPUTED_VALUE"""),"No artifact embedded")</f>
        <v/>
      </c>
      <c r="F112" s="7" t="n"/>
      <c r="G112" s="8" t="n">
        <v>0</v>
      </c>
      <c r="H112" s="8" t="n">
        <v>0</v>
      </c>
      <c r="I112" s="8" t="n">
        <v>0</v>
      </c>
      <c r="J112" s="8" t="n">
        <v>1</v>
      </c>
      <c r="K112" s="9" t="n">
        <v>0</v>
      </c>
      <c r="L112" s="9" t="n">
        <v>0</v>
      </c>
      <c r="M112" s="9" t="n">
        <v>1</v>
      </c>
      <c r="N112" s="9" t="n">
        <v>0</v>
      </c>
      <c r="O112" s="10" t="n">
        <v>0</v>
      </c>
      <c r="P112" s="10" t="n">
        <v>0</v>
      </c>
      <c r="Q112" s="10" t="n">
        <v>0</v>
      </c>
      <c r="R112" s="10" t="n">
        <v>0</v>
      </c>
      <c r="S112" s="10" t="n">
        <v>1</v>
      </c>
    </row>
    <row r="113" ht="409.5" customHeight="1">
      <c r="A113" s="6">
        <f>IFERROR(__xludf.DUMMYFUNCTION("""COMPUTED_VALUE"""),"Trigonometry (Math)")</f>
        <v/>
      </c>
      <c r="B113" s="6">
        <f>IFERROR(__xludf.DUMMYFUNCTION("""COMPUTED_VALUE"""),"Application")</f>
        <v/>
      </c>
      <c r="C113" s="6">
        <f>IFERROR(__xludf.DUMMYFUNCTION("""COMPUTED_VALUE"""),"SpeakUp")</f>
        <v/>
      </c>
      <c r="D113" s="7">
        <f>IFERROR(__xludf.DUMMYFUNCTION("""COMPUTED_VALUE"""),"No task description")</f>
        <v/>
      </c>
      <c r="E113"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113" s="7" t="n"/>
      <c r="G113" s="8" t="n">
        <v>0</v>
      </c>
      <c r="H113" s="8" t="n">
        <v>0</v>
      </c>
      <c r="I113" s="8" t="n">
        <v>0</v>
      </c>
      <c r="J113" s="8" t="n">
        <v>1</v>
      </c>
      <c r="K113" s="9" t="n">
        <v>0</v>
      </c>
      <c r="L113" s="9" t="n">
        <v>0</v>
      </c>
      <c r="M113" s="9" t="n">
        <v>1</v>
      </c>
      <c r="N113" s="9" t="n">
        <v>0</v>
      </c>
      <c r="O113" s="10" t="n">
        <v>0</v>
      </c>
      <c r="P113" s="10" t="n">
        <v>0</v>
      </c>
      <c r="Q113" s="10" t="n">
        <v>0</v>
      </c>
      <c r="R113" s="10" t="n">
        <v>0</v>
      </c>
      <c r="S113" s="10" t="n">
        <v>1</v>
      </c>
    </row>
    <row r="114" ht="25" customHeight="1">
      <c r="A114" s="6">
        <f>IFERROR(__xludf.DUMMYFUNCTION("""COMPUTED_VALUE"""),"The color of the light")</f>
        <v/>
      </c>
      <c r="B114" s="6">
        <f>IFERROR(__xludf.DUMMYFUNCTION("""COMPUTED_VALUE"""),"Space")</f>
        <v/>
      </c>
      <c r="C114" s="6">
        <f>IFERROR(__xludf.DUMMYFUNCTION("""COMPUTED_VALUE"""),"Introduction")</f>
        <v/>
      </c>
      <c r="D114" s="7">
        <f>IFERROR(__xludf.DUMMYFUNCTION("""COMPUTED_VALUE"""),"No task description")</f>
        <v/>
      </c>
      <c r="E114" s="7">
        <f>IFERROR(__xludf.DUMMYFUNCTION("""COMPUTED_VALUE"""),"No artifact embedded")</f>
        <v/>
      </c>
      <c r="F114" s="7" t="n"/>
      <c r="G114" s="8" t="n">
        <v>0</v>
      </c>
      <c r="H114" s="8" t="n">
        <v>0</v>
      </c>
      <c r="I114" s="8" t="n">
        <v>0</v>
      </c>
      <c r="J114" s="8" t="n">
        <v>0</v>
      </c>
      <c r="K114" s="9" t="n">
        <v>0</v>
      </c>
      <c r="L114" s="9" t="n">
        <v>0</v>
      </c>
      <c r="M114" s="9" t="n">
        <v>0</v>
      </c>
      <c r="N114" s="9" t="n">
        <v>0</v>
      </c>
      <c r="O114" s="10" t="n">
        <v>0</v>
      </c>
      <c r="P114" s="10" t="n">
        <v>0</v>
      </c>
      <c r="Q114" s="10" t="n">
        <v>0</v>
      </c>
      <c r="R114" s="10" t="n">
        <v>0</v>
      </c>
      <c r="S114" s="10" t="n">
        <v>0</v>
      </c>
    </row>
    <row r="115" ht="409.5" customHeight="1">
      <c r="A115" s="6">
        <f>IFERROR(__xludf.DUMMYFUNCTION("""COMPUTED_VALUE"""),"The color of the light")</f>
        <v/>
      </c>
      <c r="B115" s="6">
        <f>IFERROR(__xludf.DUMMYFUNCTION("""COMPUTED_VALUE"""),"Resource")</f>
        <v/>
      </c>
      <c r="C115" s="6">
        <f>IFERROR(__xludf.DUMMYFUNCTION("""COMPUTED_VALUE"""),"Intro.graasp")</f>
        <v/>
      </c>
      <c r="D115" s="7">
        <f>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
      </c>
      <c r="E115" s="7">
        <f>IFERROR(__xludf.DUMMYFUNCTION("""COMPUTED_VALUE"""),"No artifact embedded")</f>
        <v/>
      </c>
      <c r="F115" s="7" t="n"/>
      <c r="G115" s="8" t="n">
        <v>0</v>
      </c>
      <c r="H115" s="8" t="n">
        <v>1</v>
      </c>
      <c r="I115" s="8" t="n">
        <v>0</v>
      </c>
      <c r="J115" s="8" t="n">
        <v>0</v>
      </c>
      <c r="K115" s="9" t="n">
        <v>1</v>
      </c>
      <c r="L115" s="9" t="n">
        <v>0</v>
      </c>
      <c r="M115" s="9" t="n">
        <v>0</v>
      </c>
      <c r="N115" s="9" t="n">
        <v>0</v>
      </c>
      <c r="O115" s="10" t="n">
        <v>1</v>
      </c>
      <c r="P115" s="10" t="n">
        <v>0</v>
      </c>
      <c r="Q115" s="10" t="n">
        <v>1</v>
      </c>
      <c r="R115" s="10" t="n">
        <v>0</v>
      </c>
      <c r="S115" s="10" t="n">
        <v>0</v>
      </c>
    </row>
    <row r="116" ht="25" customHeight="1">
      <c r="A116" s="6">
        <f>IFERROR(__xludf.DUMMYFUNCTION("""COMPUTED_VALUE"""),"The color of the light")</f>
        <v/>
      </c>
      <c r="B116" s="6">
        <f>IFERROR(__xludf.DUMMYFUNCTION("""COMPUTED_VALUE"""),"Space")</f>
        <v/>
      </c>
      <c r="C116" s="6">
        <f>IFERROR(__xludf.DUMMYFUNCTION("""COMPUTED_VALUE"""),"Orientation")</f>
        <v/>
      </c>
      <c r="D116" s="7">
        <f>IFERROR(__xludf.DUMMYFUNCTION("""COMPUTED_VALUE"""),"No task description")</f>
        <v/>
      </c>
      <c r="E116" s="7">
        <f>IFERROR(__xludf.DUMMYFUNCTION("""COMPUTED_VALUE"""),"No artifact embedded")</f>
        <v/>
      </c>
      <c r="F116" s="7" t="n"/>
      <c r="G116" s="8" t="n">
        <v>0</v>
      </c>
      <c r="H116" s="8" t="n">
        <v>0</v>
      </c>
      <c r="I116" s="8" t="n">
        <v>0</v>
      </c>
      <c r="J116" s="8" t="n">
        <v>0</v>
      </c>
      <c r="K116" s="9" t="n">
        <v>0</v>
      </c>
      <c r="L116" s="9" t="n">
        <v>0</v>
      </c>
      <c r="M116" s="9" t="n">
        <v>0</v>
      </c>
      <c r="N116" s="9" t="n">
        <v>0</v>
      </c>
      <c r="O116" s="10" t="n">
        <v>0</v>
      </c>
      <c r="P116" s="10" t="n">
        <v>0</v>
      </c>
      <c r="Q116" s="10" t="n">
        <v>0</v>
      </c>
      <c r="R116" s="10" t="n">
        <v>0</v>
      </c>
      <c r="S116" s="10" t="n">
        <v>0</v>
      </c>
    </row>
    <row r="117" ht="409.5" customHeight="1">
      <c r="A117" s="6">
        <f>IFERROR(__xludf.DUMMYFUNCTION("""COMPUTED_VALUE"""),"The color of the light")</f>
        <v/>
      </c>
      <c r="B117" s="6">
        <f>IFERROR(__xludf.DUMMYFUNCTION("""COMPUTED_VALUE"""),"Resource")</f>
        <v/>
      </c>
      <c r="C117" s="6">
        <f>IFERROR(__xludf.DUMMYFUNCTION("""COMPUTED_VALUE"""),"Before video.graasp")</f>
        <v/>
      </c>
      <c r="D117" s="7">
        <f>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
      </c>
      <c r="E117" s="7">
        <f>IFERROR(__xludf.DUMMYFUNCTION("""COMPUTED_VALUE"""),"No artifact embedded")</f>
        <v/>
      </c>
      <c r="F117" s="7" t="n"/>
      <c r="G117" s="8" t="n">
        <v>1</v>
      </c>
      <c r="H117" s="8" t="n">
        <v>0</v>
      </c>
      <c r="I117" s="8" t="n">
        <v>0</v>
      </c>
      <c r="J117" s="8" t="n">
        <v>0</v>
      </c>
      <c r="K117" s="9" t="n">
        <v>1</v>
      </c>
      <c r="L117" s="9" t="n">
        <v>0</v>
      </c>
      <c r="M117" s="9" t="n">
        <v>0</v>
      </c>
      <c r="N117" s="9" t="n">
        <v>0</v>
      </c>
      <c r="O117" s="10" t="n">
        <v>1</v>
      </c>
      <c r="P117" s="10" t="n">
        <v>0</v>
      </c>
      <c r="Q117" s="10" t="n">
        <v>0</v>
      </c>
      <c r="R117" s="10" t="n">
        <v>0</v>
      </c>
      <c r="S117" s="10" t="n">
        <v>0</v>
      </c>
    </row>
    <row r="118" ht="121" customHeight="1">
      <c r="A118" s="6">
        <f>IFERROR(__xludf.DUMMYFUNCTION("""COMPUTED_VALUE"""),"The color of the light")</f>
        <v/>
      </c>
      <c r="B118" s="6">
        <f>IFERROR(__xludf.DUMMYFUNCTION("""COMPUTED_VALUE"""),"Resource")</f>
        <v/>
      </c>
      <c r="C118" s="6">
        <f>IFERROR(__xludf.DUMMYFUNCTION("""COMPUTED_VALUE"""),"Simply Color Mixing")</f>
        <v/>
      </c>
      <c r="D118" s="7">
        <f>IFERROR(__xludf.DUMMYFUNCTION("""COMPUTED_VALUE"""),"No task description")</f>
        <v/>
      </c>
      <c r="E118" s="7">
        <f>IFERROR(__xludf.DUMMYFUNCTION("""COMPUTED_VALUE"""),"youtube.com: A widely known video-sharing platform where users can watch videos on a vast array of topics, including educational content.")</f>
        <v/>
      </c>
      <c r="F118" s="7" t="n"/>
      <c r="G118" s="8" t="n">
        <v>1</v>
      </c>
      <c r="H118" s="8" t="n">
        <v>0</v>
      </c>
      <c r="I118" s="8" t="n">
        <v>0</v>
      </c>
      <c r="J118" s="8" t="n">
        <v>0</v>
      </c>
      <c r="K118" s="9" t="n">
        <v>1</v>
      </c>
      <c r="L118" s="9" t="n">
        <v>0</v>
      </c>
      <c r="M118" s="9" t="n">
        <v>0</v>
      </c>
      <c r="N118" s="9" t="n">
        <v>0</v>
      </c>
      <c r="O118" s="10" t="n">
        <v>0</v>
      </c>
      <c r="P118" s="10" t="n">
        <v>0</v>
      </c>
      <c r="Q118" s="10" t="n">
        <v>0</v>
      </c>
      <c r="R118" s="10" t="n">
        <v>0</v>
      </c>
      <c r="S118" s="10" t="n">
        <v>0</v>
      </c>
    </row>
    <row r="119" ht="409.5" customHeight="1">
      <c r="A119" s="6">
        <f>IFERROR(__xludf.DUMMYFUNCTION("""COMPUTED_VALUE"""),"The color of the light")</f>
        <v/>
      </c>
      <c r="B119" s="6">
        <f>IFERROR(__xludf.DUMMYFUNCTION("""COMPUTED_VALUE"""),"Resource")</f>
        <v/>
      </c>
      <c r="C119" s="6">
        <f>IFERROR(__xludf.DUMMYFUNCTION("""COMPUTED_VALUE"""),"After video.graasp")</f>
        <v/>
      </c>
      <c r="D119" s="7">
        <f>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
      </c>
      <c r="E119" s="7">
        <f>IFERROR(__xludf.DUMMYFUNCTION("""COMPUTED_VALUE"""),"No artifact embedded")</f>
        <v/>
      </c>
      <c r="F119" s="7" t="n"/>
      <c r="G119" s="8" t="n">
        <v>0</v>
      </c>
      <c r="H119" s="8" t="n">
        <v>0</v>
      </c>
      <c r="I119" s="8" t="n">
        <v>1</v>
      </c>
      <c r="J119" s="8" t="n">
        <v>0</v>
      </c>
      <c r="K119" s="9" t="n">
        <v>0</v>
      </c>
      <c r="L119" s="9" t="n">
        <v>1</v>
      </c>
      <c r="M119" s="9" t="n">
        <v>0</v>
      </c>
      <c r="N119" s="9" t="n">
        <v>0</v>
      </c>
      <c r="O119" s="10" t="n">
        <v>1</v>
      </c>
      <c r="P119" s="10" t="n">
        <v>0</v>
      </c>
      <c r="Q119" s="10" t="n">
        <v>0</v>
      </c>
      <c r="R119" s="10" t="n">
        <v>0</v>
      </c>
      <c r="S119" s="10" t="n">
        <v>0</v>
      </c>
    </row>
    <row r="120" ht="329" customHeight="1">
      <c r="A120" s="6">
        <f>IFERROR(__xludf.DUMMYFUNCTION("""COMPUTED_VALUE"""),"The color of the light")</f>
        <v/>
      </c>
      <c r="B120" s="6">
        <f>IFERROR(__xludf.DUMMYFUNCTION("""COMPUTED_VALUE"""),"Application")</f>
        <v/>
      </c>
      <c r="C120" s="6">
        <f>IFERROR(__xludf.DUMMYFUNCTION("""COMPUTED_VALUE"""),"Input Box")</f>
        <v/>
      </c>
      <c r="D120" s="7">
        <f>IFERROR(__xludf.DUMMYFUNCTION("""COMPUTED_VALUE"""),"No task description")</f>
        <v/>
      </c>
      <c r="E1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20" s="7" t="n"/>
      <c r="G120" s="8" t="n">
        <v>0</v>
      </c>
      <c r="H120" s="8" t="n">
        <v>0</v>
      </c>
      <c r="I120" s="8" t="n">
        <v>1</v>
      </c>
      <c r="J120" s="8" t="n">
        <v>0</v>
      </c>
      <c r="K120" s="9" t="n">
        <v>0</v>
      </c>
      <c r="L120" s="9" t="n">
        <v>1</v>
      </c>
      <c r="M120" s="9" t="n">
        <v>0</v>
      </c>
      <c r="N120" s="9" t="n">
        <v>0</v>
      </c>
      <c r="O120" s="10" t="n">
        <v>0</v>
      </c>
      <c r="P120" s="10" t="n">
        <v>0</v>
      </c>
      <c r="Q120" s="10" t="n">
        <v>0</v>
      </c>
      <c r="R120" s="10" t="n">
        <v>0</v>
      </c>
      <c r="S120" s="10" t="n">
        <v>0</v>
      </c>
    </row>
    <row r="121" ht="217" customHeight="1">
      <c r="A121" s="6">
        <f>IFERROR(__xludf.DUMMYFUNCTION("""COMPUTED_VALUE"""),"The color of the light")</f>
        <v/>
      </c>
      <c r="B121" s="6">
        <f>IFERROR(__xludf.DUMMYFUNCTION("""COMPUTED_VALUE"""),"Resource")</f>
        <v/>
      </c>
      <c r="C121" s="6">
        <f>IFERROR(__xludf.DUMMYFUNCTION("""COMPUTED_VALUE"""),"Concept map.graasp")</f>
        <v/>
      </c>
      <c r="D121" s="7">
        <f>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
      </c>
      <c r="E121" s="7">
        <f>IFERROR(__xludf.DUMMYFUNCTION("""COMPUTED_VALUE"""),"No artifact embedded")</f>
        <v/>
      </c>
      <c r="F121" s="7" t="n"/>
      <c r="G121" s="8" t="n">
        <v>0</v>
      </c>
      <c r="H121" s="8" t="n">
        <v>0</v>
      </c>
      <c r="I121" s="8" t="n">
        <v>1</v>
      </c>
      <c r="J121" s="8" t="n">
        <v>0</v>
      </c>
      <c r="K121" s="9" t="n">
        <v>0</v>
      </c>
      <c r="L121" s="9" t="n">
        <v>1</v>
      </c>
      <c r="M121" s="9" t="n">
        <v>0</v>
      </c>
      <c r="N121" s="9" t="n">
        <v>0</v>
      </c>
      <c r="O121" s="10" t="n">
        <v>1</v>
      </c>
      <c r="P121" s="10" t="n">
        <v>1</v>
      </c>
      <c r="Q121" s="10" t="n">
        <v>0</v>
      </c>
      <c r="R121" s="10" t="n">
        <v>0</v>
      </c>
      <c r="S121" s="10" t="n">
        <v>0</v>
      </c>
    </row>
    <row r="122" ht="409.5" customHeight="1">
      <c r="A122" s="6">
        <f>IFERROR(__xludf.DUMMYFUNCTION("""COMPUTED_VALUE"""),"The color of the light")</f>
        <v/>
      </c>
      <c r="B122" s="6">
        <f>IFERROR(__xludf.DUMMYFUNCTION("""COMPUTED_VALUE"""),"Resource")</f>
        <v/>
      </c>
      <c r="C122" s="6">
        <f>IFERROR(__xludf.DUMMYFUNCTION("""COMPUTED_VALUE"""),"Tips concept map.graasp")</f>
        <v/>
      </c>
      <c r="D122" s="7">
        <f>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
      </c>
      <c r="E122" s="7">
        <f>IFERROR(__xludf.DUMMYFUNCTION("""COMPUTED_VALUE"""),"No artifact embedded")</f>
        <v/>
      </c>
      <c r="F122" s="7" t="n"/>
      <c r="G122" s="8" t="n">
        <v>1</v>
      </c>
      <c r="H122" s="8" t="n">
        <v>0</v>
      </c>
      <c r="I122" s="8" t="n">
        <v>0</v>
      </c>
      <c r="J122" s="8" t="n">
        <v>0</v>
      </c>
      <c r="K122" s="9" t="n">
        <v>1</v>
      </c>
      <c r="L122" s="9" t="n">
        <v>0</v>
      </c>
      <c r="M122" s="9" t="n">
        <v>0</v>
      </c>
      <c r="N122" s="9" t="n">
        <v>0</v>
      </c>
      <c r="O122" s="10" t="n">
        <v>1</v>
      </c>
      <c r="P122" s="10" t="n">
        <v>0</v>
      </c>
      <c r="Q122" s="10" t="n">
        <v>0</v>
      </c>
      <c r="R122" s="10" t="n">
        <v>0</v>
      </c>
      <c r="S122" s="10" t="n">
        <v>0</v>
      </c>
    </row>
    <row r="123" ht="409.5" customHeight="1">
      <c r="A123" s="6">
        <f>IFERROR(__xludf.DUMMYFUNCTION("""COMPUTED_VALUE"""),"The color of the light")</f>
        <v/>
      </c>
      <c r="B123" s="6">
        <f>IFERROR(__xludf.DUMMYFUNCTION("""COMPUTED_VALUE"""),"Application")</f>
        <v/>
      </c>
      <c r="C123" s="6">
        <f>IFERROR(__xludf.DUMMYFUNCTION("""COMPUTED_VALUE"""),"Concept Map")</f>
        <v/>
      </c>
      <c r="D123" s="7">
        <f>IFERROR(__xludf.DUMMYFUNCTION("""COMPUTED_VALUE"""),"No task description")</f>
        <v/>
      </c>
      <c r="E123"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23" s="7" t="n"/>
      <c r="G123" s="8" t="n">
        <v>0</v>
      </c>
      <c r="H123" s="8" t="n">
        <v>0</v>
      </c>
      <c r="I123" s="8" t="n">
        <v>1</v>
      </c>
      <c r="J123" s="8" t="n">
        <v>0</v>
      </c>
      <c r="K123" s="9" t="n">
        <v>0</v>
      </c>
      <c r="L123" s="9" t="n">
        <v>1</v>
      </c>
      <c r="M123" s="9" t="n">
        <v>0</v>
      </c>
      <c r="N123" s="9" t="n">
        <v>0</v>
      </c>
      <c r="O123" s="10" t="n">
        <v>0</v>
      </c>
      <c r="P123" s="10" t="n">
        <v>1</v>
      </c>
      <c r="Q123" s="10" t="n">
        <v>0</v>
      </c>
      <c r="R123" s="10" t="n">
        <v>0</v>
      </c>
      <c r="S123" s="10" t="n">
        <v>0</v>
      </c>
    </row>
    <row r="124" ht="85" customHeight="1">
      <c r="A124" s="6">
        <f>IFERROR(__xludf.DUMMYFUNCTION("""COMPUTED_VALUE"""),"The color of the light")</f>
        <v/>
      </c>
      <c r="B124" s="6">
        <f>IFERROR(__xludf.DUMMYFUNCTION("""COMPUTED_VALUE"""),"Resource")</f>
        <v/>
      </c>
      <c r="C124" s="6">
        <f>IFERROR(__xludf.DUMMYFUNCTION("""COMPUTED_VALUE"""),"After CM.graasp")</f>
        <v/>
      </c>
      <c r="D124" s="7">
        <f>IFERROR(__xludf.DUMMYFUNCTION("""COMPUTED_VALUE"""),"&lt;p&gt;When you have finished the concept map you can go on to the Conceptualisation. To do this press the tab.&lt;br&gt;&lt;/p&gt;")</f>
        <v/>
      </c>
      <c r="E124" s="7">
        <f>IFERROR(__xludf.DUMMYFUNCTION("""COMPUTED_VALUE"""),"No artifact embedded")</f>
        <v/>
      </c>
      <c r="F124" s="7" t="n"/>
      <c r="G124" s="8" t="n">
        <v>0</v>
      </c>
      <c r="H124" s="8" t="n">
        <v>0</v>
      </c>
      <c r="I124" s="8" t="n">
        <v>0</v>
      </c>
      <c r="J124" s="8" t="n">
        <v>0</v>
      </c>
      <c r="K124" s="9" t="n">
        <v>0</v>
      </c>
      <c r="L124" s="9" t="n">
        <v>0</v>
      </c>
      <c r="M124" s="9" t="n">
        <v>0</v>
      </c>
      <c r="N124" s="9" t="n">
        <v>0</v>
      </c>
      <c r="O124" s="10" t="n">
        <v>0</v>
      </c>
      <c r="P124" s="10" t="n">
        <v>0</v>
      </c>
      <c r="Q124" s="10" t="n">
        <v>0</v>
      </c>
      <c r="R124" s="10" t="n">
        <v>0</v>
      </c>
      <c r="S124" s="10" t="n">
        <v>0</v>
      </c>
    </row>
    <row r="125" ht="25" customHeight="1">
      <c r="A125" s="6">
        <f>IFERROR(__xludf.DUMMYFUNCTION("""COMPUTED_VALUE"""),"The color of the light")</f>
        <v/>
      </c>
      <c r="B125" s="6">
        <f>IFERROR(__xludf.DUMMYFUNCTION("""COMPUTED_VALUE"""),"Space")</f>
        <v/>
      </c>
      <c r="C125" s="6">
        <f>IFERROR(__xludf.DUMMYFUNCTION("""COMPUTED_VALUE"""),"Conceptualisation")</f>
        <v/>
      </c>
      <c r="D125" s="7">
        <f>IFERROR(__xludf.DUMMYFUNCTION("""COMPUTED_VALUE"""),"No task description")</f>
        <v/>
      </c>
      <c r="E125" s="7">
        <f>IFERROR(__xludf.DUMMYFUNCTION("""COMPUTED_VALUE"""),"No artifact embedded")</f>
        <v/>
      </c>
      <c r="F125" s="7" t="n"/>
      <c r="G125" s="8" t="n">
        <v>0</v>
      </c>
      <c r="H125" s="8" t="n">
        <v>0</v>
      </c>
      <c r="I125" s="8" t="n">
        <v>0</v>
      </c>
      <c r="J125" s="8" t="n">
        <v>0</v>
      </c>
      <c r="K125" s="9" t="n">
        <v>0</v>
      </c>
      <c r="L125" s="9" t="n">
        <v>0</v>
      </c>
      <c r="M125" s="9" t="n">
        <v>0</v>
      </c>
      <c r="N125" s="9" t="n">
        <v>0</v>
      </c>
      <c r="O125" s="10" t="n">
        <v>0</v>
      </c>
      <c r="P125" s="10" t="n">
        <v>0</v>
      </c>
      <c r="Q125" s="10" t="n">
        <v>0</v>
      </c>
      <c r="R125" s="10" t="n">
        <v>0</v>
      </c>
      <c r="S125" s="10" t="n">
        <v>0</v>
      </c>
    </row>
    <row r="126" ht="409.5" customHeight="1">
      <c r="A126" s="6">
        <f>IFERROR(__xludf.DUMMYFUNCTION("""COMPUTED_VALUE"""),"The color of the light")</f>
        <v/>
      </c>
      <c r="B126" s="6">
        <f>IFERROR(__xludf.DUMMYFUNCTION("""COMPUTED_VALUE"""),"Resource")</f>
        <v/>
      </c>
      <c r="C126" s="6">
        <f>IFERROR(__xludf.DUMMYFUNCTION("""COMPUTED_VALUE"""),"Intro.graasp")</f>
        <v/>
      </c>
      <c r="D126" s="7">
        <f>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
      </c>
      <c r="E126" s="7">
        <f>IFERROR(__xludf.DUMMYFUNCTION("""COMPUTED_VALUE"""),"No artifact embedded")</f>
        <v/>
      </c>
      <c r="F126" s="7" t="n"/>
      <c r="G126" s="8" t="n">
        <v>1</v>
      </c>
      <c r="H126" s="8" t="n">
        <v>0</v>
      </c>
      <c r="I126" s="8" t="n">
        <v>0</v>
      </c>
      <c r="J126" s="8" t="n">
        <v>0</v>
      </c>
      <c r="K126" s="9" t="n">
        <v>1</v>
      </c>
      <c r="L126" s="9" t="n">
        <v>0</v>
      </c>
      <c r="M126" s="9" t="n">
        <v>0</v>
      </c>
      <c r="N126" s="9" t="n">
        <v>0</v>
      </c>
      <c r="O126" s="10" t="n">
        <v>1</v>
      </c>
      <c r="P126" s="10" t="n">
        <v>0</v>
      </c>
      <c r="Q126" s="10" t="n">
        <v>0</v>
      </c>
      <c r="R126" s="10" t="n">
        <v>0</v>
      </c>
      <c r="S126" s="10" t="n">
        <v>0</v>
      </c>
    </row>
    <row r="127" ht="121" customHeight="1">
      <c r="A127" s="6">
        <f>IFERROR(__xludf.DUMMYFUNCTION("""COMPUTED_VALUE"""),"The color of the light")</f>
        <v/>
      </c>
      <c r="B127" s="6">
        <f>IFERROR(__xludf.DUMMYFUNCTION("""COMPUTED_VALUE"""),"Resource")</f>
        <v/>
      </c>
      <c r="C127" s="6">
        <f>IFERROR(__xludf.DUMMYFUNCTION("""COMPUTED_VALUE"""),"How the eye sees.jpg")</f>
        <v/>
      </c>
      <c r="D127" s="7">
        <f>IFERROR(__xludf.DUMMYFUNCTION("""COMPUTED_VALUE"""),"----___---__--_--~ Downioad from f' E 3174ug45 Dreamstime.com ,..mm HE [3 Peter Hermes PM N Dreamsvme mm")</f>
        <v/>
      </c>
      <c r="E127" s="7">
        <f>IFERROR(__xludf.DUMMYFUNCTION("""COMPUTED_VALUE"""),"image/jpeg – A digital photograph or web image stored in a compressed format, often used for photography and web graphics.")</f>
        <v/>
      </c>
      <c r="F127" s="7" t="n"/>
      <c r="G127" s="8" t="n">
        <v>1</v>
      </c>
      <c r="H127" s="8" t="n">
        <v>0</v>
      </c>
      <c r="I127" s="8" t="n">
        <v>0</v>
      </c>
      <c r="J127" s="8" t="n">
        <v>0</v>
      </c>
      <c r="K127" s="9" t="n">
        <v>1</v>
      </c>
      <c r="L127" s="9" t="n">
        <v>0</v>
      </c>
      <c r="M127" s="9" t="n">
        <v>0</v>
      </c>
      <c r="N127" s="9" t="n">
        <v>0</v>
      </c>
      <c r="O127" s="10" t="n">
        <v>0</v>
      </c>
      <c r="P127" s="10" t="n">
        <v>0</v>
      </c>
      <c r="Q127" s="10" t="n">
        <v>0</v>
      </c>
      <c r="R127" s="10" t="n">
        <v>0</v>
      </c>
      <c r="S127" s="10" t="n">
        <v>0</v>
      </c>
    </row>
    <row r="128" ht="409.5" customHeight="1">
      <c r="A128" s="6">
        <f>IFERROR(__xludf.DUMMYFUNCTION("""COMPUTED_VALUE"""),"The color of the light")</f>
        <v/>
      </c>
      <c r="B128" s="6">
        <f>IFERROR(__xludf.DUMMYFUNCTION("""COMPUTED_VALUE"""),"Resource")</f>
        <v/>
      </c>
      <c r="C128" s="6">
        <f>IFERROR(__xludf.DUMMYFUNCTION("""COMPUTED_VALUE"""),"Second text block.graasp")</f>
        <v/>
      </c>
      <c r="D128" s="7">
        <f>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
      </c>
      <c r="E128" s="7">
        <f>IFERROR(__xludf.DUMMYFUNCTION("""COMPUTED_VALUE"""),"No artifact embedded")</f>
        <v/>
      </c>
      <c r="F128" s="7" t="n"/>
      <c r="G128" s="8" t="n">
        <v>1</v>
      </c>
      <c r="H128" s="8" t="n">
        <v>0</v>
      </c>
      <c r="I128" s="8" t="n">
        <v>0</v>
      </c>
      <c r="J128" s="8" t="n">
        <v>0</v>
      </c>
      <c r="K128" s="9" t="n">
        <v>1</v>
      </c>
      <c r="L128" s="9" t="n">
        <v>0</v>
      </c>
      <c r="M128" s="9" t="n">
        <v>0</v>
      </c>
      <c r="N128" s="9" t="n">
        <v>0</v>
      </c>
      <c r="O128" s="10" t="n">
        <v>1</v>
      </c>
      <c r="P128" s="10" t="n">
        <v>0</v>
      </c>
      <c r="Q128" s="10" t="n">
        <v>0</v>
      </c>
      <c r="R128" s="10" t="n">
        <v>0</v>
      </c>
      <c r="S128" s="10" t="n">
        <v>0</v>
      </c>
    </row>
    <row r="129" ht="97" customHeight="1">
      <c r="A129" s="6">
        <f>IFERROR(__xludf.DUMMYFUNCTION("""COMPUTED_VALUE"""),"The color of the light")</f>
        <v/>
      </c>
      <c r="B129" s="6">
        <f>IFERROR(__xludf.DUMMYFUNCTION("""COMPUTED_VALUE"""),"Resource")</f>
        <v/>
      </c>
      <c r="C129" s="6">
        <f>IFERROR(__xludf.DUMMYFUNCTION("""COMPUTED_VALUE"""),"The primary colors.png")</f>
        <v/>
      </c>
      <c r="D129" s="7">
        <f>IFERROR(__xludf.DUMMYFUNCTION("""COMPUTED_VALUE"""),"No task description")</f>
        <v/>
      </c>
      <c r="E129" s="7">
        <f>IFERROR(__xludf.DUMMYFUNCTION("""COMPUTED_VALUE"""),"image/png – A high-quality image with support for transparency, often used in design and web applications.")</f>
        <v/>
      </c>
      <c r="F129" s="7" t="n"/>
      <c r="G129" s="8" t="n">
        <v>1</v>
      </c>
      <c r="H129" s="8" t="n">
        <v>0</v>
      </c>
      <c r="I129" s="8" t="n">
        <v>0</v>
      </c>
      <c r="J129" s="8" t="n">
        <v>0</v>
      </c>
      <c r="K129" s="9" t="n">
        <v>1</v>
      </c>
      <c r="L129" s="9" t="n">
        <v>0</v>
      </c>
      <c r="M129" s="9" t="n">
        <v>0</v>
      </c>
      <c r="N129" s="9" t="n">
        <v>0</v>
      </c>
      <c r="O129" s="10" t="n">
        <v>0</v>
      </c>
      <c r="P129" s="10" t="n">
        <v>0</v>
      </c>
      <c r="Q129" s="10" t="n">
        <v>0</v>
      </c>
      <c r="R129" s="10" t="n">
        <v>0</v>
      </c>
      <c r="S129" s="10" t="n">
        <v>0</v>
      </c>
    </row>
    <row r="130" ht="241" customHeight="1">
      <c r="A130" s="6">
        <f>IFERROR(__xludf.DUMMYFUNCTION("""COMPUTED_VALUE"""),"The color of the light")</f>
        <v/>
      </c>
      <c r="B130" s="6">
        <f>IFERROR(__xludf.DUMMYFUNCTION("""COMPUTED_VALUE"""),"Resource")</f>
        <v/>
      </c>
      <c r="C130" s="6">
        <f>IFERROR(__xludf.DUMMYFUNCTION("""COMPUTED_VALUE"""),"Third text block.graasp")</f>
        <v/>
      </c>
      <c r="D130" s="7">
        <f>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
      </c>
      <c r="E130" s="7">
        <f>IFERROR(__xludf.DUMMYFUNCTION("""COMPUTED_VALUE"""),"No artifact embedded")</f>
        <v/>
      </c>
      <c r="F130" s="7" t="n"/>
      <c r="G130" s="8" t="n">
        <v>0</v>
      </c>
      <c r="H130" s="8" t="n">
        <v>0</v>
      </c>
      <c r="I130" s="8" t="n">
        <v>1</v>
      </c>
      <c r="J130" s="8" t="n">
        <v>0</v>
      </c>
      <c r="K130" s="9" t="n">
        <v>0</v>
      </c>
      <c r="L130" s="9" t="n">
        <v>1</v>
      </c>
      <c r="M130" s="9" t="n">
        <v>0</v>
      </c>
      <c r="N130" s="9" t="n">
        <v>0</v>
      </c>
      <c r="O130" s="10" t="n">
        <v>0</v>
      </c>
      <c r="P130" s="10" t="n">
        <v>1</v>
      </c>
      <c r="Q130" s="10" t="n">
        <v>0</v>
      </c>
      <c r="R130" s="10" t="n">
        <v>0</v>
      </c>
      <c r="S130" s="10" t="n">
        <v>0</v>
      </c>
    </row>
    <row r="131" ht="409.5" customHeight="1">
      <c r="A131" s="6">
        <f>IFERROR(__xludf.DUMMYFUNCTION("""COMPUTED_VALUE"""),"The color of the light")</f>
        <v/>
      </c>
      <c r="B131" s="6">
        <f>IFERROR(__xludf.DUMMYFUNCTION("""COMPUTED_VALUE"""),"Application")</f>
        <v/>
      </c>
      <c r="C131" s="6">
        <f>IFERROR(__xludf.DUMMYFUNCTION("""COMPUTED_VALUE"""),"Questioning Scratchpad")</f>
        <v/>
      </c>
      <c r="D131" s="7">
        <f>IFERROR(__xludf.DUMMYFUNCTION("""COMPUTED_VALUE"""),"No task description")</f>
        <v/>
      </c>
      <c r="E131"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131" s="7" t="n"/>
      <c r="G131" s="8" t="n">
        <v>0</v>
      </c>
      <c r="H131" s="8" t="n">
        <v>0</v>
      </c>
      <c r="I131" s="8" t="n">
        <v>1</v>
      </c>
      <c r="J131" s="8" t="n">
        <v>0</v>
      </c>
      <c r="K131" s="9" t="n">
        <v>0</v>
      </c>
      <c r="L131" s="9" t="n">
        <v>1</v>
      </c>
      <c r="M131" s="9" t="n">
        <v>0</v>
      </c>
      <c r="N131" s="9" t="n">
        <v>0</v>
      </c>
      <c r="O131" s="10" t="n">
        <v>0</v>
      </c>
      <c r="P131" s="10" t="n">
        <v>1</v>
      </c>
      <c r="Q131" s="10" t="n">
        <v>0</v>
      </c>
      <c r="R131" s="10" t="n">
        <v>0</v>
      </c>
      <c r="S131" s="10" t="n">
        <v>0</v>
      </c>
    </row>
    <row r="132" ht="409.5" customHeight="1">
      <c r="A132" s="6">
        <f>IFERROR(__xludf.DUMMYFUNCTION("""COMPUTED_VALUE"""),"The color of the light")</f>
        <v/>
      </c>
      <c r="B132" s="6">
        <f>IFERROR(__xludf.DUMMYFUNCTION("""COMPUTED_VALUE"""),"Space")</f>
        <v/>
      </c>
      <c r="C132" s="6">
        <f>IFERROR(__xludf.DUMMYFUNCTION("""COMPUTED_VALUE"""),"Investigation")</f>
        <v/>
      </c>
      <c r="D132" s="7">
        <f>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
      </c>
      <c r="E132" s="7">
        <f>IFERROR(__xludf.DUMMYFUNCTION("""COMPUTED_VALUE"""),"No artifact embedded")</f>
        <v/>
      </c>
      <c r="F132" s="7" t="n"/>
      <c r="G132" s="8" t="n">
        <v>0</v>
      </c>
      <c r="H132" s="8" t="n">
        <v>0</v>
      </c>
      <c r="I132" s="8" t="n">
        <v>1</v>
      </c>
      <c r="J132" s="8" t="n">
        <v>0</v>
      </c>
      <c r="K132" s="9" t="n">
        <v>0</v>
      </c>
      <c r="L132" s="9" t="n">
        <v>1</v>
      </c>
      <c r="M132" s="9" t="n">
        <v>0</v>
      </c>
      <c r="N132" s="9" t="n">
        <v>0</v>
      </c>
      <c r="O132" s="10" t="n">
        <v>1</v>
      </c>
      <c r="P132" s="10" t="n">
        <v>0</v>
      </c>
      <c r="Q132" s="10" t="n">
        <v>1</v>
      </c>
      <c r="R132" s="10" t="n">
        <v>0</v>
      </c>
      <c r="S132" s="10" t="n">
        <v>0</v>
      </c>
    </row>
    <row r="133" ht="409.5" customHeight="1">
      <c r="A133" s="6">
        <f>IFERROR(__xludf.DUMMYFUNCTION("""COMPUTED_VALUE"""),"The color of the light")</f>
        <v/>
      </c>
      <c r="B133" s="6">
        <f>IFERROR(__xludf.DUMMYFUNCTION("""COMPUTED_VALUE"""),"Resource")</f>
        <v/>
      </c>
      <c r="C133" s="6">
        <f>IFERROR(__xludf.DUMMYFUNCTION("""COMPUTED_VALUE"""),"Hints.graasp")</f>
        <v/>
      </c>
      <c r="D133" s="7">
        <f>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
      </c>
      <c r="E133" s="7">
        <f>IFERROR(__xludf.DUMMYFUNCTION("""COMPUTED_VALUE"""),"No artifact embedded")</f>
        <v/>
      </c>
      <c r="F133" s="7" t="n"/>
      <c r="G133" s="8" t="n">
        <v>1</v>
      </c>
      <c r="H133" s="8" t="n">
        <v>0</v>
      </c>
      <c r="I133" s="8" t="n">
        <v>0</v>
      </c>
      <c r="J133" s="8" t="n">
        <v>0</v>
      </c>
      <c r="K133" s="9" t="n">
        <v>1</v>
      </c>
      <c r="L133" s="9" t="n">
        <v>0</v>
      </c>
      <c r="M133" s="9" t="n">
        <v>0</v>
      </c>
      <c r="N133" s="9" t="n">
        <v>0</v>
      </c>
      <c r="O133" s="10" t="n">
        <v>1</v>
      </c>
      <c r="P133" s="10" t="n">
        <v>0</v>
      </c>
      <c r="Q133" s="10" t="n">
        <v>0</v>
      </c>
      <c r="R133" s="10" t="n">
        <v>0</v>
      </c>
      <c r="S133" s="10" t="n">
        <v>0</v>
      </c>
    </row>
    <row r="134" ht="109" customHeight="1">
      <c r="A134" s="6">
        <f>IFERROR(__xludf.DUMMYFUNCTION("""COMPUTED_VALUE"""),"The color of the light")</f>
        <v/>
      </c>
      <c r="B134" s="6">
        <f>IFERROR(__xludf.DUMMYFUNCTION("""COMPUTED_VALUE"""),"Resource")</f>
        <v/>
      </c>
      <c r="C134" s="6">
        <f>IFERROR(__xludf.DUMMYFUNCTION("""COMPUTED_VALUE"""),"Mixing Colors.swf")</f>
        <v/>
      </c>
      <c r="D134" s="7">
        <f>IFERROR(__xludf.DUMMYFUNCTION("""COMPUTED_VALUE"""),"No task description")</f>
        <v/>
      </c>
      <c r="E134" s="7">
        <f>IFERROR(__xludf.DUMMYFUNCTION("""COMPUTED_VALUE"""),"application/x-shockwave-flash – An interactive Flash animation or application, formerly used for web games and media (now deprecated).")</f>
        <v/>
      </c>
      <c r="F134" s="7" t="n"/>
      <c r="G134" s="8" t="n">
        <v>0</v>
      </c>
      <c r="H134" s="8" t="n">
        <v>0</v>
      </c>
      <c r="I134" s="8" t="n">
        <v>0</v>
      </c>
      <c r="J134" s="8" t="n">
        <v>0</v>
      </c>
      <c r="K134" s="9" t="n">
        <v>0</v>
      </c>
      <c r="L134" s="9" t="n">
        <v>0</v>
      </c>
      <c r="M134" s="9" t="n">
        <v>0</v>
      </c>
      <c r="N134" s="9" t="n">
        <v>0</v>
      </c>
      <c r="O134" s="10" t="n">
        <v>0</v>
      </c>
      <c r="P134" s="10" t="n">
        <v>0</v>
      </c>
      <c r="Q134" s="10" t="n">
        <v>0</v>
      </c>
      <c r="R134" s="10" t="n">
        <v>0</v>
      </c>
      <c r="S134" s="10" t="n">
        <v>0</v>
      </c>
    </row>
    <row r="135" ht="395" customHeight="1">
      <c r="A135" s="6">
        <f>IFERROR(__xludf.DUMMYFUNCTION("""COMPUTED_VALUE"""),"The color of the light")</f>
        <v/>
      </c>
      <c r="B135" s="6">
        <f>IFERROR(__xludf.DUMMYFUNCTION("""COMPUTED_VALUE"""),"Application")</f>
        <v/>
      </c>
      <c r="C135" s="6">
        <f>IFERROR(__xludf.DUMMYFUNCTION("""COMPUTED_VALUE"""),"Observation Tool")</f>
        <v/>
      </c>
      <c r="D135" s="7">
        <f>IFERROR(__xludf.DUMMYFUNCTION("""COMPUTED_VALUE"""),"No task description")</f>
        <v/>
      </c>
      <c r="E13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135" s="7" t="n"/>
      <c r="G135" s="8" t="n">
        <v>0</v>
      </c>
      <c r="H135" s="8" t="n">
        <v>0</v>
      </c>
      <c r="I135" s="8" t="n">
        <v>1</v>
      </c>
      <c r="J135" s="8" t="n">
        <v>0</v>
      </c>
      <c r="K135" s="9" t="n">
        <v>0</v>
      </c>
      <c r="L135" s="9" t="n">
        <v>1</v>
      </c>
      <c r="M135" s="9" t="n">
        <v>0</v>
      </c>
      <c r="N135" s="9" t="n">
        <v>0</v>
      </c>
      <c r="O135" s="10" t="n">
        <v>0</v>
      </c>
      <c r="P135" s="10" t="n">
        <v>0</v>
      </c>
      <c r="Q135" s="10" t="n">
        <v>1</v>
      </c>
      <c r="R135" s="10" t="n">
        <v>0</v>
      </c>
      <c r="S135" s="10" t="n">
        <v>0</v>
      </c>
    </row>
    <row r="136" ht="409.5" customHeight="1">
      <c r="A136" s="6">
        <f>IFERROR(__xludf.DUMMYFUNCTION("""COMPUTED_VALUE"""),"The color of the light")</f>
        <v/>
      </c>
      <c r="B136" s="6">
        <f>IFERROR(__xludf.DUMMYFUNCTION("""COMPUTED_VALUE"""),"Application")</f>
        <v/>
      </c>
      <c r="C136" s="6">
        <f>IFERROR(__xludf.DUMMYFUNCTION("""COMPUTED_VALUE"""),"The color of the light Laboratory")</f>
        <v/>
      </c>
      <c r="D136" s="7">
        <f>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
      </c>
      <c r="E136" s="7">
        <f>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
      </c>
      <c r="F136" s="7" t="n"/>
      <c r="G136" s="8" t="n">
        <v>0</v>
      </c>
      <c r="H136" s="8" t="n">
        <v>1</v>
      </c>
      <c r="I136" s="8" t="n">
        <v>0</v>
      </c>
      <c r="J136" s="8" t="n">
        <v>0</v>
      </c>
      <c r="K136" s="9" t="n">
        <v>1</v>
      </c>
      <c r="L136" s="9" t="n">
        <v>0</v>
      </c>
      <c r="M136" s="9" t="n">
        <v>0</v>
      </c>
      <c r="N136" s="9" t="n">
        <v>0</v>
      </c>
      <c r="O136" s="10" t="n">
        <v>0</v>
      </c>
      <c r="P136" s="10" t="n">
        <v>0</v>
      </c>
      <c r="Q136" s="10" t="n">
        <v>1</v>
      </c>
      <c r="R136" s="10" t="n">
        <v>0</v>
      </c>
      <c r="S136" s="10" t="n">
        <v>0</v>
      </c>
    </row>
    <row r="137" ht="241" customHeight="1">
      <c r="A137" s="6">
        <f>IFERROR(__xludf.DUMMYFUNCTION("""COMPUTED_VALUE"""),"The color of the light")</f>
        <v/>
      </c>
      <c r="B137" s="6">
        <f>IFERROR(__xludf.DUMMYFUNCTION("""COMPUTED_VALUE"""),"Resource")</f>
        <v/>
      </c>
      <c r="C137" s="6">
        <f>IFERROR(__xludf.DUMMYFUNCTION("""COMPUTED_VALUE"""),"End.graasp")</f>
        <v/>
      </c>
      <c r="D137" s="7">
        <f>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
      </c>
      <c r="E137" s="7">
        <f>IFERROR(__xludf.DUMMYFUNCTION("""COMPUTED_VALUE"""),"No artifact embedded")</f>
        <v/>
      </c>
      <c r="F137" s="7" t="n"/>
      <c r="G137" s="8" t="n">
        <v>0</v>
      </c>
      <c r="H137" s="8" t="n">
        <v>0</v>
      </c>
      <c r="I137" s="8" t="n">
        <v>1</v>
      </c>
      <c r="J137" s="8" t="n">
        <v>0</v>
      </c>
      <c r="K137" s="9" t="n">
        <v>0</v>
      </c>
      <c r="L137" s="9" t="n">
        <v>1</v>
      </c>
      <c r="M137" s="9" t="n">
        <v>0</v>
      </c>
      <c r="N137" s="9" t="n">
        <v>0</v>
      </c>
      <c r="O137" s="10" t="n">
        <v>0</v>
      </c>
      <c r="P137" s="10" t="n">
        <v>0</v>
      </c>
      <c r="Q137" s="10" t="n">
        <v>0</v>
      </c>
      <c r="R137" s="10" t="n">
        <v>1</v>
      </c>
      <c r="S137" s="10" t="n">
        <v>0</v>
      </c>
    </row>
    <row r="138" ht="329" customHeight="1">
      <c r="A138" s="6">
        <f>IFERROR(__xludf.DUMMYFUNCTION("""COMPUTED_VALUE"""),"The color of the light")</f>
        <v/>
      </c>
      <c r="B138" s="6">
        <f>IFERROR(__xludf.DUMMYFUNCTION("""COMPUTED_VALUE"""),"Application")</f>
        <v/>
      </c>
      <c r="C138" s="6">
        <f>IFERROR(__xludf.DUMMYFUNCTION("""COMPUTED_VALUE"""),"Input Box")</f>
        <v/>
      </c>
      <c r="D138" s="7">
        <f>IFERROR(__xludf.DUMMYFUNCTION("""COMPUTED_VALUE"""),"No task description")</f>
        <v/>
      </c>
      <c r="E1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38" s="7" t="n"/>
      <c r="G138" s="8" t="n">
        <v>0</v>
      </c>
      <c r="H138" s="8" t="n">
        <v>0</v>
      </c>
      <c r="I138" s="8" t="n">
        <v>1</v>
      </c>
      <c r="J138" s="8" t="n">
        <v>0</v>
      </c>
      <c r="K138" s="9" t="n">
        <v>0</v>
      </c>
      <c r="L138" s="9" t="n">
        <v>1</v>
      </c>
      <c r="M138" s="9" t="n">
        <v>0</v>
      </c>
      <c r="N138" s="9" t="n">
        <v>0</v>
      </c>
      <c r="O138" s="10" t="n">
        <v>0</v>
      </c>
      <c r="P138" s="10" t="n">
        <v>0</v>
      </c>
      <c r="Q138" s="10" t="n">
        <v>0</v>
      </c>
      <c r="R138" s="10" t="n">
        <v>0</v>
      </c>
      <c r="S138" s="10" t="n">
        <v>0</v>
      </c>
    </row>
    <row r="139" ht="296" customHeight="1">
      <c r="A139" s="6">
        <f>IFERROR(__xludf.DUMMYFUNCTION("""COMPUTED_VALUE"""),"The color of the light")</f>
        <v/>
      </c>
      <c r="B139" s="6">
        <f>IFERROR(__xludf.DUMMYFUNCTION("""COMPUTED_VALUE"""),"Space")</f>
        <v/>
      </c>
      <c r="C139" s="6">
        <f>IFERROR(__xludf.DUMMYFUNCTION("""COMPUTED_VALUE"""),"Conclusion")</f>
        <v/>
      </c>
      <c r="D139" s="7">
        <f>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
      </c>
      <c r="E139" s="7">
        <f>IFERROR(__xludf.DUMMYFUNCTION("""COMPUTED_VALUE"""),"No artifact embedded")</f>
        <v/>
      </c>
      <c r="F139" s="7" t="n"/>
      <c r="G139" s="8" t="n">
        <v>0</v>
      </c>
      <c r="H139" s="8" t="n">
        <v>0</v>
      </c>
      <c r="I139" s="8" t="n">
        <v>1</v>
      </c>
      <c r="J139" s="8" t="n">
        <v>0</v>
      </c>
      <c r="K139" s="9" t="n">
        <v>0</v>
      </c>
      <c r="L139" s="9" t="n">
        <v>1</v>
      </c>
      <c r="M139" s="9" t="n">
        <v>0</v>
      </c>
      <c r="N139" s="9" t="n">
        <v>0</v>
      </c>
      <c r="O139" s="10" t="n">
        <v>0</v>
      </c>
      <c r="P139" s="10" t="n">
        <v>0</v>
      </c>
      <c r="Q139" s="10" t="n">
        <v>0</v>
      </c>
      <c r="R139" s="10" t="n">
        <v>1</v>
      </c>
      <c r="S139" s="10" t="n">
        <v>0</v>
      </c>
    </row>
    <row r="140" ht="409.5" customHeight="1">
      <c r="A140" s="6">
        <f>IFERROR(__xludf.DUMMYFUNCTION("""COMPUTED_VALUE"""),"The color of the light")</f>
        <v/>
      </c>
      <c r="B140" s="6">
        <f>IFERROR(__xludf.DUMMYFUNCTION("""COMPUTED_VALUE"""),"Resource")</f>
        <v/>
      </c>
      <c r="C140" s="6">
        <f>IFERROR(__xludf.DUMMYFUNCTION("""COMPUTED_VALUE"""),"Hints.graasp")</f>
        <v/>
      </c>
      <c r="D140" s="7">
        <f>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
      </c>
      <c r="E140" s="7">
        <f>IFERROR(__xludf.DUMMYFUNCTION("""COMPUTED_VALUE"""),"No artifact embedded")</f>
        <v/>
      </c>
      <c r="F140" s="7" t="n"/>
      <c r="G140" s="8" t="n">
        <v>1</v>
      </c>
      <c r="H140" s="8" t="n">
        <v>0</v>
      </c>
      <c r="I140" s="8" t="n">
        <v>0</v>
      </c>
      <c r="J140" s="8" t="n">
        <v>0</v>
      </c>
      <c r="K140" s="9" t="n">
        <v>1</v>
      </c>
      <c r="L140" s="9" t="n">
        <v>0</v>
      </c>
      <c r="M140" s="9" t="n">
        <v>0</v>
      </c>
      <c r="N140" s="9" t="n">
        <v>0</v>
      </c>
      <c r="O140" s="10" t="n">
        <v>1</v>
      </c>
      <c r="P140" s="10" t="n">
        <v>0</v>
      </c>
      <c r="Q140" s="10" t="n">
        <v>0</v>
      </c>
      <c r="R140" s="10" t="n">
        <v>0</v>
      </c>
      <c r="S140" s="10" t="n">
        <v>0</v>
      </c>
    </row>
    <row r="141" ht="409.5" customHeight="1">
      <c r="A141" s="6">
        <f>IFERROR(__xludf.DUMMYFUNCTION("""COMPUTED_VALUE"""),"The color of the light")</f>
        <v/>
      </c>
      <c r="B141" s="6">
        <f>IFERROR(__xludf.DUMMYFUNCTION("""COMPUTED_VALUE"""),"Application")</f>
        <v/>
      </c>
      <c r="C141" s="6">
        <f>IFERROR(__xludf.DUMMYFUNCTION("""COMPUTED_VALUE"""),"Conclusion Tool")</f>
        <v/>
      </c>
      <c r="D141" s="7">
        <f>IFERROR(__xludf.DUMMYFUNCTION("""COMPUTED_VALUE"""),"No task description")</f>
        <v/>
      </c>
      <c r="E14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141" s="7" t="n"/>
      <c r="G141" s="8" t="n">
        <v>0</v>
      </c>
      <c r="H141" s="8" t="n">
        <v>0</v>
      </c>
      <c r="I141" s="8" t="n">
        <v>1</v>
      </c>
      <c r="J141" s="8" t="n">
        <v>0</v>
      </c>
      <c r="K141" s="9" t="n">
        <v>0</v>
      </c>
      <c r="L141" s="9" t="n">
        <v>1</v>
      </c>
      <c r="M141" s="9" t="n">
        <v>0</v>
      </c>
      <c r="N141" s="9" t="n">
        <v>0</v>
      </c>
      <c r="O141" s="10" t="n">
        <v>0</v>
      </c>
      <c r="P141" s="10" t="n">
        <v>0</v>
      </c>
      <c r="Q141" s="10" t="n">
        <v>0</v>
      </c>
      <c r="R141" s="10" t="n">
        <v>1</v>
      </c>
      <c r="S141" s="10" t="n">
        <v>0</v>
      </c>
    </row>
    <row r="142" ht="409.5" customHeight="1">
      <c r="A142" s="6">
        <f>IFERROR(__xludf.DUMMYFUNCTION("""COMPUTED_VALUE"""),"The color of the light")</f>
        <v/>
      </c>
      <c r="B142" s="6">
        <f>IFERROR(__xludf.DUMMYFUNCTION("""COMPUTED_VALUE"""),"Resource")</f>
        <v/>
      </c>
      <c r="C142" s="6">
        <f>IFERROR(__xludf.DUMMYFUNCTION("""COMPUTED_VALUE"""),"Text block after conclusion.graasp")</f>
        <v/>
      </c>
      <c r="D142" s="7">
        <f>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
      </c>
      <c r="E142" s="7">
        <f>IFERROR(__xludf.DUMMYFUNCTION("""COMPUTED_VALUE"""),"No artifact embedded")</f>
        <v/>
      </c>
      <c r="F142" s="7" t="n"/>
      <c r="G142" s="8" t="n">
        <v>1</v>
      </c>
      <c r="H142" s="8" t="n">
        <v>0</v>
      </c>
      <c r="I142" s="8" t="n">
        <v>0</v>
      </c>
      <c r="J142" s="8" t="n">
        <v>0</v>
      </c>
      <c r="K142" s="9" t="n">
        <v>1</v>
      </c>
      <c r="L142" s="9" t="n">
        <v>0</v>
      </c>
      <c r="M142" s="9" t="n">
        <v>0</v>
      </c>
      <c r="N142" s="9" t="n">
        <v>0</v>
      </c>
      <c r="O142" s="10" t="n">
        <v>0</v>
      </c>
      <c r="P142" s="10" t="n">
        <v>0</v>
      </c>
      <c r="Q142" s="10" t="n">
        <v>0</v>
      </c>
      <c r="R142" s="10" t="n">
        <v>0</v>
      </c>
      <c r="S142" s="10" t="n">
        <v>1</v>
      </c>
    </row>
    <row r="143" ht="25" customHeight="1">
      <c r="A143" s="6">
        <f>IFERROR(__xludf.DUMMYFUNCTION("""COMPUTED_VALUE"""),"The color of the light")</f>
        <v/>
      </c>
      <c r="B143" s="6">
        <f>IFERROR(__xludf.DUMMYFUNCTION("""COMPUTED_VALUE"""),"Space")</f>
        <v/>
      </c>
      <c r="C143" s="6">
        <f>IFERROR(__xludf.DUMMYFUNCTION("""COMPUTED_VALUE"""),"Discussion")</f>
        <v/>
      </c>
      <c r="D143" s="7">
        <f>IFERROR(__xludf.DUMMYFUNCTION("""COMPUTED_VALUE"""),"No task description")</f>
        <v/>
      </c>
      <c r="E143" s="7">
        <f>IFERROR(__xludf.DUMMYFUNCTION("""COMPUTED_VALUE"""),"No artifact embedded")</f>
        <v/>
      </c>
      <c r="F143" s="7" t="n"/>
      <c r="G143" s="8" t="n">
        <v>0</v>
      </c>
      <c r="H143" s="8" t="n">
        <v>0</v>
      </c>
      <c r="I143" s="8" t="n">
        <v>0</v>
      </c>
      <c r="J143" s="8" t="n">
        <v>0</v>
      </c>
      <c r="K143" s="9" t="n">
        <v>0</v>
      </c>
      <c r="L143" s="9" t="n">
        <v>0</v>
      </c>
      <c r="M143" s="9" t="n">
        <v>0</v>
      </c>
      <c r="N143" s="9" t="n">
        <v>0</v>
      </c>
      <c r="O143" s="10" t="n">
        <v>0</v>
      </c>
      <c r="P143" s="10" t="n">
        <v>0</v>
      </c>
      <c r="Q143" s="10" t="n">
        <v>0</v>
      </c>
      <c r="R143" s="10" t="n">
        <v>0</v>
      </c>
      <c r="S143" s="10" t="n">
        <v>0</v>
      </c>
    </row>
    <row r="144" ht="409.5" customHeight="1">
      <c r="A144" s="6">
        <f>IFERROR(__xludf.DUMMYFUNCTION("""COMPUTED_VALUE"""),"The color of the light")</f>
        <v/>
      </c>
      <c r="B144" s="6">
        <f>IFERROR(__xludf.DUMMYFUNCTION("""COMPUTED_VALUE"""),"Resource")</f>
        <v/>
      </c>
      <c r="C144" s="6">
        <f>IFERROR(__xludf.DUMMYFUNCTION("""COMPUTED_VALUE"""),"Intro.graasp")</f>
        <v/>
      </c>
      <c r="D144" s="7">
        <f>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
      </c>
      <c r="E144" s="7">
        <f>IFERROR(__xludf.DUMMYFUNCTION("""COMPUTED_VALUE"""),"No artifact embedded")</f>
        <v/>
      </c>
      <c r="F144" s="7" t="n"/>
      <c r="G144" s="8" t="n">
        <v>0</v>
      </c>
      <c r="H144" s="8" t="n">
        <v>0</v>
      </c>
      <c r="I144" s="8" t="n">
        <v>1</v>
      </c>
      <c r="J144" s="8" t="n">
        <v>0</v>
      </c>
      <c r="K144" s="9" t="n">
        <v>0</v>
      </c>
      <c r="L144" s="9" t="n">
        <v>1</v>
      </c>
      <c r="M144" s="9" t="n">
        <v>0</v>
      </c>
      <c r="N144" s="9" t="n">
        <v>0</v>
      </c>
      <c r="O144" s="10" t="n">
        <v>0</v>
      </c>
      <c r="P144" s="10" t="n">
        <v>0</v>
      </c>
      <c r="Q144" s="10" t="n">
        <v>0</v>
      </c>
      <c r="R144" s="10" t="n">
        <v>0</v>
      </c>
      <c r="S144" s="10" t="n">
        <v>1</v>
      </c>
    </row>
    <row r="145" ht="329" customHeight="1">
      <c r="A145" s="6">
        <f>IFERROR(__xludf.DUMMYFUNCTION("""COMPUTED_VALUE"""),"The color of the light")</f>
        <v/>
      </c>
      <c r="B145" s="6">
        <f>IFERROR(__xludf.DUMMYFUNCTION("""COMPUTED_VALUE"""),"Application")</f>
        <v/>
      </c>
      <c r="C145" s="6">
        <f>IFERROR(__xludf.DUMMYFUNCTION("""COMPUTED_VALUE"""),"Input Box")</f>
        <v/>
      </c>
      <c r="D145" s="7">
        <f>IFERROR(__xludf.DUMMYFUNCTION("""COMPUTED_VALUE"""),"No task description")</f>
        <v/>
      </c>
      <c r="E1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45" s="7" t="n"/>
      <c r="G145" s="8" t="n">
        <v>0</v>
      </c>
      <c r="H145" s="8" t="n">
        <v>0</v>
      </c>
      <c r="I145" s="8" t="n">
        <v>1</v>
      </c>
      <c r="J145" s="8" t="n">
        <v>0</v>
      </c>
      <c r="K145" s="9" t="n">
        <v>0</v>
      </c>
      <c r="L145" s="9" t="n">
        <v>1</v>
      </c>
      <c r="M145" s="9" t="n">
        <v>0</v>
      </c>
      <c r="N145" s="9" t="n">
        <v>0</v>
      </c>
      <c r="O145" s="10" t="n">
        <v>0</v>
      </c>
      <c r="P145" s="10" t="n">
        <v>0</v>
      </c>
      <c r="Q145" s="10" t="n">
        <v>0</v>
      </c>
      <c r="R145" s="10" t="n">
        <v>0</v>
      </c>
      <c r="S145" s="10" t="n">
        <v>0</v>
      </c>
    </row>
    <row r="146" ht="193" customHeight="1">
      <c r="A146" s="6">
        <f>IFERROR(__xludf.DUMMYFUNCTION("""COMPUTED_VALUE"""),"The color of the light")</f>
        <v/>
      </c>
      <c r="B146" s="6">
        <f>IFERROR(__xludf.DUMMYFUNCTION("""COMPUTED_VALUE"""),"Resource")</f>
        <v/>
      </c>
      <c r="C146" s="6">
        <f>IFERROR(__xludf.DUMMYFUNCTION("""COMPUTED_VALUE"""),"Report.graasp")</f>
        <v/>
      </c>
      <c r="D146" s="7">
        <f>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
      </c>
      <c r="E146" s="7">
        <f>IFERROR(__xludf.DUMMYFUNCTION("""COMPUTED_VALUE"""),"No artifact embedded")</f>
        <v/>
      </c>
      <c r="F146" s="7" t="n"/>
      <c r="G146" s="8" t="n">
        <v>0</v>
      </c>
      <c r="H146" s="8" t="n">
        <v>0</v>
      </c>
      <c r="I146" s="8" t="n">
        <v>1</v>
      </c>
      <c r="J146" s="8" t="n">
        <v>0</v>
      </c>
      <c r="K146" s="9" t="n">
        <v>0</v>
      </c>
      <c r="L146" s="9" t="n">
        <v>1</v>
      </c>
      <c r="M146" s="9" t="n">
        <v>0</v>
      </c>
      <c r="N146" s="9" t="n">
        <v>0</v>
      </c>
      <c r="O146" s="10" t="n">
        <v>0</v>
      </c>
      <c r="P146" s="10" t="n">
        <v>0</v>
      </c>
      <c r="Q146" s="10" t="n">
        <v>0</v>
      </c>
      <c r="R146" s="10" t="n">
        <v>0</v>
      </c>
      <c r="S146" s="10" t="n">
        <v>1</v>
      </c>
    </row>
    <row r="147" ht="409.5" customHeight="1">
      <c r="A147" s="6">
        <f>IFERROR(__xludf.DUMMYFUNCTION("""COMPUTED_VALUE"""),"The color of the light")</f>
        <v/>
      </c>
      <c r="B147" s="6">
        <f>IFERROR(__xludf.DUMMYFUNCTION("""COMPUTED_VALUE"""),"Application")</f>
        <v/>
      </c>
      <c r="C147" s="6">
        <f>IFERROR(__xludf.DUMMYFUNCTION("""COMPUTED_VALUE"""),"Report tool")</f>
        <v/>
      </c>
      <c r="D147" s="7">
        <f>IFERROR(__xludf.DUMMYFUNCTION("""COMPUTED_VALUE"""),"No task description")</f>
        <v/>
      </c>
      <c r="E147"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147" s="7" t="n"/>
      <c r="G147" s="8" t="n">
        <v>0</v>
      </c>
      <c r="H147" s="8" t="n">
        <v>0</v>
      </c>
      <c r="I147" s="8" t="n">
        <v>1</v>
      </c>
      <c r="J147" s="8" t="n">
        <v>0</v>
      </c>
      <c r="K147" s="9" t="n">
        <v>0</v>
      </c>
      <c r="L147" s="9" t="n">
        <v>1</v>
      </c>
      <c r="M147" s="9" t="n">
        <v>0</v>
      </c>
      <c r="N147" s="9" t="n">
        <v>0</v>
      </c>
      <c r="O147" s="10" t="n">
        <v>0</v>
      </c>
      <c r="P147" s="10" t="n">
        <v>0</v>
      </c>
      <c r="Q147" s="10" t="n">
        <v>0</v>
      </c>
      <c r="R147" s="10" t="n">
        <v>0</v>
      </c>
      <c r="S147" s="10" t="n">
        <v>1</v>
      </c>
    </row>
    <row r="148" ht="25" customHeight="1">
      <c r="A148" s="6">
        <f>IFERROR(__xludf.DUMMYFUNCTION("""COMPUTED_VALUE"""),"Refraction of light 2")</f>
        <v/>
      </c>
      <c r="B148" s="6">
        <f>IFERROR(__xludf.DUMMYFUNCTION("""COMPUTED_VALUE"""),"Space")</f>
        <v/>
      </c>
      <c r="C148" s="6">
        <f>IFERROR(__xludf.DUMMYFUNCTION("""COMPUTED_VALUE"""),"A rainbow")</f>
        <v/>
      </c>
      <c r="D148" s="7">
        <f>IFERROR(__xludf.DUMMYFUNCTION("""COMPUTED_VALUE"""),"No task description")</f>
        <v/>
      </c>
      <c r="E148" s="7">
        <f>IFERROR(__xludf.DUMMYFUNCTION("""COMPUTED_VALUE"""),"No artifact embedded")</f>
        <v/>
      </c>
      <c r="F148" s="7" t="n"/>
      <c r="G148" s="8" t="n">
        <v>0</v>
      </c>
      <c r="H148" s="8" t="n">
        <v>0</v>
      </c>
      <c r="I148" s="8" t="n">
        <v>0</v>
      </c>
      <c r="J148" s="8" t="n">
        <v>0</v>
      </c>
      <c r="K148" s="9" t="n">
        <v>0</v>
      </c>
      <c r="L148" s="9" t="n">
        <v>0</v>
      </c>
      <c r="M148" s="9" t="n">
        <v>0</v>
      </c>
      <c r="N148" s="9" t="n">
        <v>0</v>
      </c>
      <c r="O148" s="10" t="n">
        <v>0</v>
      </c>
      <c r="P148" s="10" t="n">
        <v>0</v>
      </c>
      <c r="Q148" s="10" t="n">
        <v>0</v>
      </c>
      <c r="R148" s="10" t="n">
        <v>0</v>
      </c>
      <c r="S148" s="10" t="n">
        <v>0</v>
      </c>
    </row>
    <row r="149" ht="121" customHeight="1">
      <c r="A149" s="6">
        <f>IFERROR(__xludf.DUMMYFUNCTION("""COMPUTED_VALUE"""),"Refraction of light 2")</f>
        <v/>
      </c>
      <c r="B149" s="6">
        <f>IFERROR(__xludf.DUMMYFUNCTION("""COMPUTED_VALUE"""),"Resource")</f>
        <v/>
      </c>
      <c r="C149" s="6">
        <f>IFERROR(__xludf.DUMMYFUNCTION("""COMPUTED_VALUE"""),"rainbow.jpg")</f>
        <v/>
      </c>
      <c r="D149" s="7">
        <f>IFERROR(__xludf.DUMMYFUNCTION("""COMPUTED_VALUE"""),"No task description")</f>
        <v/>
      </c>
      <c r="E149" s="7">
        <f>IFERROR(__xludf.DUMMYFUNCTION("""COMPUTED_VALUE"""),"image/jpeg – A digital photograph or web image stored in a compressed format, often used for photography and web graphics.")</f>
        <v/>
      </c>
      <c r="F149" s="7" t="n"/>
      <c r="G149" s="8" t="n">
        <v>0</v>
      </c>
      <c r="H149" s="8" t="n">
        <v>0</v>
      </c>
      <c r="I149" s="8" t="n">
        <v>0</v>
      </c>
      <c r="J149" s="8" t="n">
        <v>0</v>
      </c>
      <c r="K149" s="9" t="n">
        <v>0</v>
      </c>
      <c r="L149" s="9" t="n">
        <v>0</v>
      </c>
      <c r="M149" s="9" t="n">
        <v>0</v>
      </c>
      <c r="N149" s="9" t="n">
        <v>0</v>
      </c>
      <c r="O149" s="10" t="n">
        <v>0</v>
      </c>
      <c r="P149" s="10" t="n">
        <v>0</v>
      </c>
      <c r="Q149" s="10" t="n">
        <v>0</v>
      </c>
      <c r="R149" s="10" t="n">
        <v>0</v>
      </c>
      <c r="S149" s="10" t="n">
        <v>0</v>
      </c>
    </row>
    <row r="150" ht="61" customHeight="1">
      <c r="A150" s="6">
        <f>IFERROR(__xludf.DUMMYFUNCTION("""COMPUTED_VALUE"""),"Refraction of light 2")</f>
        <v/>
      </c>
      <c r="B150" s="6">
        <f>IFERROR(__xludf.DUMMYFUNCTION("""COMPUTED_VALUE"""),"Resource")</f>
        <v/>
      </c>
      <c r="C150" s="6">
        <f>IFERROR(__xludf.DUMMYFUNCTION("""COMPUTED_VALUE"""),"Question.graasp")</f>
        <v/>
      </c>
      <c r="D150" s="7">
        <f>IFERROR(__xludf.DUMMYFUNCTION("""COMPUTED_VALUE"""),"&lt;p&gt;Sometimes you can see a rainbow in the sky. When does this happen?&lt;/p&gt;")</f>
        <v/>
      </c>
      <c r="E150" s="7">
        <f>IFERROR(__xludf.DUMMYFUNCTION("""COMPUTED_VALUE"""),"No artifact embedded")</f>
        <v/>
      </c>
      <c r="F150" s="7" t="n"/>
      <c r="G150" s="8" t="n">
        <v>1</v>
      </c>
      <c r="H150" s="8" t="n">
        <v>0</v>
      </c>
      <c r="I150" s="8" t="n">
        <v>0</v>
      </c>
      <c r="J150" s="8" t="n">
        <v>0</v>
      </c>
      <c r="K150" s="9" t="n">
        <v>1</v>
      </c>
      <c r="L150" s="9" t="n">
        <v>0</v>
      </c>
      <c r="M150" s="9" t="n">
        <v>0</v>
      </c>
      <c r="N150" s="9" t="n">
        <v>0</v>
      </c>
      <c r="O150" s="10" t="n">
        <v>1</v>
      </c>
      <c r="P150" s="10" t="n">
        <v>0</v>
      </c>
      <c r="Q150" s="10" t="n">
        <v>0</v>
      </c>
      <c r="R150" s="10" t="n">
        <v>0</v>
      </c>
      <c r="S150" s="10" t="n">
        <v>0</v>
      </c>
    </row>
    <row r="151" ht="329" customHeight="1">
      <c r="A151" s="6">
        <f>IFERROR(__xludf.DUMMYFUNCTION("""COMPUTED_VALUE"""),"Refraction of light 2")</f>
        <v/>
      </c>
      <c r="B151" s="6">
        <f>IFERROR(__xludf.DUMMYFUNCTION("""COMPUTED_VALUE"""),"Application")</f>
        <v/>
      </c>
      <c r="C151" s="6">
        <f>IFERROR(__xludf.DUMMYFUNCTION("""COMPUTED_VALUE"""),"Input Box")</f>
        <v/>
      </c>
      <c r="D151" s="7">
        <f>IFERROR(__xludf.DUMMYFUNCTION("""COMPUTED_VALUE"""),"No task description")</f>
        <v/>
      </c>
      <c r="E1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1" s="7" t="n"/>
      <c r="G151" s="8" t="n">
        <v>0</v>
      </c>
      <c r="H151" s="8" t="n">
        <v>0</v>
      </c>
      <c r="I151" s="8" t="n">
        <v>1</v>
      </c>
      <c r="J151" s="8" t="n">
        <v>0</v>
      </c>
      <c r="K151" s="9" t="n">
        <v>0</v>
      </c>
      <c r="L151" s="9" t="n">
        <v>1</v>
      </c>
      <c r="M151" s="9" t="n">
        <v>0</v>
      </c>
      <c r="N151" s="9" t="n">
        <v>0</v>
      </c>
      <c r="O151" s="10" t="n">
        <v>0</v>
      </c>
      <c r="P151" s="10" t="n">
        <v>0</v>
      </c>
      <c r="Q151" s="10" t="n">
        <v>0</v>
      </c>
      <c r="R151" s="10" t="n">
        <v>0</v>
      </c>
      <c r="S151" s="10" t="n">
        <v>0</v>
      </c>
    </row>
    <row r="152" ht="49" customHeight="1">
      <c r="A152" s="6">
        <f>IFERROR(__xludf.DUMMYFUNCTION("""COMPUTED_VALUE"""),"Refraction of light 2")</f>
        <v/>
      </c>
      <c r="B152" s="6">
        <f>IFERROR(__xludf.DUMMYFUNCTION("""COMPUTED_VALUE"""),"Resource")</f>
        <v/>
      </c>
      <c r="C152" s="6">
        <f>IFERROR(__xludf.DUMMYFUNCTION("""COMPUTED_VALUE"""),"Question2.graasp")</f>
        <v/>
      </c>
      <c r="D152" s="7">
        <f>IFERROR(__xludf.DUMMYFUNCTION("""COMPUTED_VALUE"""),"&lt;p&gt;What could cause that you can see a rainbow?&lt;/p&gt;")</f>
        <v/>
      </c>
      <c r="E152" s="7">
        <f>IFERROR(__xludf.DUMMYFUNCTION("""COMPUTED_VALUE"""),"No artifact embedded")</f>
        <v/>
      </c>
      <c r="F152" s="7" t="n"/>
      <c r="G152" s="8" t="n">
        <v>1</v>
      </c>
      <c r="H152" s="8" t="n">
        <v>0</v>
      </c>
      <c r="I152" s="8" t="n">
        <v>0</v>
      </c>
      <c r="J152" s="8" t="n">
        <v>0</v>
      </c>
      <c r="K152" s="9" t="n">
        <v>1</v>
      </c>
      <c r="L152" s="9" t="n">
        <v>0</v>
      </c>
      <c r="M152" s="9" t="n">
        <v>0</v>
      </c>
      <c r="N152" s="9" t="n">
        <v>0</v>
      </c>
      <c r="O152" s="10" t="n">
        <v>1</v>
      </c>
      <c r="P152" s="10" t="n">
        <v>0</v>
      </c>
      <c r="Q152" s="10" t="n">
        <v>0</v>
      </c>
      <c r="R152" s="10" t="n">
        <v>0</v>
      </c>
      <c r="S152" s="10" t="n">
        <v>0</v>
      </c>
    </row>
    <row r="153" ht="329" customHeight="1">
      <c r="A153" s="6">
        <f>IFERROR(__xludf.DUMMYFUNCTION("""COMPUTED_VALUE"""),"Refraction of light 2")</f>
        <v/>
      </c>
      <c r="B153" s="6">
        <f>IFERROR(__xludf.DUMMYFUNCTION("""COMPUTED_VALUE"""),"Application")</f>
        <v/>
      </c>
      <c r="C153" s="6">
        <f>IFERROR(__xludf.DUMMYFUNCTION("""COMPUTED_VALUE"""),"Input Box (1)")</f>
        <v/>
      </c>
      <c r="D153" s="7">
        <f>IFERROR(__xludf.DUMMYFUNCTION("""COMPUTED_VALUE"""),"No task description")</f>
        <v/>
      </c>
      <c r="E1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3" s="7" t="n"/>
      <c r="G153" s="8" t="n">
        <v>0</v>
      </c>
      <c r="H153" s="8" t="n">
        <v>0</v>
      </c>
      <c r="I153" s="8" t="n">
        <v>1</v>
      </c>
      <c r="J153" s="8" t="n">
        <v>0</v>
      </c>
      <c r="K153" s="9" t="n">
        <v>0</v>
      </c>
      <c r="L153" s="9" t="n">
        <v>1</v>
      </c>
      <c r="M153" s="9" t="n">
        <v>0</v>
      </c>
      <c r="N153" s="9" t="n">
        <v>0</v>
      </c>
      <c r="O153" s="10" t="n">
        <v>0</v>
      </c>
      <c r="P153" s="10" t="n">
        <v>0</v>
      </c>
      <c r="Q153" s="10" t="n">
        <v>0</v>
      </c>
      <c r="R153" s="10" t="n">
        <v>0</v>
      </c>
      <c r="S153" s="10" t="n">
        <v>0</v>
      </c>
    </row>
    <row r="154" ht="121" customHeight="1">
      <c r="A154" s="6">
        <f>IFERROR(__xludf.DUMMYFUNCTION("""COMPUTED_VALUE"""),"Refraction of light 2")</f>
        <v/>
      </c>
      <c r="B154" s="6">
        <f>IFERROR(__xludf.DUMMYFUNCTION("""COMPUTED_VALUE"""),"Resource")</f>
        <v/>
      </c>
      <c r="C154" s="6">
        <f>IFERROR(__xludf.DUMMYFUNCTION("""COMPUTED_VALUE"""),"This lesson.graasp")</f>
        <v/>
      </c>
      <c r="D154" s="7">
        <f>IFERROR(__xludf.DUMMYFUNCTION("""COMPUTED_VALUE"""),"&lt;p&gt;In this lesson you will discover more about this. You will find out whether your thoughts are correct. Press  ""The colour of light"" to go on.&lt;br&gt;&lt;/p&gt;")</f>
        <v/>
      </c>
      <c r="E154" s="7">
        <f>IFERROR(__xludf.DUMMYFUNCTION("""COMPUTED_VALUE"""),"No artifact embedded")</f>
        <v/>
      </c>
      <c r="F154" s="7" t="n"/>
      <c r="G154" s="8" t="n">
        <v>0</v>
      </c>
      <c r="H154" s="8" t="n">
        <v>0</v>
      </c>
      <c r="I154" s="8" t="n">
        <v>0</v>
      </c>
      <c r="J154" s="8" t="n">
        <v>0</v>
      </c>
      <c r="K154" s="9" t="n">
        <v>0</v>
      </c>
      <c r="L154" s="9" t="n">
        <v>0</v>
      </c>
      <c r="M154" s="9" t="n">
        <v>0</v>
      </c>
      <c r="N154" s="9" t="n">
        <v>0</v>
      </c>
      <c r="O154" s="10" t="n">
        <v>0</v>
      </c>
      <c r="P154" s="10" t="n">
        <v>0</v>
      </c>
      <c r="Q154" s="10" t="n">
        <v>0</v>
      </c>
      <c r="R154" s="10" t="n">
        <v>0</v>
      </c>
      <c r="S154" s="10" t="n">
        <v>0</v>
      </c>
    </row>
    <row r="155" ht="252" customHeight="1">
      <c r="A155" s="6">
        <f>IFERROR(__xludf.DUMMYFUNCTION("""COMPUTED_VALUE"""),"Refraction of light 2")</f>
        <v/>
      </c>
      <c r="B155" s="6">
        <f>IFERROR(__xludf.DUMMYFUNCTION("""COMPUTED_VALUE"""),"Space")</f>
        <v/>
      </c>
      <c r="C155" s="6">
        <f>IFERROR(__xludf.DUMMYFUNCTION("""COMPUTED_VALUE"""),"The colour of light")</f>
        <v/>
      </c>
      <c r="D155" s="7">
        <f>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
      </c>
      <c r="E155" s="7">
        <f>IFERROR(__xludf.DUMMYFUNCTION("""COMPUTED_VALUE"""),"No artifact embedded")</f>
        <v/>
      </c>
      <c r="F155" s="7" t="n"/>
      <c r="G155" s="8" t="n">
        <v>1</v>
      </c>
      <c r="H155" s="8" t="n">
        <v>0</v>
      </c>
      <c r="I155" s="8" t="n">
        <v>0</v>
      </c>
      <c r="J155" s="8" t="n">
        <v>0</v>
      </c>
      <c r="K155" s="9" t="n">
        <v>1</v>
      </c>
      <c r="L155" s="9" t="n">
        <v>0</v>
      </c>
      <c r="M155" s="9" t="n">
        <v>0</v>
      </c>
      <c r="N155" s="9" t="n">
        <v>0</v>
      </c>
      <c r="O155" s="10" t="n">
        <v>1</v>
      </c>
      <c r="P155" s="10" t="n">
        <v>0</v>
      </c>
      <c r="Q155" s="10" t="n">
        <v>0</v>
      </c>
      <c r="R155" s="10" t="n">
        <v>0</v>
      </c>
      <c r="S155" s="10" t="n">
        <v>0</v>
      </c>
    </row>
    <row r="156" ht="169" customHeight="1">
      <c r="A156" s="6">
        <f>IFERROR(__xludf.DUMMYFUNCTION("""COMPUTED_VALUE"""),"Refraction of light 2")</f>
        <v/>
      </c>
      <c r="B156" s="6">
        <f>IFERROR(__xludf.DUMMYFUNCTION("""COMPUTED_VALUE"""),"Resource")</f>
        <v/>
      </c>
      <c r="C156" s="6">
        <f>IFERROR(__xludf.DUMMYFUNCTION("""COMPUTED_VALUE"""),"Question LB2 en.PNG")</f>
        <v/>
      </c>
      <c r="D156" s="7">
        <f>IFERROR(__xludf.DUMMYFUNCTION("""COMPUTED_VALUE"""),"n another lesson you learned something about light that shines through transparent materials? Do you remember? What will happen with the light ray if you turn on the light? Type your answer below the pictures")</f>
        <v/>
      </c>
      <c r="E156" s="7">
        <f>IFERROR(__xludf.DUMMYFUNCTION("""COMPUTED_VALUE"""),"image/png – A high-quality image with support for transparency, often used in design and web applications.")</f>
        <v/>
      </c>
      <c r="F156" s="7" t="n"/>
      <c r="G156" s="8" t="n">
        <v>0</v>
      </c>
      <c r="H156" s="8" t="n">
        <v>0</v>
      </c>
      <c r="I156" s="8" t="n">
        <v>1</v>
      </c>
      <c r="J156" s="8" t="n">
        <v>0</v>
      </c>
      <c r="K156" s="9" t="n">
        <v>0</v>
      </c>
      <c r="L156" s="9" t="n">
        <v>1</v>
      </c>
      <c r="M156" s="9" t="n">
        <v>0</v>
      </c>
      <c r="N156" s="9" t="n">
        <v>0</v>
      </c>
      <c r="O156" s="10" t="n">
        <v>1</v>
      </c>
      <c r="P156" s="10" t="n">
        <v>0</v>
      </c>
      <c r="Q156" s="10" t="n">
        <v>0</v>
      </c>
      <c r="R156" s="10" t="n">
        <v>0</v>
      </c>
      <c r="S156" s="10" t="n">
        <v>0</v>
      </c>
    </row>
    <row r="157" ht="329" customHeight="1">
      <c r="A157" s="6">
        <f>IFERROR(__xludf.DUMMYFUNCTION("""COMPUTED_VALUE"""),"Refraction of light 2")</f>
        <v/>
      </c>
      <c r="B157" s="6">
        <f>IFERROR(__xludf.DUMMYFUNCTION("""COMPUTED_VALUE"""),"Application")</f>
        <v/>
      </c>
      <c r="C157" s="6">
        <f>IFERROR(__xludf.DUMMYFUNCTION("""COMPUTED_VALUE"""),"Input Box")</f>
        <v/>
      </c>
      <c r="D157" s="7">
        <f>IFERROR(__xludf.DUMMYFUNCTION("""COMPUTED_VALUE"""),"No task description")</f>
        <v/>
      </c>
      <c r="E1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7" s="7" t="n"/>
      <c r="G157" s="8" t="n">
        <v>0</v>
      </c>
      <c r="H157" s="8" t="n">
        <v>0</v>
      </c>
      <c r="I157" s="8" t="n">
        <v>1</v>
      </c>
      <c r="J157" s="8" t="n">
        <v>0</v>
      </c>
      <c r="K157" s="9" t="n">
        <v>0</v>
      </c>
      <c r="L157" s="9" t="n">
        <v>1</v>
      </c>
      <c r="M157" s="9" t="n">
        <v>0</v>
      </c>
      <c r="N157" s="9" t="n">
        <v>0</v>
      </c>
      <c r="O157" s="10" t="n">
        <v>0</v>
      </c>
      <c r="P157" s="10" t="n">
        <v>0</v>
      </c>
      <c r="Q157" s="10" t="n">
        <v>0</v>
      </c>
      <c r="R157" s="10" t="n">
        <v>0</v>
      </c>
      <c r="S157" s="10" t="n">
        <v>0</v>
      </c>
    </row>
    <row r="158" ht="296" customHeight="1">
      <c r="A158" s="6">
        <f>IFERROR(__xludf.DUMMYFUNCTION("""COMPUTED_VALUE"""),"Refraction of light 2")</f>
        <v/>
      </c>
      <c r="B158" s="6">
        <f>IFERROR(__xludf.DUMMYFUNCTION("""COMPUTED_VALUE"""),"Space")</f>
        <v/>
      </c>
      <c r="C158" s="6">
        <f>IFERROR(__xludf.DUMMYFUNCTION("""COMPUTED_VALUE"""),"Doing research - step 1")</f>
        <v/>
      </c>
      <c r="D158" s="7">
        <f>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
      </c>
      <c r="E158" s="7">
        <f>IFERROR(__xludf.DUMMYFUNCTION("""COMPUTED_VALUE"""),"No artifact embedded")</f>
        <v/>
      </c>
      <c r="F158" s="7" t="n"/>
      <c r="G158" s="8" t="n">
        <v>0</v>
      </c>
      <c r="H158" s="8" t="n">
        <v>1</v>
      </c>
      <c r="I158" s="8" t="n">
        <v>0</v>
      </c>
      <c r="J158" s="8" t="n">
        <v>0</v>
      </c>
      <c r="K158" s="9" t="n">
        <v>1</v>
      </c>
      <c r="L158" s="9" t="n">
        <v>0</v>
      </c>
      <c r="M158" s="9" t="n">
        <v>0</v>
      </c>
      <c r="N158" s="9" t="n">
        <v>0</v>
      </c>
      <c r="O158" s="10" t="n">
        <v>0</v>
      </c>
      <c r="P158" s="10" t="n">
        <v>0</v>
      </c>
      <c r="Q158" s="10" t="n">
        <v>1</v>
      </c>
      <c r="R158" s="10" t="n">
        <v>0</v>
      </c>
      <c r="S158" s="10" t="n">
        <v>0</v>
      </c>
    </row>
    <row r="159" ht="205" customHeight="1">
      <c r="A159" s="6">
        <f>IFERROR(__xludf.DUMMYFUNCTION("""COMPUTED_VALUE"""),"Refraction of light 2")</f>
        <v/>
      </c>
      <c r="B159" s="6">
        <f>IFERROR(__xludf.DUMMYFUNCTION("""COMPUTED_VALUE"""),"Application")</f>
        <v/>
      </c>
      <c r="C159" s="6">
        <f>IFERROR(__xludf.DUMMYFUNCTION("""COMPUTED_VALUE"""),"Bending Light")</f>
        <v/>
      </c>
      <c r="D159" s="7">
        <f>IFERROR(__xludf.DUMMYFUNCTION("""COMPUTED_VALUE"""),"No task description")</f>
        <v/>
      </c>
      <c r="E159"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59" s="7" t="n"/>
      <c r="G159" s="8" t="n">
        <v>0</v>
      </c>
      <c r="H159" s="8" t="n">
        <v>1</v>
      </c>
      <c r="I159" s="8" t="n">
        <v>0</v>
      </c>
      <c r="J159" s="8" t="n">
        <v>0</v>
      </c>
      <c r="K159" s="9" t="n">
        <v>1</v>
      </c>
      <c r="L159" s="9" t="n">
        <v>0</v>
      </c>
      <c r="M159" s="9" t="n">
        <v>0</v>
      </c>
      <c r="N159" s="9" t="n">
        <v>0</v>
      </c>
      <c r="O159" s="10" t="n">
        <v>0</v>
      </c>
      <c r="P159" s="10" t="n">
        <v>0</v>
      </c>
      <c r="Q159" s="10" t="n">
        <v>1</v>
      </c>
      <c r="R159" s="10" t="n">
        <v>0</v>
      </c>
      <c r="S159" s="10" t="n">
        <v>0</v>
      </c>
    </row>
    <row r="160" ht="169" customHeight="1">
      <c r="A160" s="6">
        <f>IFERROR(__xludf.DUMMYFUNCTION("""COMPUTED_VALUE"""),"Refraction of light 2")</f>
        <v/>
      </c>
      <c r="B160" s="6">
        <f>IFERROR(__xludf.DUMMYFUNCTION("""COMPUTED_VALUE"""),"Resource")</f>
        <v/>
      </c>
      <c r="C160" s="6">
        <f>IFERROR(__xludf.DUMMYFUNCTION("""COMPUTED_VALUE"""),"Opdrachten.graasp")</f>
        <v/>
      </c>
      <c r="D160" s="7">
        <f>IFERROR(__xludf.DUMMYFUNCTION("""COMPUTED_VALUE"""),"&lt;p&gt;Now change the colour of the light by moving the red box below the multi-coloured bar. What strikes you? Write your answer below and after that click on ""&lt;strong&gt;Doing research - step 2&lt;/strong&gt;"".&lt;/p&gt;")</f>
        <v/>
      </c>
      <c r="E160" s="7">
        <f>IFERROR(__xludf.DUMMYFUNCTION("""COMPUTED_VALUE"""),"No artifact embedded")</f>
        <v/>
      </c>
      <c r="F160" s="7" t="n"/>
      <c r="G160" s="8" t="n">
        <v>0</v>
      </c>
      <c r="H160" s="8" t="n">
        <v>0</v>
      </c>
      <c r="I160" s="8" t="n">
        <v>1</v>
      </c>
      <c r="J160" s="8" t="n">
        <v>0</v>
      </c>
      <c r="K160" s="9" t="n">
        <v>0</v>
      </c>
      <c r="L160" s="9" t="n">
        <v>1</v>
      </c>
      <c r="M160" s="9" t="n">
        <v>0</v>
      </c>
      <c r="N160" s="9" t="n">
        <v>0</v>
      </c>
      <c r="O160" s="10" t="n">
        <v>0</v>
      </c>
      <c r="P160" s="10" t="n">
        <v>0</v>
      </c>
      <c r="Q160" s="10" t="n">
        <v>1</v>
      </c>
      <c r="R160" s="10" t="n">
        <v>0</v>
      </c>
      <c r="S160" s="10" t="n">
        <v>0</v>
      </c>
    </row>
    <row r="161" ht="329" customHeight="1">
      <c r="A161" s="6">
        <f>IFERROR(__xludf.DUMMYFUNCTION("""COMPUTED_VALUE"""),"Refraction of light 2")</f>
        <v/>
      </c>
      <c r="B161" s="6">
        <f>IFERROR(__xludf.DUMMYFUNCTION("""COMPUTED_VALUE"""),"Application")</f>
        <v/>
      </c>
      <c r="C161" s="6">
        <f>IFERROR(__xludf.DUMMYFUNCTION("""COMPUTED_VALUE"""),"Input Box")</f>
        <v/>
      </c>
      <c r="D161" s="7">
        <f>IFERROR(__xludf.DUMMYFUNCTION("""COMPUTED_VALUE"""),"No task description")</f>
        <v/>
      </c>
      <c r="E16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1" s="7" t="n"/>
      <c r="G161" s="8" t="n">
        <v>0</v>
      </c>
      <c r="H161" s="8" t="n">
        <v>0</v>
      </c>
      <c r="I161" s="8" t="n">
        <v>1</v>
      </c>
      <c r="J161" s="8" t="n">
        <v>0</v>
      </c>
      <c r="K161" s="9" t="n">
        <v>0</v>
      </c>
      <c r="L161" s="9" t="n">
        <v>1</v>
      </c>
      <c r="M161" s="9" t="n">
        <v>0</v>
      </c>
      <c r="N161" s="9" t="n">
        <v>0</v>
      </c>
      <c r="O161" s="10" t="n">
        <v>0</v>
      </c>
      <c r="P161" s="10" t="n">
        <v>0</v>
      </c>
      <c r="Q161" s="10" t="n">
        <v>0</v>
      </c>
      <c r="R161" s="10" t="n">
        <v>0</v>
      </c>
      <c r="S161" s="10" t="n">
        <v>0</v>
      </c>
    </row>
    <row r="162" ht="25" customHeight="1">
      <c r="A162" s="6">
        <f>IFERROR(__xludf.DUMMYFUNCTION("""COMPUTED_VALUE"""),"Refraction of light 2")</f>
        <v/>
      </c>
      <c r="B162" s="6">
        <f>IFERROR(__xludf.DUMMYFUNCTION("""COMPUTED_VALUE"""),"Space")</f>
        <v/>
      </c>
      <c r="C162" s="6">
        <f>IFERROR(__xludf.DUMMYFUNCTION("""COMPUTED_VALUE"""),"Doing research - step 2")</f>
        <v/>
      </c>
      <c r="D162" s="7">
        <f>IFERROR(__xludf.DUMMYFUNCTION("""COMPUTED_VALUE"""),"No task description")</f>
        <v/>
      </c>
      <c r="E162" s="7">
        <f>IFERROR(__xludf.DUMMYFUNCTION("""COMPUTED_VALUE"""),"No artifact embedded")</f>
        <v/>
      </c>
      <c r="F162" s="7" t="n"/>
      <c r="G162" s="8" t="n">
        <v>0</v>
      </c>
      <c r="H162" s="8" t="n">
        <v>0</v>
      </c>
      <c r="I162" s="8" t="n">
        <v>0</v>
      </c>
      <c r="J162" s="8" t="n">
        <v>0</v>
      </c>
      <c r="K162" s="9" t="n">
        <v>0</v>
      </c>
      <c r="L162" s="9" t="n">
        <v>0</v>
      </c>
      <c r="M162" s="9" t="n">
        <v>0</v>
      </c>
      <c r="N162" s="9" t="n">
        <v>0</v>
      </c>
      <c r="O162" s="10" t="n">
        <v>0</v>
      </c>
      <c r="P162" s="10" t="n">
        <v>0</v>
      </c>
      <c r="Q162" s="10" t="n">
        <v>0</v>
      </c>
      <c r="R162" s="10" t="n">
        <v>0</v>
      </c>
      <c r="S162" s="10" t="n">
        <v>0</v>
      </c>
    </row>
    <row r="163" ht="205" customHeight="1">
      <c r="A163" s="6">
        <f>IFERROR(__xludf.DUMMYFUNCTION("""COMPUTED_VALUE"""),"Refraction of light 2")</f>
        <v/>
      </c>
      <c r="B163" s="6">
        <f>IFERROR(__xludf.DUMMYFUNCTION("""COMPUTED_VALUE"""),"Resource")</f>
        <v/>
      </c>
      <c r="C163" s="6">
        <f>IFERROR(__xludf.DUMMYFUNCTION("""COMPUTED_VALUE"""),"Assignment LB2.PNG")</f>
        <v/>
      </c>
      <c r="D163" s="7">
        <f>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
      </c>
      <c r="E163" s="7">
        <f>IFERROR(__xludf.DUMMYFUNCTION("""COMPUTED_VALUE"""),"image/png – A high-quality image with support for transparency, often used in design and web applications.")</f>
        <v/>
      </c>
      <c r="F163" s="7" t="n"/>
      <c r="G163" s="8" t="n">
        <v>0</v>
      </c>
      <c r="H163" s="8" t="n">
        <v>0</v>
      </c>
      <c r="I163" s="8" t="n">
        <v>1</v>
      </c>
      <c r="J163" s="8" t="n">
        <v>0</v>
      </c>
      <c r="K163" s="9" t="n">
        <v>0</v>
      </c>
      <c r="L163" s="9" t="n">
        <v>1</v>
      </c>
      <c r="M163" s="9" t="n">
        <v>0</v>
      </c>
      <c r="N163" s="9" t="n">
        <v>0</v>
      </c>
      <c r="O163" s="10" t="n">
        <v>0</v>
      </c>
      <c r="P163" s="10" t="n">
        <v>0</v>
      </c>
      <c r="Q163" s="10" t="n">
        <v>1</v>
      </c>
      <c r="R163" s="10" t="n">
        <v>0</v>
      </c>
      <c r="S163" s="10" t="n">
        <v>0</v>
      </c>
    </row>
    <row r="164" ht="329" customHeight="1">
      <c r="A164" s="6">
        <f>IFERROR(__xludf.DUMMYFUNCTION("""COMPUTED_VALUE"""),"Refraction of light 2")</f>
        <v/>
      </c>
      <c r="B164" s="6">
        <f>IFERROR(__xludf.DUMMYFUNCTION("""COMPUTED_VALUE"""),"Application")</f>
        <v/>
      </c>
      <c r="C164" s="6">
        <f>IFERROR(__xludf.DUMMYFUNCTION("""COMPUTED_VALUE"""),"Input Box")</f>
        <v/>
      </c>
      <c r="D164" s="7">
        <f>IFERROR(__xludf.DUMMYFUNCTION("""COMPUTED_VALUE"""),"No task description")</f>
        <v/>
      </c>
      <c r="E16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4" s="7" t="n"/>
      <c r="G164" s="8" t="n">
        <v>0</v>
      </c>
      <c r="H164" s="8" t="n">
        <v>0</v>
      </c>
      <c r="I164" s="8" t="n">
        <v>1</v>
      </c>
      <c r="J164" s="8" t="n">
        <v>0</v>
      </c>
      <c r="K164" s="9" t="n">
        <v>0</v>
      </c>
      <c r="L164" s="9" t="n">
        <v>1</v>
      </c>
      <c r="M164" s="9" t="n">
        <v>0</v>
      </c>
      <c r="N164" s="9" t="n">
        <v>0</v>
      </c>
      <c r="O164" s="10" t="n">
        <v>0</v>
      </c>
      <c r="P164" s="10" t="n">
        <v>0</v>
      </c>
      <c r="Q164" s="10" t="n">
        <v>0</v>
      </c>
      <c r="R164" s="10" t="n">
        <v>0</v>
      </c>
      <c r="S164" s="10" t="n">
        <v>0</v>
      </c>
    </row>
    <row r="165" ht="205" customHeight="1">
      <c r="A165" s="6">
        <f>IFERROR(__xludf.DUMMYFUNCTION("""COMPUTED_VALUE"""),"Refraction of light 2")</f>
        <v/>
      </c>
      <c r="B165" s="6">
        <f>IFERROR(__xludf.DUMMYFUNCTION("""COMPUTED_VALUE"""),"Application")</f>
        <v/>
      </c>
      <c r="C165" s="6">
        <f>IFERROR(__xludf.DUMMYFUNCTION("""COMPUTED_VALUE"""),"Bending Light")</f>
        <v/>
      </c>
      <c r="D165" s="7">
        <f>IFERROR(__xludf.DUMMYFUNCTION("""COMPUTED_VALUE"""),"No task description")</f>
        <v/>
      </c>
      <c r="E165"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65" s="7" t="n"/>
      <c r="G165" s="8" t="n">
        <v>0</v>
      </c>
      <c r="H165" s="8" t="n">
        <v>1</v>
      </c>
      <c r="I165" s="8" t="n">
        <v>0</v>
      </c>
      <c r="J165" s="8" t="n">
        <v>0</v>
      </c>
      <c r="K165" s="9" t="n">
        <v>1</v>
      </c>
      <c r="L165" s="9" t="n">
        <v>0</v>
      </c>
      <c r="M165" s="9" t="n">
        <v>0</v>
      </c>
      <c r="N165" s="9" t="n">
        <v>0</v>
      </c>
      <c r="O165" s="10" t="n">
        <v>0</v>
      </c>
      <c r="P165" s="10" t="n">
        <v>0</v>
      </c>
      <c r="Q165" s="10" t="n">
        <v>1</v>
      </c>
      <c r="R165" s="10" t="n">
        <v>0</v>
      </c>
      <c r="S165" s="10" t="n">
        <v>0</v>
      </c>
    </row>
    <row r="166" ht="121" customHeight="1">
      <c r="A166" s="6">
        <f>IFERROR(__xludf.DUMMYFUNCTION("""COMPUTED_VALUE"""),"Refraction of light 2")</f>
        <v/>
      </c>
      <c r="B166" s="6">
        <f>IFERROR(__xludf.DUMMYFUNCTION("""COMPUTED_VALUE"""),"Resource")</f>
        <v/>
      </c>
      <c r="C166" s="6">
        <f>IFERROR(__xludf.DUMMYFUNCTION("""COMPUTED_VALUE"""),"Assignment.graasp")</f>
        <v/>
      </c>
      <c r="D166" s="7">
        <f>IFERROR(__xludf.DUMMYFUNCTION("""COMPUTED_VALUE"""),"&lt;p&gt;Make further explorations by changing things in the program above. If you're done press ""&lt;strong&gt;What did you discover?&lt;/strong&gt;""&lt;br&gt;&lt;/p&gt;")</f>
        <v/>
      </c>
      <c r="E166" s="7">
        <f>IFERROR(__xludf.DUMMYFUNCTION("""COMPUTED_VALUE"""),"No artifact embedded")</f>
        <v/>
      </c>
      <c r="F166" s="7" t="n"/>
      <c r="G166" s="8" t="n">
        <v>0</v>
      </c>
      <c r="H166" s="8" t="n">
        <v>1</v>
      </c>
      <c r="I166" s="8" t="n">
        <v>0</v>
      </c>
      <c r="J166" s="8" t="n">
        <v>0</v>
      </c>
      <c r="K166" s="9" t="n">
        <v>1</v>
      </c>
      <c r="L166" s="9" t="n">
        <v>0</v>
      </c>
      <c r="M166" s="9" t="n">
        <v>0</v>
      </c>
      <c r="N166" s="9" t="n">
        <v>0</v>
      </c>
      <c r="O166" s="10" t="n">
        <v>0</v>
      </c>
      <c r="P166" s="10" t="n">
        <v>0</v>
      </c>
      <c r="Q166" s="10" t="n">
        <v>1</v>
      </c>
      <c r="R166" s="10" t="n">
        <v>0</v>
      </c>
      <c r="S166" s="10" t="n">
        <v>0</v>
      </c>
    </row>
    <row r="167" ht="263" customHeight="1">
      <c r="A167" s="6">
        <f>IFERROR(__xludf.DUMMYFUNCTION("""COMPUTED_VALUE"""),"Refraction of light 2")</f>
        <v/>
      </c>
      <c r="B167" s="6">
        <f>IFERROR(__xludf.DUMMYFUNCTION("""COMPUTED_VALUE"""),"Space")</f>
        <v/>
      </c>
      <c r="C167" s="6">
        <f>IFERROR(__xludf.DUMMYFUNCTION("""COMPUTED_VALUE"""),"What did you discover?")</f>
        <v/>
      </c>
      <c r="D167" s="7">
        <f>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
      </c>
      <c r="E167" s="7">
        <f>IFERROR(__xludf.DUMMYFUNCTION("""COMPUTED_VALUE"""),"No artifact embedded")</f>
        <v/>
      </c>
      <c r="F167" s="7" t="n"/>
      <c r="G167" s="8" t="n">
        <v>1</v>
      </c>
      <c r="H167" s="8" t="n">
        <v>0</v>
      </c>
      <c r="I167" s="8" t="n">
        <v>0</v>
      </c>
      <c r="J167" s="8" t="n">
        <v>0</v>
      </c>
      <c r="K167" s="9" t="n">
        <v>1</v>
      </c>
      <c r="L167" s="9" t="n">
        <v>0</v>
      </c>
      <c r="M167" s="9" t="n">
        <v>0</v>
      </c>
      <c r="N167" s="9" t="n">
        <v>0</v>
      </c>
      <c r="O167" s="10" t="n">
        <v>1</v>
      </c>
      <c r="P167" s="10" t="n">
        <v>0</v>
      </c>
      <c r="Q167" s="10" t="n">
        <v>0</v>
      </c>
      <c r="R167" s="10" t="n">
        <v>0</v>
      </c>
      <c r="S167" s="10" t="n">
        <v>0</v>
      </c>
    </row>
    <row r="168" ht="97" customHeight="1">
      <c r="A168" s="6">
        <f>IFERROR(__xludf.DUMMYFUNCTION("""COMPUTED_VALUE"""),"Refraction of light 2")</f>
        <v/>
      </c>
      <c r="B168" s="6">
        <f>IFERROR(__xludf.DUMMYFUNCTION("""COMPUTED_VALUE"""),"Resource")</f>
        <v/>
      </c>
      <c r="C168" s="6">
        <f>IFERROR(__xludf.DUMMYFUNCTION("""COMPUTED_VALUE"""),"Lightwaves.PNG")</f>
        <v/>
      </c>
      <c r="D168" s="7">
        <f>IFERROR(__xludf.DUMMYFUNCTION("""COMPUTED_VALUE"""),"No task description")</f>
        <v/>
      </c>
      <c r="E168" s="7">
        <f>IFERROR(__xludf.DUMMYFUNCTION("""COMPUTED_VALUE"""),"image/png – A high-quality image with support for transparency, often used in design and web applications.")</f>
        <v/>
      </c>
      <c r="F168" s="7" t="n"/>
      <c r="G168" s="8" t="n">
        <v>1</v>
      </c>
      <c r="H168" s="8" t="n">
        <v>0</v>
      </c>
      <c r="I168" s="8" t="n">
        <v>0</v>
      </c>
      <c r="J168" s="8" t="n">
        <v>0</v>
      </c>
      <c r="K168" s="9" t="n">
        <v>1</v>
      </c>
      <c r="L168" s="9" t="n">
        <v>0</v>
      </c>
      <c r="M168" s="9" t="n">
        <v>0</v>
      </c>
      <c r="N168" s="9" t="n">
        <v>0</v>
      </c>
      <c r="O168" s="10" t="n">
        <v>0</v>
      </c>
      <c r="P168" s="10" t="n">
        <v>0</v>
      </c>
      <c r="Q168" s="10" t="n">
        <v>0</v>
      </c>
      <c r="R168" s="10" t="n">
        <v>0</v>
      </c>
      <c r="S168" s="10" t="n">
        <v>0</v>
      </c>
    </row>
    <row r="169" ht="121" customHeight="1">
      <c r="A169" s="6">
        <f>IFERROR(__xludf.DUMMYFUNCTION("""COMPUTED_VALUE"""),"Refraction of light 2")</f>
        <v/>
      </c>
      <c r="B169" s="6">
        <f>IFERROR(__xludf.DUMMYFUNCTION("""COMPUTED_VALUE"""),"Resource")</f>
        <v/>
      </c>
      <c r="C169" s="6">
        <f>IFERROR(__xludf.DUMMYFUNCTION("""COMPUTED_VALUE"""),"Rainbows and refraction")</f>
        <v/>
      </c>
      <c r="D169" s="7">
        <f>IFERROR(__xludf.DUMMYFUNCTION("""COMPUTED_VALUE"""),"No task description")</f>
        <v/>
      </c>
      <c r="E169" s="7">
        <f>IFERROR(__xludf.DUMMYFUNCTION("""COMPUTED_VALUE"""),"youtube.com: A widely known video-sharing platform where users can watch videos on a vast array of topics, including educational content.")</f>
        <v/>
      </c>
      <c r="F169" s="7" t="n"/>
      <c r="G169" s="8" t="n">
        <v>1</v>
      </c>
      <c r="H169" s="8" t="n">
        <v>0</v>
      </c>
      <c r="I169" s="8" t="n">
        <v>0</v>
      </c>
      <c r="J169" s="8" t="n">
        <v>0</v>
      </c>
      <c r="K169" s="9" t="n">
        <v>1</v>
      </c>
      <c r="L169" s="9" t="n">
        <v>0</v>
      </c>
      <c r="M169" s="9" t="n">
        <v>0</v>
      </c>
      <c r="N169" s="9" t="n">
        <v>0</v>
      </c>
      <c r="O169" s="10" t="n">
        <v>0</v>
      </c>
      <c r="P169" s="10" t="n">
        <v>0</v>
      </c>
      <c r="Q169" s="10" t="n">
        <v>0</v>
      </c>
      <c r="R169" s="10" t="n">
        <v>0</v>
      </c>
      <c r="S169" s="10" t="n">
        <v>0</v>
      </c>
    </row>
    <row r="170" ht="133" customHeight="1">
      <c r="A170" s="6">
        <f>IFERROR(__xludf.DUMMYFUNCTION("""COMPUTED_VALUE"""),"Refraction of light 2")</f>
        <v/>
      </c>
      <c r="B170" s="6">
        <f>IFERROR(__xludf.DUMMYFUNCTION("""COMPUTED_VALUE"""),"Resource")</f>
        <v/>
      </c>
      <c r="C170" s="6">
        <f>IFERROR(__xludf.DUMMYFUNCTION("""COMPUTED_VALUE"""),"How are rainbows formed?")</f>
        <v/>
      </c>
      <c r="D170" s="7">
        <f>IFERROR(__xludf.DUMMYFUNCTION("""COMPUTED_VALUE"""),"The properties and behaviour of light, and how it interacts with droplets of water, give rise to one of nature's most colourful meteorological events - the rainbow.")</f>
        <v/>
      </c>
      <c r="E170" s="7">
        <f>IFERROR(__xludf.DUMMYFUNCTION("""COMPUTED_VALUE"""),"metoffice.gov.uk: The UK's Met Office provides information on weather phenomena, including explanations of how rainbows are formed.")</f>
        <v/>
      </c>
      <c r="F170" s="7" t="n"/>
      <c r="G170" s="8" t="n">
        <v>1</v>
      </c>
      <c r="H170" s="8" t="n">
        <v>0</v>
      </c>
      <c r="I170" s="8" t="n">
        <v>0</v>
      </c>
      <c r="J170" s="8" t="n">
        <v>0</v>
      </c>
      <c r="K170" s="9" t="n">
        <v>1</v>
      </c>
      <c r="L170" s="9" t="n">
        <v>0</v>
      </c>
      <c r="M170" s="9" t="n">
        <v>0</v>
      </c>
      <c r="N170" s="9" t="n">
        <v>0</v>
      </c>
      <c r="O170" s="10" t="n">
        <v>1</v>
      </c>
      <c r="P170" s="10" t="n">
        <v>0</v>
      </c>
      <c r="Q170" s="10" t="n">
        <v>0</v>
      </c>
      <c r="R170" s="10" t="n">
        <v>0</v>
      </c>
      <c r="S170" s="10" t="n">
        <v>0</v>
      </c>
    </row>
    <row r="171" ht="296" customHeight="1">
      <c r="A171" s="6">
        <f>IFERROR(__xludf.DUMMYFUNCTION("""COMPUTED_VALUE"""),"Refraction of light 2")</f>
        <v/>
      </c>
      <c r="B171" s="6">
        <f>IFERROR(__xludf.DUMMYFUNCTION("""COMPUTED_VALUE"""),"Application")</f>
        <v/>
      </c>
      <c r="C171" s="6">
        <f>IFERROR(__xludf.DUMMYFUNCTION("""COMPUTED_VALUE"""),"Quiz Tool")</f>
        <v/>
      </c>
      <c r="D171" s="7">
        <f>IFERROR(__xludf.DUMMYFUNCTION("""COMPUTED_VALUE"""),"No task description")</f>
        <v/>
      </c>
      <c r="E17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71" s="7" t="n"/>
      <c r="G171" s="8" t="n">
        <v>0</v>
      </c>
      <c r="H171" s="8" t="n">
        <v>0</v>
      </c>
      <c r="I171" s="8" t="n">
        <v>0</v>
      </c>
      <c r="J171" s="8" t="n">
        <v>1</v>
      </c>
      <c r="K171" s="9" t="n">
        <v>0</v>
      </c>
      <c r="L171" s="9" t="n">
        <v>1</v>
      </c>
      <c r="M171" s="9" t="n">
        <v>0</v>
      </c>
      <c r="N171" s="9" t="n">
        <v>0</v>
      </c>
      <c r="O171" s="10" t="n">
        <v>0</v>
      </c>
      <c r="P171" s="10" t="n">
        <v>0</v>
      </c>
      <c r="Q171" s="10" t="n">
        <v>0</v>
      </c>
      <c r="R171" s="10" t="n">
        <v>0</v>
      </c>
      <c r="S171" s="10" t="n">
        <v>1</v>
      </c>
    </row>
    <row r="172" ht="25" customHeight="1">
      <c r="A172" s="6">
        <f>IFERROR(__xludf.DUMMYFUNCTION("""COMPUTED_VALUE"""),"Refraction of light 2")</f>
        <v/>
      </c>
      <c r="B172" s="6">
        <f>IFERROR(__xludf.DUMMYFUNCTION("""COMPUTED_VALUE"""),"Space")</f>
        <v/>
      </c>
      <c r="C172" s="6">
        <f>IFERROR(__xludf.DUMMYFUNCTION("""COMPUTED_VALUE"""),"Student Dashboard")</f>
        <v/>
      </c>
      <c r="D172" s="7">
        <f>IFERROR(__xludf.DUMMYFUNCTION("""COMPUTED_VALUE"""),"No task description")</f>
        <v/>
      </c>
      <c r="E172" s="7">
        <f>IFERROR(__xludf.DUMMYFUNCTION("""COMPUTED_VALUE"""),"No artifact embedded")</f>
        <v/>
      </c>
      <c r="F172" s="7" t="n"/>
      <c r="G172" s="8" t="n">
        <v>0</v>
      </c>
      <c r="H172" s="8" t="n">
        <v>0</v>
      </c>
      <c r="I172" s="8" t="n">
        <v>0</v>
      </c>
      <c r="J172" s="8" t="n">
        <v>0</v>
      </c>
      <c r="K172" s="9" t="n">
        <v>0</v>
      </c>
      <c r="L172" s="9" t="n">
        <v>0</v>
      </c>
      <c r="M172" s="9" t="n">
        <v>0</v>
      </c>
      <c r="N172" s="9" t="n">
        <v>0</v>
      </c>
      <c r="O172" s="10" t="n">
        <v>0</v>
      </c>
      <c r="P172" s="10" t="n">
        <v>0</v>
      </c>
      <c r="Q172" s="10" t="n">
        <v>0</v>
      </c>
      <c r="R172" s="10" t="n">
        <v>0</v>
      </c>
      <c r="S172" s="10" t="n">
        <v>0</v>
      </c>
    </row>
    <row r="173" ht="49" customHeight="1">
      <c r="A173" s="6">
        <f>IFERROR(__xludf.DUMMYFUNCTION("""COMPUTED_VALUE"""),"ILS test")</f>
        <v/>
      </c>
      <c r="B173" s="6">
        <f>IFERROR(__xludf.DUMMYFUNCTION("""COMPUTED_VALUE"""),"Space")</f>
        <v/>
      </c>
      <c r="C173" s="6">
        <f>IFERROR(__xludf.DUMMYFUNCTION("""COMPUTED_VALUE"""),"phase 1")</f>
        <v/>
      </c>
      <c r="D173" s="7">
        <f>IFERROR(__xludf.DUMMYFUNCTION("""COMPUTED_VALUE"""),"&lt;p&gt;This is a description for the orientation.&lt;/p&gt;")</f>
        <v/>
      </c>
      <c r="E173" s="7">
        <f>IFERROR(__xludf.DUMMYFUNCTION("""COMPUTED_VALUE"""),"No artifact embedded")</f>
        <v/>
      </c>
      <c r="F173" s="7" t="n"/>
      <c r="G173" s="8" t="n">
        <v>0</v>
      </c>
      <c r="H173" s="8" t="n">
        <v>0</v>
      </c>
      <c r="I173" s="8" t="n">
        <v>0</v>
      </c>
      <c r="J173" s="8" t="n">
        <v>0</v>
      </c>
      <c r="K173" s="9" t="n">
        <v>0</v>
      </c>
      <c r="L173" s="9" t="n">
        <v>0</v>
      </c>
      <c r="M173" s="9" t="n">
        <v>0</v>
      </c>
      <c r="N173" s="9" t="n">
        <v>0</v>
      </c>
      <c r="O173" s="10" t="n">
        <v>0</v>
      </c>
      <c r="P173" s="10" t="n">
        <v>0</v>
      </c>
      <c r="Q173" s="10" t="n">
        <v>0</v>
      </c>
      <c r="R173" s="10" t="n">
        <v>0</v>
      </c>
      <c r="S173" s="10" t="n">
        <v>0</v>
      </c>
    </row>
    <row r="174" ht="409.5" customHeight="1">
      <c r="A174" s="6">
        <f>IFERROR(__xludf.DUMMYFUNCTION("""COMPUTED_VALUE"""),"ILS test")</f>
        <v/>
      </c>
      <c r="B174" s="6">
        <f>IFERROR(__xludf.DUMMYFUNCTION("""COMPUTED_VALUE"""),"Application")</f>
        <v/>
      </c>
      <c r="C174" s="6">
        <f>IFERROR(__xludf.DUMMYFUNCTION("""COMPUTED_VALUE"""),"Bond app")</f>
        <v/>
      </c>
      <c r="D174" s="7">
        <f>IFERROR(__xludf.DUMMYFUNCTION("""COMPUTED_VALUE"""),"No task description")</f>
        <v/>
      </c>
      <c r="E174" s="7">
        <f>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
      </c>
      <c r="F174" s="7" t="n"/>
      <c r="G174" s="8" t="n">
        <v>0</v>
      </c>
      <c r="H174" s="8" t="n">
        <v>0</v>
      </c>
      <c r="I174" s="8" t="n">
        <v>0</v>
      </c>
      <c r="J174" s="8" t="n">
        <v>0</v>
      </c>
      <c r="K174" s="9" t="n">
        <v>0</v>
      </c>
      <c r="L174" s="9" t="n">
        <v>0</v>
      </c>
      <c r="M174" s="9" t="n">
        <v>0</v>
      </c>
      <c r="N174" s="9" t="n">
        <v>0</v>
      </c>
      <c r="O174" s="10" t="n">
        <v>0</v>
      </c>
      <c r="P174" s="10" t="n">
        <v>0</v>
      </c>
      <c r="Q174" s="10" t="n">
        <v>0</v>
      </c>
      <c r="R174" s="10" t="n">
        <v>0</v>
      </c>
      <c r="S174" s="10" t="n">
        <v>0</v>
      </c>
    </row>
    <row r="175" ht="157" customHeight="1">
      <c r="A175" s="6">
        <f>IFERROR(__xludf.DUMMYFUNCTION("""COMPUTED_VALUE"""),"ILS test")</f>
        <v/>
      </c>
      <c r="B175" s="6">
        <f>IFERROR(__xludf.DUMMYFUNCTION("""COMPUTED_VALUE"""),"Resource")</f>
        <v/>
      </c>
      <c r="C175" s="6">
        <f>IFERROR(__xludf.DUMMYFUNCTION("""COMPUTED_VALUE"""),"This is a doc test for the ils.docx")</f>
        <v/>
      </c>
      <c r="D175" s="7">
        <f>IFERROR(__xludf.DUMMYFUNCTION("""COMPUTED_VALUE"""),"This is a doc test for the ils !")</f>
        <v/>
      </c>
      <c r="E175" s="7">
        <f>IFERROR(__xludf.DUMMYFUNCTION("""COMPUTED_VALUE"""),"application/vnd.openxmlformats-officedocument.wordprocessingml.document – A Microsoft Word document (DOCX), typically containing formatted text, images, and tables.")</f>
        <v/>
      </c>
      <c r="F175" s="7" t="n"/>
      <c r="G175" s="8" t="n">
        <v>0</v>
      </c>
      <c r="H175" s="8" t="n">
        <v>0</v>
      </c>
      <c r="I175" s="8" t="n">
        <v>0</v>
      </c>
      <c r="J175" s="8" t="n">
        <v>0</v>
      </c>
      <c r="K175" s="9" t="n">
        <v>0</v>
      </c>
      <c r="L175" s="9" t="n">
        <v>0</v>
      </c>
      <c r="M175" s="9" t="n">
        <v>0</v>
      </c>
      <c r="N175" s="9" t="n">
        <v>0</v>
      </c>
      <c r="O175" s="10" t="n">
        <v>0</v>
      </c>
      <c r="P175" s="10" t="n">
        <v>0</v>
      </c>
      <c r="Q175" s="10" t="n">
        <v>0</v>
      </c>
      <c r="R175" s="10" t="n">
        <v>0</v>
      </c>
      <c r="S175" s="10" t="n">
        <v>0</v>
      </c>
    </row>
    <row r="176" ht="145" customHeight="1">
      <c r="A176" s="6">
        <f>IFERROR(__xludf.DUMMYFUNCTION("""COMPUTED_VALUE"""),"ILS test")</f>
        <v/>
      </c>
      <c r="B176" s="6">
        <f>IFERROR(__xludf.DUMMYFUNCTION("""COMPUTED_VALUE"""),"Resource")</f>
        <v/>
      </c>
      <c r="C176" s="6">
        <f>IFERROR(__xludf.DUMMYFUNCTION("""COMPUTED_VALUE"""),"graasp doc test.graasp")</f>
        <v/>
      </c>
      <c r="D176" s="7">
        <f>IFERROR(__xludf.DUMMYFUNCTION("""COMPUTED_VALUE"""),"&lt;p&gt;This is a &lt;a href=""http://grassp.eu"" target=""_blank""&gt;Graasp&lt;/a&gt; document where one can have words in &lt;strong&gt;bold&lt;/strong&gt; and &lt;em&gt;italics&lt;/em&gt;.&lt;br&gt;&lt;/p&gt;")</f>
        <v/>
      </c>
      <c r="E176" s="7">
        <f>IFERROR(__xludf.DUMMYFUNCTION("""COMPUTED_VALUE"""),"No artifact embedded")</f>
        <v/>
      </c>
      <c r="F176" s="7" t="n"/>
      <c r="G176" s="8" t="n">
        <v>0</v>
      </c>
      <c r="H176" s="8" t="n">
        <v>0</v>
      </c>
      <c r="I176" s="8" t="n">
        <v>0</v>
      </c>
      <c r="J176" s="8" t="n">
        <v>0</v>
      </c>
      <c r="K176" s="9" t="n">
        <v>0</v>
      </c>
      <c r="L176" s="9" t="n">
        <v>0</v>
      </c>
      <c r="M176" s="9" t="n">
        <v>0</v>
      </c>
      <c r="N176" s="9" t="n">
        <v>0</v>
      </c>
      <c r="O176" s="10" t="n">
        <v>0</v>
      </c>
      <c r="P176" s="10" t="n">
        <v>0</v>
      </c>
      <c r="Q176" s="10" t="n">
        <v>0</v>
      </c>
      <c r="R176" s="10" t="n">
        <v>0</v>
      </c>
      <c r="S176" s="10" t="n">
        <v>0</v>
      </c>
    </row>
    <row r="177" ht="409.5" customHeight="1">
      <c r="A177" s="6">
        <f>IFERROR(__xludf.DUMMYFUNCTION("""COMPUTED_VALUE"""),"ILS test")</f>
        <v/>
      </c>
      <c r="B177" s="6">
        <f>IFERROR(__xludf.DUMMYFUNCTION("""COMPUTED_VALUE"""),"Application")</f>
        <v/>
      </c>
      <c r="C177" s="6">
        <f>IFERROR(__xludf.DUMMYFUNCTION("""COMPUTED_VALUE"""),"Hypothesis Scratchpad")</f>
        <v/>
      </c>
      <c r="D177" s="7">
        <f>IFERROR(__xludf.DUMMYFUNCTION("""COMPUTED_VALUE"""),"No task description")</f>
        <v/>
      </c>
      <c r="E177"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77" s="7" t="n"/>
      <c r="G177" s="8" t="n">
        <v>0</v>
      </c>
      <c r="H177" s="8" t="n">
        <v>0</v>
      </c>
      <c r="I177" s="8" t="n">
        <v>0</v>
      </c>
      <c r="J177" s="8" t="n">
        <v>0</v>
      </c>
      <c r="K177" s="9" t="n">
        <v>0</v>
      </c>
      <c r="L177" s="9" t="n">
        <v>0</v>
      </c>
      <c r="M177" s="9" t="n">
        <v>0</v>
      </c>
      <c r="N177" s="9" t="n">
        <v>0</v>
      </c>
      <c r="O177" s="10" t="n">
        <v>0</v>
      </c>
      <c r="P177" s="10" t="n">
        <v>0</v>
      </c>
      <c r="Q177" s="10" t="n">
        <v>0</v>
      </c>
      <c r="R177" s="10" t="n">
        <v>0</v>
      </c>
      <c r="S177" s="10" t="n">
        <v>0</v>
      </c>
    </row>
    <row r="178" ht="109" customHeight="1">
      <c r="A178" s="6">
        <f>IFERROR(__xludf.DUMMYFUNCTION("""COMPUTED_VALUE"""),"ILS test")</f>
        <v/>
      </c>
      <c r="B178" s="6">
        <f>IFERROR(__xludf.DUMMYFUNCTION("""COMPUTED_VALUE"""),"Topic")</f>
        <v/>
      </c>
      <c r="C178" s="6">
        <f>IFERROR(__xludf.DUMMYFUNCTION("""COMPUTED_VALUE"""),"discussion test")</f>
        <v/>
      </c>
      <c r="D178" s="7">
        <f>IFERROR(__xludf.DUMMYFUNCTION("""COMPUTED_VALUE"""),"No task description")</f>
        <v/>
      </c>
      <c r="E178" s="7">
        <f>IFERROR(__xludf.DUMMYFUNCTION("""COMPUTED_VALUE"""),"text/html – A webpage or web document that contains structured text, images, and links, designed for display in a web browser.")</f>
        <v/>
      </c>
      <c r="F178" s="7" t="n"/>
      <c r="G178" s="8" t="n">
        <v>0</v>
      </c>
      <c r="H178" s="8" t="n">
        <v>0</v>
      </c>
      <c r="I178" s="8" t="n">
        <v>0</v>
      </c>
      <c r="J178" s="8" t="n">
        <v>0</v>
      </c>
      <c r="K178" s="9" t="n">
        <v>0</v>
      </c>
      <c r="L178" s="9" t="n">
        <v>0</v>
      </c>
      <c r="M178" s="9" t="n">
        <v>0</v>
      </c>
      <c r="N178" s="9" t="n">
        <v>0</v>
      </c>
      <c r="O178" s="10" t="n">
        <v>0</v>
      </c>
      <c r="P178" s="10" t="n">
        <v>0</v>
      </c>
      <c r="Q178" s="10" t="n">
        <v>0</v>
      </c>
      <c r="R178" s="10" t="n">
        <v>0</v>
      </c>
      <c r="S178" s="10" t="n">
        <v>0</v>
      </c>
    </row>
    <row r="179" ht="85" customHeight="1">
      <c r="A179" s="6">
        <f>IFERROR(__xludf.DUMMYFUNCTION("""COMPUTED_VALUE"""),"ILS test")</f>
        <v/>
      </c>
      <c r="B179" s="6">
        <f>IFERROR(__xludf.DUMMYFUNCTION("""COMPUTED_VALUE"""),"Resource")</f>
        <v/>
      </c>
      <c r="C179" s="6">
        <f>IFERROR(__xludf.DUMMYFUNCTION("""COMPUTED_VALUE"""),"Home | Golabz")</f>
        <v/>
      </c>
      <c r="D179" s="7">
        <f>IFERROR(__xludf.DUMMYFUNCTION("""COMPUTED_VALUE"""),"No task description")</f>
        <v/>
      </c>
      <c r="E179" s="7">
        <f>IFERROR(__xludf.DUMMYFUNCTION("""COMPUTED_VALUE"""),"golabz.eu: A platform for finding and sharing online labs and inquiry learning applications.")</f>
        <v/>
      </c>
      <c r="F179" s="7" t="n"/>
      <c r="G179" s="8" t="n">
        <v>0</v>
      </c>
      <c r="H179" s="8" t="n">
        <v>0</v>
      </c>
      <c r="I179" s="8" t="n">
        <v>0</v>
      </c>
      <c r="J179" s="8" t="n">
        <v>0</v>
      </c>
      <c r="K179" s="9" t="n">
        <v>0</v>
      </c>
      <c r="L179" s="9" t="n">
        <v>0</v>
      </c>
      <c r="M179" s="9" t="n">
        <v>0</v>
      </c>
      <c r="N179" s="9" t="n">
        <v>0</v>
      </c>
      <c r="O179" s="10" t="n">
        <v>0</v>
      </c>
      <c r="P179" s="10" t="n">
        <v>0</v>
      </c>
      <c r="Q179" s="10" t="n">
        <v>0</v>
      </c>
      <c r="R179" s="10" t="n">
        <v>0</v>
      </c>
      <c r="S179" s="10" t="n">
        <v>0</v>
      </c>
    </row>
    <row r="180" ht="25" customHeight="1">
      <c r="A180" s="6">
        <f>IFERROR(__xludf.DUMMYFUNCTION("""COMPUTED_VALUE"""),"ILS test")</f>
        <v/>
      </c>
      <c r="B180" s="6">
        <f>IFERROR(__xludf.DUMMYFUNCTION("""COMPUTED_VALUE"""),"Space")</f>
        <v/>
      </c>
      <c r="C180" s="6">
        <f>IFERROR(__xludf.DUMMYFUNCTION("""COMPUTED_VALUE"""),"phase2")</f>
        <v/>
      </c>
      <c r="D180" s="7">
        <f>IFERROR(__xludf.DUMMYFUNCTION("""COMPUTED_VALUE"""),"No task description")</f>
        <v/>
      </c>
      <c r="E180" s="7">
        <f>IFERROR(__xludf.DUMMYFUNCTION("""COMPUTED_VALUE"""),"No artifact embedded")</f>
        <v/>
      </c>
      <c r="F180" s="7" t="n"/>
      <c r="G180" s="8" t="n">
        <v>0</v>
      </c>
      <c r="H180" s="8" t="n">
        <v>0</v>
      </c>
      <c r="I180" s="8" t="n">
        <v>0</v>
      </c>
      <c r="J180" s="8" t="n">
        <v>0</v>
      </c>
      <c r="K180" s="9" t="n">
        <v>0</v>
      </c>
      <c r="L180" s="9" t="n">
        <v>0</v>
      </c>
      <c r="M180" s="9" t="n">
        <v>0</v>
      </c>
      <c r="N180" s="9" t="n">
        <v>0</v>
      </c>
      <c r="O180" s="10" t="n">
        <v>0</v>
      </c>
      <c r="P180" s="10" t="n">
        <v>0</v>
      </c>
      <c r="Q180" s="10" t="n">
        <v>0</v>
      </c>
      <c r="R180" s="10" t="n">
        <v>0</v>
      </c>
      <c r="S180" s="10" t="n">
        <v>0</v>
      </c>
    </row>
    <row r="181" ht="329" customHeight="1">
      <c r="A181" s="6">
        <f>IFERROR(__xludf.DUMMYFUNCTION("""COMPUTED_VALUE"""),"ILS test")</f>
        <v/>
      </c>
      <c r="B181" s="6">
        <f>IFERROR(__xludf.DUMMYFUNCTION("""COMPUTED_VALUE"""),"Application")</f>
        <v/>
      </c>
      <c r="C181" s="6">
        <f>IFERROR(__xludf.DUMMYFUNCTION("""COMPUTED_VALUE"""),"Input Box")</f>
        <v/>
      </c>
      <c r="D181" s="7">
        <f>IFERROR(__xludf.DUMMYFUNCTION("""COMPUTED_VALUE"""),"No task description")</f>
        <v/>
      </c>
      <c r="E1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1" s="7" t="n"/>
      <c r="G181" s="8" t="n">
        <v>0</v>
      </c>
      <c r="H181" s="8" t="n">
        <v>0</v>
      </c>
      <c r="I181" s="8" t="n">
        <v>0</v>
      </c>
      <c r="J181" s="8" t="n">
        <v>0</v>
      </c>
      <c r="K181" s="9" t="n">
        <v>0</v>
      </c>
      <c r="L181" s="9" t="n">
        <v>0</v>
      </c>
      <c r="M181" s="9" t="n">
        <v>0</v>
      </c>
      <c r="N181" s="9" t="n">
        <v>0</v>
      </c>
      <c r="O181" s="10" t="n">
        <v>0</v>
      </c>
      <c r="P181" s="10" t="n">
        <v>0</v>
      </c>
      <c r="Q181" s="10" t="n">
        <v>0</v>
      </c>
      <c r="R181" s="10" t="n">
        <v>0</v>
      </c>
      <c r="S181" s="10" t="n">
        <v>0</v>
      </c>
    </row>
    <row r="182" ht="241" customHeight="1">
      <c r="A182" s="6">
        <f>IFERROR(__xludf.DUMMYFUNCTION("""COMPUTED_VALUE"""),"ILS test")</f>
        <v/>
      </c>
      <c r="B182" s="6">
        <f>IFERROR(__xludf.DUMMYFUNCTION("""COMPUTED_VALUE"""),"Application")</f>
        <v/>
      </c>
      <c r="C182" s="6">
        <f>IFERROR(__xludf.DUMMYFUNCTION("""COMPUTED_VALUE"""),"Quest")</f>
        <v/>
      </c>
      <c r="D182" s="7">
        <f>IFERROR(__xludf.DUMMYFUNCTION("""COMPUTED_VALUE"""),"No task description")</f>
        <v/>
      </c>
      <c r="E182"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182" s="7" t="n"/>
      <c r="G182" s="8" t="n">
        <v>0</v>
      </c>
      <c r="H182" s="8" t="n">
        <v>0</v>
      </c>
      <c r="I182" s="8" t="n">
        <v>0</v>
      </c>
      <c r="J182" s="8" t="n">
        <v>0</v>
      </c>
      <c r="K182" s="9" t="n">
        <v>0</v>
      </c>
      <c r="L182" s="9" t="n">
        <v>0</v>
      </c>
      <c r="M182" s="9" t="n">
        <v>0</v>
      </c>
      <c r="N182" s="9" t="n">
        <v>0</v>
      </c>
      <c r="O182" s="10" t="n">
        <v>0</v>
      </c>
      <c r="P182" s="10" t="n">
        <v>0</v>
      </c>
      <c r="Q182" s="10" t="n">
        <v>0</v>
      </c>
      <c r="R182" s="10" t="n">
        <v>0</v>
      </c>
      <c r="S182" s="10" t="n">
        <v>0</v>
      </c>
    </row>
    <row r="183" ht="329" customHeight="1">
      <c r="A183" s="6">
        <f>IFERROR(__xludf.DUMMYFUNCTION("""COMPUTED_VALUE"""),"ILS test")</f>
        <v/>
      </c>
      <c r="B183" s="6">
        <f>IFERROR(__xludf.DUMMYFUNCTION("""COMPUTED_VALUE"""),"Application")</f>
        <v/>
      </c>
      <c r="C183" s="6">
        <f>IFERROR(__xludf.DUMMYFUNCTION("""COMPUTED_VALUE"""),"Input Box (1)")</f>
        <v/>
      </c>
      <c r="D183" s="7">
        <f>IFERROR(__xludf.DUMMYFUNCTION("""COMPUTED_VALUE"""),"&lt;p&gt;&lt;em&gt;Merci &lt;/em&gt;d'&lt;strong&gt;écrire un commentaire ;-)&lt;/strong&gt;&lt;/p&gt;")</f>
        <v/>
      </c>
      <c r="E18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3" s="7" t="n"/>
      <c r="G183" s="8" t="n">
        <v>0</v>
      </c>
      <c r="H183" s="8" t="n">
        <v>0</v>
      </c>
      <c r="I183" s="8" t="n">
        <v>0</v>
      </c>
      <c r="J183" s="8" t="n">
        <v>0</v>
      </c>
      <c r="K183" s="9" t="n">
        <v>0</v>
      </c>
      <c r="L183" s="9" t="n">
        <v>0</v>
      </c>
      <c r="M183" s="9" t="n">
        <v>0</v>
      </c>
      <c r="N183" s="9" t="n">
        <v>0</v>
      </c>
      <c r="O183" s="10" t="n">
        <v>0</v>
      </c>
      <c r="P183" s="10" t="n">
        <v>0</v>
      </c>
      <c r="Q183" s="10" t="n">
        <v>0</v>
      </c>
      <c r="R183" s="10" t="n">
        <v>0</v>
      </c>
      <c r="S183" s="10" t="n">
        <v>0</v>
      </c>
    </row>
    <row r="184" ht="409.5" customHeight="1">
      <c r="A184" s="6">
        <f>IFERROR(__xludf.DUMMYFUNCTION("""COMPUTED_VALUE"""),"ILS test")</f>
        <v/>
      </c>
      <c r="B184" s="6">
        <f>IFERROR(__xludf.DUMMYFUNCTION("""COMPUTED_VALUE"""),"Application")</f>
        <v/>
      </c>
      <c r="C184" s="6">
        <f>IFERROR(__xludf.DUMMYFUNCTION("""COMPUTED_VALUE"""),"Hypothesis Scratchpad")</f>
        <v/>
      </c>
      <c r="D184" s="7">
        <f>IFERROR(__xludf.DUMMYFUNCTION("""COMPUTED_VALUE"""),"&lt;p&gt;Create your hypothesis&lt;/p&gt;")</f>
        <v/>
      </c>
      <c r="E184"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84" s="7" t="n"/>
      <c r="G184" s="8" t="n">
        <v>0</v>
      </c>
      <c r="H184" s="8" t="n">
        <v>0</v>
      </c>
      <c r="I184" s="8" t="n">
        <v>1</v>
      </c>
      <c r="J184" s="8" t="n">
        <v>0</v>
      </c>
      <c r="K184" s="9" t="n">
        <v>0</v>
      </c>
      <c r="L184" s="9" t="n">
        <v>1</v>
      </c>
      <c r="M184" s="9" t="n">
        <v>0</v>
      </c>
      <c r="N184" s="9" t="n">
        <v>0</v>
      </c>
      <c r="O184" s="10" t="n">
        <v>0</v>
      </c>
      <c r="P184" s="10" t="n">
        <v>1</v>
      </c>
      <c r="Q184" s="10" t="n">
        <v>0</v>
      </c>
      <c r="R184" s="10" t="n">
        <v>0</v>
      </c>
      <c r="S184" s="10" t="n">
        <v>0</v>
      </c>
    </row>
    <row r="185" ht="409.5" customHeight="1">
      <c r="A185" s="6">
        <f>IFERROR(__xludf.DUMMYFUNCTION("""COMPUTED_VALUE"""),"ILS test")</f>
        <v/>
      </c>
      <c r="B185" s="6">
        <f>IFERROR(__xludf.DUMMYFUNCTION("""COMPUTED_VALUE"""),"Application")</f>
        <v/>
      </c>
      <c r="C185" s="6">
        <f>IFERROR(__xludf.DUMMYFUNCTION("""COMPUTED_VALUE"""),"Create a concept mapper")</f>
        <v/>
      </c>
      <c r="D185" s="7">
        <f>IFERROR(__xludf.DUMMYFUNCTION("""COMPUTED_VALUE"""),"No task description")</f>
        <v/>
      </c>
      <c r="E185"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85" s="7" t="n"/>
      <c r="G185" s="8" t="n">
        <v>0</v>
      </c>
      <c r="H185" s="8" t="n">
        <v>0</v>
      </c>
      <c r="I185" s="8" t="n">
        <v>0</v>
      </c>
      <c r="J185" s="8" t="n">
        <v>0</v>
      </c>
      <c r="K185" s="9" t="n">
        <v>0</v>
      </c>
      <c r="L185" s="9" t="n">
        <v>0</v>
      </c>
      <c r="M185" s="9" t="n">
        <v>0</v>
      </c>
      <c r="N185" s="9" t="n">
        <v>0</v>
      </c>
      <c r="O185" s="10" t="n">
        <v>0</v>
      </c>
      <c r="P185" s="10" t="n">
        <v>0</v>
      </c>
      <c r="Q185" s="10" t="n">
        <v>0</v>
      </c>
      <c r="R185" s="10" t="n">
        <v>0</v>
      </c>
      <c r="S185" s="10" t="n">
        <v>0</v>
      </c>
    </row>
    <row r="186" ht="409.5" customHeight="1">
      <c r="A186" s="6">
        <f>IFERROR(__xludf.DUMMYFUNCTION("""COMPUTED_VALUE"""),"ILS test")</f>
        <v/>
      </c>
      <c r="B186" s="6">
        <f>IFERROR(__xludf.DUMMYFUNCTION("""COMPUTED_VALUE"""),"Application")</f>
        <v/>
      </c>
      <c r="C186" s="6">
        <f>IFERROR(__xludf.DUMMYFUNCTION("""COMPUTED_VALUE"""),"Table Tool")</f>
        <v/>
      </c>
      <c r="D186" s="7">
        <f>IFERROR(__xludf.DUMMYFUNCTION("""COMPUTED_VALUE"""),"No task description")</f>
        <v/>
      </c>
      <c r="E18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86" s="7" t="n"/>
      <c r="G186" s="8" t="n">
        <v>0</v>
      </c>
      <c r="H186" s="8" t="n">
        <v>0</v>
      </c>
      <c r="I186" s="8" t="n">
        <v>0</v>
      </c>
      <c r="J186" s="8" t="n">
        <v>0</v>
      </c>
      <c r="K186" s="9" t="n">
        <v>0</v>
      </c>
      <c r="L186" s="9" t="n">
        <v>0</v>
      </c>
      <c r="M186" s="9" t="n">
        <v>0</v>
      </c>
      <c r="N186" s="9" t="n">
        <v>0</v>
      </c>
      <c r="O186" s="10" t="n">
        <v>0</v>
      </c>
      <c r="P186" s="10" t="n">
        <v>0</v>
      </c>
      <c r="Q186" s="10" t="n">
        <v>0</v>
      </c>
      <c r="R186" s="10" t="n">
        <v>0</v>
      </c>
      <c r="S186" s="10" t="n">
        <v>0</v>
      </c>
    </row>
    <row r="187" ht="409.5" customHeight="1">
      <c r="A187" s="6">
        <f>IFERROR(__xludf.DUMMYFUNCTION("""COMPUTED_VALUE"""),"ILS test")</f>
        <v/>
      </c>
      <c r="B187" s="6">
        <f>IFERROR(__xludf.DUMMYFUNCTION("""COMPUTED_VALUE"""),"Application")</f>
        <v/>
      </c>
      <c r="C187" s="6">
        <f>IFERROR(__xludf.DUMMYFUNCTION("""COMPUTED_VALUE"""),"data viewer graphique de courses")</f>
        <v/>
      </c>
      <c r="D187" s="7">
        <f>IFERROR(__xludf.DUMMYFUNCTION("""COMPUTED_VALUE"""),"&lt;p&gt;Q&lt;/p&gt;")</f>
        <v/>
      </c>
      <c r="E187"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187" s="7" t="n"/>
      <c r="G187" s="8" t="n">
        <v>0</v>
      </c>
      <c r="H187" s="8" t="n">
        <v>0</v>
      </c>
      <c r="I187" s="8" t="n">
        <v>0</v>
      </c>
      <c r="J187" s="8" t="n">
        <v>0</v>
      </c>
      <c r="K187" s="9" t="n">
        <v>0</v>
      </c>
      <c r="L187" s="9" t="n">
        <v>0</v>
      </c>
      <c r="M187" s="9" t="n">
        <v>0</v>
      </c>
      <c r="N187" s="9" t="n">
        <v>0</v>
      </c>
      <c r="O187" s="10" t="n">
        <v>0</v>
      </c>
      <c r="P187" s="10" t="n">
        <v>0</v>
      </c>
      <c r="Q187" s="10" t="n">
        <v>0</v>
      </c>
      <c r="R187" s="10" t="n">
        <v>0</v>
      </c>
      <c r="S187" s="10" t="n">
        <v>0</v>
      </c>
    </row>
    <row r="188" ht="25" customHeight="1">
      <c r="A188" s="6">
        <f>IFERROR(__xludf.DUMMYFUNCTION("""COMPUTED_VALUE"""),"ILS test")</f>
        <v/>
      </c>
      <c r="B188" s="6">
        <f>IFERROR(__xludf.DUMMYFUNCTION("""COMPUTED_VALUE"""),"Space")</f>
        <v/>
      </c>
      <c r="C188" s="6">
        <f>IFERROR(__xludf.DUMMYFUNCTION("""COMPUTED_VALUE"""),"Conclusion")</f>
        <v/>
      </c>
      <c r="D188" s="7">
        <f>IFERROR(__xludf.DUMMYFUNCTION("""COMPUTED_VALUE"""),"No task description")</f>
        <v/>
      </c>
      <c r="E188" s="7">
        <f>IFERROR(__xludf.DUMMYFUNCTION("""COMPUTED_VALUE"""),"No artifact embedded")</f>
        <v/>
      </c>
      <c r="F188" s="7" t="n"/>
      <c r="G188" s="8" t="n">
        <v>0</v>
      </c>
      <c r="H188" s="8" t="n">
        <v>0</v>
      </c>
      <c r="I188" s="8" t="n">
        <v>0</v>
      </c>
      <c r="J188" s="8" t="n">
        <v>0</v>
      </c>
      <c r="K188" s="9" t="n">
        <v>0</v>
      </c>
      <c r="L188" s="9" t="n">
        <v>0</v>
      </c>
      <c r="M188" s="9" t="n">
        <v>0</v>
      </c>
      <c r="N188" s="9" t="n">
        <v>0</v>
      </c>
      <c r="O188" s="10" t="n">
        <v>0</v>
      </c>
      <c r="P188" s="10" t="n">
        <v>0</v>
      </c>
      <c r="Q188" s="10" t="n">
        <v>0</v>
      </c>
      <c r="R188" s="10" t="n">
        <v>0</v>
      </c>
      <c r="S188" s="10" t="n">
        <v>0</v>
      </c>
    </row>
    <row r="189" ht="25" customHeight="1">
      <c r="A189" s="6">
        <f>IFERROR(__xludf.DUMMYFUNCTION("""COMPUTED_VALUE"""),"ILS test")</f>
        <v/>
      </c>
      <c r="B189" s="6">
        <f>IFERROR(__xludf.DUMMYFUNCTION("""COMPUTED_VALUE"""),"Space")</f>
        <v/>
      </c>
      <c r="C189" s="6">
        <f>IFERROR(__xludf.DUMMYFUNCTION("""COMPUTED_VALUE"""),"Discussion")</f>
        <v/>
      </c>
      <c r="D189" s="7">
        <f>IFERROR(__xludf.DUMMYFUNCTION("""COMPUTED_VALUE"""),"No task description")</f>
        <v/>
      </c>
      <c r="E189" s="7">
        <f>IFERROR(__xludf.DUMMYFUNCTION("""COMPUTED_VALUE"""),"No artifact embedded")</f>
        <v/>
      </c>
      <c r="F189" s="7" t="n"/>
      <c r="G189" s="8" t="n">
        <v>0</v>
      </c>
      <c r="H189" s="8" t="n">
        <v>0</v>
      </c>
      <c r="I189" s="8" t="n">
        <v>0</v>
      </c>
      <c r="J189" s="8" t="n">
        <v>0</v>
      </c>
      <c r="K189" s="9" t="n">
        <v>0</v>
      </c>
      <c r="L189" s="9" t="n">
        <v>0</v>
      </c>
      <c r="M189" s="9" t="n">
        <v>0</v>
      </c>
      <c r="N189" s="9" t="n">
        <v>0</v>
      </c>
      <c r="O189" s="10" t="n">
        <v>0</v>
      </c>
      <c r="P189" s="10" t="n">
        <v>0</v>
      </c>
      <c r="Q189" s="10" t="n">
        <v>0</v>
      </c>
      <c r="R189" s="10" t="n">
        <v>0</v>
      </c>
      <c r="S189" s="10" t="n">
        <v>0</v>
      </c>
    </row>
    <row r="190" ht="25" customHeight="1">
      <c r="A190" s="6">
        <f>IFERROR(__xludf.DUMMYFUNCTION("""COMPUTED_VALUE"""),"EPFL: Ecole Polytechnique de Lausanne")</f>
        <v/>
      </c>
      <c r="B190" s="6">
        <f>IFERROR(__xludf.DUMMYFUNCTION("""COMPUTED_VALUE"""),"Space")</f>
        <v/>
      </c>
      <c r="C190" s="6">
        <f>IFERROR(__xludf.DUMMYFUNCTION("""COMPUTED_VALUE"""),"Introduction")</f>
        <v/>
      </c>
      <c r="D190" s="7">
        <f>IFERROR(__xludf.DUMMYFUNCTION("""COMPUTED_VALUE"""),"No task description")</f>
        <v/>
      </c>
      <c r="E190" s="7">
        <f>IFERROR(__xludf.DUMMYFUNCTION("""COMPUTED_VALUE"""),"No artifact embedded")</f>
        <v/>
      </c>
      <c r="F190" s="7" t="n"/>
      <c r="G190" s="8" t="n">
        <v>0</v>
      </c>
      <c r="H190" s="8" t="n">
        <v>0</v>
      </c>
      <c r="I190" s="8" t="n">
        <v>0</v>
      </c>
      <c r="J190" s="8" t="n">
        <v>0</v>
      </c>
      <c r="K190" s="9" t="n">
        <v>0</v>
      </c>
      <c r="L190" s="9" t="n">
        <v>0</v>
      </c>
      <c r="M190" s="9" t="n">
        <v>0</v>
      </c>
      <c r="N190" s="9" t="n">
        <v>0</v>
      </c>
      <c r="O190" s="10" t="n">
        <v>0</v>
      </c>
      <c r="P190" s="10" t="n">
        <v>0</v>
      </c>
      <c r="Q190" s="10" t="n">
        <v>0</v>
      </c>
      <c r="R190" s="10" t="n">
        <v>0</v>
      </c>
      <c r="S190" s="10" t="n">
        <v>0</v>
      </c>
    </row>
    <row r="191" ht="307" customHeight="1">
      <c r="A191" s="6">
        <f>IFERROR(__xludf.DUMMYFUNCTION("""COMPUTED_VALUE"""),"EPFL: Ecole Polytechnique de Lausanne")</f>
        <v/>
      </c>
      <c r="B191" s="6">
        <f>IFERROR(__xludf.DUMMYFUNCTION("""COMPUTED_VALUE"""),"Resource")</f>
        <v/>
      </c>
      <c r="C191" s="6">
        <f>IFERROR(__xludf.DUMMYFUNCTION("""COMPUTED_VALUE"""),"intro.graasp")</f>
        <v/>
      </c>
      <c r="D191" s="7">
        <f>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
      </c>
      <c r="E191" s="7">
        <f>IFERROR(__xludf.DUMMYFUNCTION("""COMPUTED_VALUE"""),"No artifact embedded")</f>
        <v/>
      </c>
      <c r="F191" s="7" t="n"/>
      <c r="G191" s="8" t="n">
        <v>1</v>
      </c>
      <c r="H191" s="8" t="n">
        <v>0</v>
      </c>
      <c r="I191" s="8" t="n">
        <v>0</v>
      </c>
      <c r="J191" s="8" t="n">
        <v>0</v>
      </c>
      <c r="K191" s="9" t="n">
        <v>1</v>
      </c>
      <c r="L191" s="9" t="n">
        <v>0</v>
      </c>
      <c r="M191" s="9" t="n">
        <v>0</v>
      </c>
      <c r="N191" s="9" t="n">
        <v>0</v>
      </c>
      <c r="O191" s="10" t="n">
        <v>1</v>
      </c>
      <c r="P191" s="10" t="n">
        <v>0</v>
      </c>
      <c r="Q191" s="10" t="n">
        <v>0</v>
      </c>
      <c r="R191" s="10" t="n">
        <v>0</v>
      </c>
      <c r="S191" s="10" t="n">
        <v>0</v>
      </c>
    </row>
    <row r="192" ht="121" customHeight="1">
      <c r="A192" s="6">
        <f>IFERROR(__xludf.DUMMYFUNCTION("""COMPUTED_VALUE"""),"EPFL: Ecole Polytechnique de Lausanne")</f>
        <v/>
      </c>
      <c r="B192" s="6">
        <f>IFERROR(__xludf.DUMMYFUNCTION("""COMPUTED_VALUE"""),"Resource")</f>
        <v/>
      </c>
      <c r="C192" s="6">
        <f>IFERROR(__xludf.DUMMYFUNCTION("""COMPUTED_VALUE"""),"Welcome To EPFL - 2018")</f>
        <v/>
      </c>
      <c r="D192" s="7">
        <f>IFERROR(__xludf.DUMMYFUNCTION("""COMPUTED_VALUE"""),"No task description")</f>
        <v/>
      </c>
      <c r="E192" s="7">
        <f>IFERROR(__xludf.DUMMYFUNCTION("""COMPUTED_VALUE"""),"youtube.com: A widely known video-sharing platform where users can watch videos on a vast array of topics, including educational content.")</f>
        <v/>
      </c>
      <c r="F192" s="7" t="n"/>
      <c r="G192" s="8" t="n">
        <v>1</v>
      </c>
      <c r="H192" s="8" t="n">
        <v>0</v>
      </c>
      <c r="I192" s="8" t="n">
        <v>0</v>
      </c>
      <c r="J192" s="8" t="n">
        <v>0</v>
      </c>
      <c r="K192" s="9" t="n">
        <v>1</v>
      </c>
      <c r="L192" s="9" t="n">
        <v>0</v>
      </c>
      <c r="M192" s="9" t="n">
        <v>0</v>
      </c>
      <c r="N192" s="9" t="n">
        <v>0</v>
      </c>
      <c r="O192" s="10" t="n">
        <v>0</v>
      </c>
      <c r="P192" s="10" t="n">
        <v>0</v>
      </c>
      <c r="Q192" s="10" t="n">
        <v>0</v>
      </c>
      <c r="R192" s="10" t="n">
        <v>0</v>
      </c>
      <c r="S192" s="10" t="n">
        <v>0</v>
      </c>
    </row>
    <row r="193" ht="25" customHeight="1">
      <c r="A193" s="6">
        <f>IFERROR(__xludf.DUMMYFUNCTION("""COMPUTED_VALUE"""),"EPFL: Ecole Polytechnique de Lausanne")</f>
        <v/>
      </c>
      <c r="B193" s="6">
        <f>IFERROR(__xludf.DUMMYFUNCTION("""COMPUTED_VALUE"""),"Space")</f>
        <v/>
      </c>
      <c r="C193" s="6">
        <f>IFERROR(__xludf.DUMMYFUNCTION("""COMPUTED_VALUE"""),"Histoire")</f>
        <v/>
      </c>
      <c r="D193" s="7">
        <f>IFERROR(__xludf.DUMMYFUNCTION("""COMPUTED_VALUE"""),"&lt;p&gt;This is a chapter&lt;/p&gt;")</f>
        <v/>
      </c>
      <c r="E193" s="7">
        <f>IFERROR(__xludf.DUMMYFUNCTION("""COMPUTED_VALUE"""),"No artifact embedded")</f>
        <v/>
      </c>
      <c r="F193" s="7" t="n"/>
      <c r="G193" s="8" t="n">
        <v>0</v>
      </c>
      <c r="H193" s="8" t="n">
        <v>0</v>
      </c>
      <c r="I193" s="8" t="n">
        <v>0</v>
      </c>
      <c r="J193" s="8" t="n">
        <v>0</v>
      </c>
      <c r="K193" s="9" t="n">
        <v>0</v>
      </c>
      <c r="L193" s="9" t="n">
        <v>0</v>
      </c>
      <c r="M193" s="9" t="n">
        <v>0</v>
      </c>
      <c r="N193" s="9" t="n">
        <v>0</v>
      </c>
      <c r="O193" s="10" t="n">
        <v>0</v>
      </c>
      <c r="P193" s="10" t="n">
        <v>0</v>
      </c>
      <c r="Q193" s="10" t="n">
        <v>0</v>
      </c>
      <c r="R193" s="10" t="n">
        <v>0</v>
      </c>
      <c r="S193" s="10" t="n">
        <v>0</v>
      </c>
    </row>
    <row r="194" ht="409.5" customHeight="1">
      <c r="A194" s="6">
        <f>IFERROR(__xludf.DUMMYFUNCTION("""COMPUTED_VALUE"""),"EPFL: Ecole Polytechnique de Lausanne")</f>
        <v/>
      </c>
      <c r="B194" s="6">
        <f>IFERROR(__xludf.DUMMYFUNCTION("""COMPUTED_VALUE"""),"Resource")</f>
        <v/>
      </c>
      <c r="C194" s="6">
        <f>IFERROR(__xludf.DUMMYFUNCTION("""COMPUTED_VALUE"""),"history.graasp")</f>
        <v/>
      </c>
      <c r="D194" s="7">
        <f>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
      </c>
      <c r="E194" s="7">
        <f>IFERROR(__xludf.DUMMYFUNCTION("""COMPUTED_VALUE"""),"No artifact embedded")</f>
        <v/>
      </c>
      <c r="F194" s="7" t="n"/>
      <c r="G194" s="8" t="n">
        <v>1</v>
      </c>
      <c r="H194" s="8" t="n">
        <v>0</v>
      </c>
      <c r="I194" s="8" t="n">
        <v>0</v>
      </c>
      <c r="J194" s="8" t="n">
        <v>0</v>
      </c>
      <c r="K194" s="9" t="n">
        <v>1</v>
      </c>
      <c r="L194" s="9" t="n">
        <v>0</v>
      </c>
      <c r="M194" s="9" t="n">
        <v>0</v>
      </c>
      <c r="N194" s="9" t="n">
        <v>0</v>
      </c>
      <c r="O194" s="10" t="n">
        <v>1</v>
      </c>
      <c r="P194" s="10" t="n">
        <v>0</v>
      </c>
      <c r="Q194" s="10" t="n">
        <v>0</v>
      </c>
      <c r="R194" s="10" t="n">
        <v>0</v>
      </c>
      <c r="S194" s="10" t="n">
        <v>0</v>
      </c>
    </row>
    <row r="195" ht="121" customHeight="1">
      <c r="A195" s="6">
        <f>IFERROR(__xludf.DUMMYFUNCTION("""COMPUTED_VALUE"""),"EPFL: Ecole Polytechnique de Lausanne")</f>
        <v/>
      </c>
      <c r="B195" s="6">
        <f>IFERROR(__xludf.DUMMYFUNCTION("""COMPUTED_VALUE"""),"Resource")</f>
        <v/>
      </c>
      <c r="C195" s="6">
        <f>IFERROR(__xludf.DUMMYFUNCTION("""COMPUTED_VALUE"""),"Ecole_spéciale_de_Lausanne_1857.jpg")</f>
        <v/>
      </c>
      <c r="D195" s="7">
        <f>IFERROR(__xludf.DUMMYFUNCTION("""COMPUTED_VALUE"""),"&lt;p&gt;École spéciale de Lausanne 1857&lt;/p&gt;")</f>
        <v/>
      </c>
      <c r="E195" s="7">
        <f>IFERROR(__xludf.DUMMYFUNCTION("""COMPUTED_VALUE"""),"image/jpeg – A digital photograph or web image stored in a compressed format, often used for photography and web graphics.")</f>
        <v/>
      </c>
      <c r="F195" s="7" t="n"/>
      <c r="G195" s="8" t="n">
        <v>0</v>
      </c>
      <c r="H195" s="8" t="n">
        <v>0</v>
      </c>
      <c r="I195" s="8" t="n">
        <v>0</v>
      </c>
      <c r="J195" s="8" t="n">
        <v>0</v>
      </c>
      <c r="K195" s="9" t="n">
        <v>0</v>
      </c>
      <c r="L195" s="9" t="n">
        <v>0</v>
      </c>
      <c r="M195" s="9" t="n">
        <v>0</v>
      </c>
      <c r="N195" s="9" t="n">
        <v>0</v>
      </c>
      <c r="O195" s="10" t="n">
        <v>0</v>
      </c>
      <c r="P195" s="10" t="n">
        <v>0</v>
      </c>
      <c r="Q195" s="10" t="n">
        <v>0</v>
      </c>
      <c r="R195" s="10" t="n">
        <v>0</v>
      </c>
      <c r="S195" s="10" t="n">
        <v>0</v>
      </c>
    </row>
    <row r="196" ht="409.5" customHeight="1">
      <c r="A196" s="6">
        <f>IFERROR(__xludf.DUMMYFUNCTION("""COMPUTED_VALUE"""),"EPFL: Ecole Polytechnique de Lausanne")</f>
        <v/>
      </c>
      <c r="B196" s="6">
        <f>IFERROR(__xludf.DUMMYFUNCTION("""COMPUTED_VALUE"""),"Resource")</f>
        <v/>
      </c>
      <c r="C196" s="6">
        <f>IFERROR(__xludf.DUMMYFUNCTION("""COMPUTED_VALUE"""),"histoire_1.graasp")</f>
        <v/>
      </c>
      <c r="D196" s="7">
        <f>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
      </c>
      <c r="E196" s="7">
        <f>IFERROR(__xludf.DUMMYFUNCTION("""COMPUTED_VALUE"""),"No artifact embedded")</f>
        <v/>
      </c>
      <c r="F196" s="7" t="n"/>
      <c r="G196" s="8" t="n">
        <v>1</v>
      </c>
      <c r="H196" s="8" t="n">
        <v>0</v>
      </c>
      <c r="I196" s="8" t="n">
        <v>0</v>
      </c>
      <c r="J196" s="8" t="n">
        <v>0</v>
      </c>
      <c r="K196" s="9" t="n">
        <v>1</v>
      </c>
      <c r="L196" s="9" t="n">
        <v>0</v>
      </c>
      <c r="M196" s="9" t="n">
        <v>0</v>
      </c>
      <c r="N196" s="9" t="n">
        <v>0</v>
      </c>
      <c r="O196" s="10" t="n">
        <v>1</v>
      </c>
      <c r="P196" s="10" t="n">
        <v>0</v>
      </c>
      <c r="Q196" s="10" t="n">
        <v>0</v>
      </c>
      <c r="R196" s="10" t="n">
        <v>0</v>
      </c>
      <c r="S196" s="10" t="n">
        <v>0</v>
      </c>
    </row>
    <row r="197" ht="25" customHeight="1">
      <c r="A197" s="6">
        <f>IFERROR(__xludf.DUMMYFUNCTION("""COMPUTED_VALUE"""),"EPFL: Ecole Polytechnique de Lausanne")</f>
        <v/>
      </c>
      <c r="B197" s="6">
        <f>IFERROR(__xludf.DUMMYFUNCTION("""COMPUTED_VALUE"""),"Space")</f>
        <v/>
      </c>
      <c r="C197" s="6">
        <f>IFERROR(__xludf.DUMMYFUNCTION("""COMPUTED_VALUE"""),"Admission and education")</f>
        <v/>
      </c>
      <c r="D197" s="7">
        <f>IFERROR(__xludf.DUMMYFUNCTION("""COMPUTED_VALUE"""),"&lt;p&gt;This is a chapter&lt;/p&gt;")</f>
        <v/>
      </c>
      <c r="E197" s="7">
        <f>IFERROR(__xludf.DUMMYFUNCTION("""COMPUTED_VALUE"""),"No artifact embedded")</f>
        <v/>
      </c>
      <c r="F197" s="7" t="n"/>
      <c r="G197" s="8" t="n">
        <v>0</v>
      </c>
      <c r="H197" s="8" t="n">
        <v>0</v>
      </c>
      <c r="I197" s="8" t="n">
        <v>0</v>
      </c>
      <c r="J197" s="8" t="n">
        <v>0</v>
      </c>
      <c r="K197" s="9" t="n">
        <v>0</v>
      </c>
      <c r="L197" s="9" t="n">
        <v>0</v>
      </c>
      <c r="M197" s="9" t="n">
        <v>0</v>
      </c>
      <c r="N197" s="9" t="n">
        <v>0</v>
      </c>
      <c r="O197" s="10" t="n">
        <v>0</v>
      </c>
      <c r="P197" s="10" t="n">
        <v>0</v>
      </c>
      <c r="Q197" s="10" t="n">
        <v>0</v>
      </c>
      <c r="R197" s="10" t="n">
        <v>0</v>
      </c>
      <c r="S197" s="10" t="n">
        <v>0</v>
      </c>
    </row>
    <row r="198" ht="409.5" customHeight="1">
      <c r="A198" s="6">
        <f>IFERROR(__xludf.DUMMYFUNCTION("""COMPUTED_VALUE"""),"EPFL: Ecole Polytechnique de Lausanne")</f>
        <v/>
      </c>
      <c r="B198" s="6">
        <f>IFERROR(__xludf.DUMMYFUNCTION("""COMPUTED_VALUE"""),"Resource")</f>
        <v/>
      </c>
      <c r="C198" s="6">
        <f>IFERROR(__xludf.DUMMYFUNCTION("""COMPUTED_VALUE"""),"epfl.txt")</f>
        <v/>
      </c>
      <c r="D198" s="7">
        <f>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
      </c>
      <c r="E198" s="7">
        <f>IFERROR(__xludf.DUMMYFUNCTION("""COMPUTED_VALUE"""),"text/plain – A simple text file containing unformatted text, often used for notes, logs, or source code.")</f>
        <v/>
      </c>
      <c r="F198" s="7" t="n"/>
      <c r="G198" s="8" t="n">
        <v>1</v>
      </c>
      <c r="H198" s="8" t="n">
        <v>0</v>
      </c>
      <c r="I198" s="8" t="n">
        <v>0</v>
      </c>
      <c r="J198" s="8" t="n">
        <v>0</v>
      </c>
      <c r="K198" s="9" t="n">
        <v>1</v>
      </c>
      <c r="L198" s="9" t="n">
        <v>0</v>
      </c>
      <c r="M198" s="9" t="n">
        <v>0</v>
      </c>
      <c r="N198" s="9" t="n">
        <v>0</v>
      </c>
      <c r="O198" s="10" t="n">
        <v>1</v>
      </c>
      <c r="P198" s="10" t="n">
        <v>0</v>
      </c>
      <c r="Q198" s="10" t="n">
        <v>0</v>
      </c>
      <c r="R198" s="10" t="n">
        <v>0</v>
      </c>
      <c r="S198" s="10" t="n">
        <v>0</v>
      </c>
    </row>
    <row r="199" ht="109" customHeight="1">
      <c r="A199" s="6">
        <f>IFERROR(__xludf.DUMMYFUNCTION("""COMPUTED_VALUE"""),"EPFL: Ecole Polytechnique de Lausanne")</f>
        <v/>
      </c>
      <c r="B199" s="6">
        <f>IFERROR(__xludf.DUMMYFUNCTION("""COMPUTED_VALUE"""),"Resource")</f>
        <v/>
      </c>
      <c r="C199" s="6">
        <f>IFERROR(__xludf.DUMMYFUNCTION("""COMPUTED_VALUE"""),"table.html")</f>
        <v/>
      </c>
      <c r="D199" s="7">
        <f>IFERROR(__xludf.DUMMYFUNCTION("""COMPUTED_VALUE"""),"&lt;p&gt;Une desc qui casse tout ?&lt;/p&gt;")</f>
        <v/>
      </c>
      <c r="E199" s="7">
        <f>IFERROR(__xludf.DUMMYFUNCTION("""COMPUTED_VALUE"""),"text/html – A webpage or web document that contains structured text, images, and links, designed for display in a web browser.")</f>
        <v/>
      </c>
      <c r="F199" s="7" t="n"/>
      <c r="G199" s="8" t="n">
        <v>0</v>
      </c>
      <c r="H199" s="8" t="n">
        <v>0</v>
      </c>
      <c r="I199" s="8" t="n">
        <v>0</v>
      </c>
      <c r="J199" s="8" t="n">
        <v>0</v>
      </c>
      <c r="K199" s="9" t="n">
        <v>0</v>
      </c>
      <c r="L199" s="9" t="n">
        <v>0</v>
      </c>
      <c r="M199" s="9" t="n">
        <v>0</v>
      </c>
      <c r="N199" s="9" t="n">
        <v>0</v>
      </c>
      <c r="O199" s="10" t="n">
        <v>0</v>
      </c>
      <c r="P199" s="10" t="n">
        <v>0</v>
      </c>
      <c r="Q199" s="10" t="n">
        <v>0</v>
      </c>
      <c r="R199" s="10" t="n">
        <v>0</v>
      </c>
      <c r="S199" s="10" t="n">
        <v>0</v>
      </c>
    </row>
    <row r="200" ht="25" customHeight="1">
      <c r="A200" s="6">
        <f>IFERROR(__xludf.DUMMYFUNCTION("""COMPUTED_VALUE"""),"EPFL: Ecole Polytechnique de Lausanne")</f>
        <v/>
      </c>
      <c r="B200" s="6">
        <f>IFERROR(__xludf.DUMMYFUNCTION("""COMPUTED_VALUE"""),"Space")</f>
        <v/>
      </c>
      <c r="C200" s="6">
        <f>IFERROR(__xludf.DUMMYFUNCTION("""COMPUTED_VALUE"""),"Rankings")</f>
        <v/>
      </c>
      <c r="D200" s="7">
        <f>IFERROR(__xludf.DUMMYFUNCTION("""COMPUTED_VALUE"""),"&lt;p&gt;This is a chapter&lt;/p&gt;")</f>
        <v/>
      </c>
      <c r="E200" s="7">
        <f>IFERROR(__xludf.DUMMYFUNCTION("""COMPUTED_VALUE"""),"No artifact embedded")</f>
        <v/>
      </c>
      <c r="F200" s="7" t="n"/>
      <c r="G200" s="8" t="n">
        <v>0</v>
      </c>
      <c r="H200" s="8" t="n">
        <v>0</v>
      </c>
      <c r="I200" s="8" t="n">
        <v>0</v>
      </c>
      <c r="J200" s="8" t="n">
        <v>0</v>
      </c>
      <c r="K200" s="9" t="n">
        <v>0</v>
      </c>
      <c r="L200" s="9" t="n">
        <v>0</v>
      </c>
      <c r="M200" s="9" t="n">
        <v>0</v>
      </c>
      <c r="N200" s="9" t="n">
        <v>0</v>
      </c>
      <c r="O200" s="10" t="n">
        <v>0</v>
      </c>
      <c r="P200" s="10" t="n">
        <v>0</v>
      </c>
      <c r="Q200" s="10" t="n">
        <v>0</v>
      </c>
      <c r="R200" s="10" t="n">
        <v>0</v>
      </c>
      <c r="S200" s="10" t="n">
        <v>0</v>
      </c>
    </row>
    <row r="201" ht="409.5" customHeight="1">
      <c r="A201" s="6">
        <f>IFERROR(__xludf.DUMMYFUNCTION("""COMPUTED_VALUE"""),"EPFL: Ecole Polytechnique de Lausanne")</f>
        <v/>
      </c>
      <c r="B201" s="6">
        <f>IFERROR(__xludf.DUMMYFUNCTION("""COMPUTED_VALUE"""),"Resource")</f>
        <v/>
      </c>
      <c r="C201" s="6">
        <f>IFERROR(__xludf.DUMMYFUNCTION("""COMPUTED_VALUE"""),"rankings.graasp")</f>
        <v/>
      </c>
      <c r="D201" s="7">
        <f>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
      </c>
      <c r="E201" s="7">
        <f>IFERROR(__xludf.DUMMYFUNCTION("""COMPUTED_VALUE"""),"No artifact embedded")</f>
        <v/>
      </c>
      <c r="F201" s="7" t="n"/>
      <c r="G201" s="8" t="n">
        <v>1</v>
      </c>
      <c r="H201" s="8" t="n">
        <v>0</v>
      </c>
      <c r="I201" s="8" t="n">
        <v>0</v>
      </c>
      <c r="J201" s="8" t="n">
        <v>0</v>
      </c>
      <c r="K201" s="9" t="n">
        <v>1</v>
      </c>
      <c r="L201" s="9" t="n">
        <v>0</v>
      </c>
      <c r="M201" s="9" t="n">
        <v>0</v>
      </c>
      <c r="N201" s="9" t="n">
        <v>0</v>
      </c>
      <c r="O201" s="10" t="n">
        <v>1</v>
      </c>
      <c r="P201" s="10" t="n">
        <v>0</v>
      </c>
      <c r="Q201" s="10" t="n">
        <v>0</v>
      </c>
      <c r="R201" s="10" t="n">
        <v>0</v>
      </c>
      <c r="S201" s="10" t="n">
        <v>0</v>
      </c>
    </row>
    <row r="202" ht="193" customHeight="1">
      <c r="A202" s="6">
        <f>IFERROR(__xludf.DUMMYFUNCTION("""COMPUTED_VALUE"""),"EPFL: Ecole Polytechnique de Lausanne")</f>
        <v/>
      </c>
      <c r="B202" s="6">
        <f>IFERROR(__xludf.DUMMYFUNCTION("""COMPUTED_VALUE"""),"Resource")</f>
        <v/>
      </c>
      <c r="C202" s="6">
        <f>IFERROR(__xludf.DUMMYFUNCTION("""COMPUTED_VALUE"""),"Engineering and Technology")</f>
        <v/>
      </c>
      <c r="D202" s="7">
        <f>IFERROR(__xludf.DUMMYFUNCTION("""COMPUTED_VALUE"""),"As well as this broad subject area ranking, rankings are also available for the following individual Engineering &amp; Technology subjects: Computer Science &amp; Information Systems Chemical Engineering")</f>
        <v/>
      </c>
      <c r="E202" s="7">
        <f>IFERROR(__xludf.DUMMYFUNCTION("""COMPUTED_VALUE"""),"topuniversities.com: Provides university rankings and information on higher education institutions.")</f>
        <v/>
      </c>
      <c r="F202" s="7" t="n"/>
      <c r="G202" s="8" t="n">
        <v>1</v>
      </c>
      <c r="H202" s="8" t="n">
        <v>0</v>
      </c>
      <c r="I202" s="8" t="n">
        <v>0</v>
      </c>
      <c r="J202" s="8" t="n">
        <v>0</v>
      </c>
      <c r="K202" s="9" t="n">
        <v>1</v>
      </c>
      <c r="L202" s="9" t="n">
        <v>0</v>
      </c>
      <c r="M202" s="9" t="n">
        <v>0</v>
      </c>
      <c r="N202" s="9" t="n">
        <v>0</v>
      </c>
      <c r="O202" s="10" t="n">
        <v>1</v>
      </c>
      <c r="P202" s="10" t="n">
        <v>0</v>
      </c>
      <c r="Q202" s="10" t="n">
        <v>0</v>
      </c>
      <c r="R202" s="10" t="n">
        <v>0</v>
      </c>
      <c r="S202" s="10" t="n">
        <v>0</v>
      </c>
    </row>
    <row r="203" ht="193" customHeight="1">
      <c r="A203" s="6">
        <f>IFERROR(__xludf.DUMMYFUNCTION("""COMPUTED_VALUE"""),"EPFL: Ecole Polytechnique de Lausanne")</f>
        <v/>
      </c>
      <c r="B203" s="6">
        <f>IFERROR(__xludf.DUMMYFUNCTION("""COMPUTED_VALUE"""),"Resource")</f>
        <v/>
      </c>
      <c r="C203" s="6">
        <f>IFERROR(__xludf.DUMMYFUNCTION("""COMPUTED_VALUE"""),"Engineering and Technology (1)")</f>
        <v/>
      </c>
      <c r="D203" s="7">
        <f>IFERROR(__xludf.DUMMYFUNCTION("""COMPUTED_VALUE"""),"As well as this broad subject area ranking, rankings are also available for the following individual Engineering &amp; Technology subjects: Computer Science &amp; Information Systems Chemical Engineering")</f>
        <v/>
      </c>
      <c r="E203" s="7">
        <f>IFERROR(__xludf.DUMMYFUNCTION("""COMPUTED_VALUE"""),"topuniversities.com: Provides university rankings and information on higher education institutions.")</f>
        <v/>
      </c>
      <c r="F203" s="7" t="n"/>
      <c r="G203" s="8" t="n">
        <v>1</v>
      </c>
      <c r="H203" s="8" t="n">
        <v>0</v>
      </c>
      <c r="I203" s="8" t="n">
        <v>0</v>
      </c>
      <c r="J203" s="8" t="n">
        <v>0</v>
      </c>
      <c r="K203" s="9" t="n">
        <v>1</v>
      </c>
      <c r="L203" s="9" t="n">
        <v>0</v>
      </c>
      <c r="M203" s="9" t="n">
        <v>0</v>
      </c>
      <c r="N203" s="9" t="n">
        <v>0</v>
      </c>
      <c r="O203" s="10" t="n">
        <v>1</v>
      </c>
      <c r="P203" s="10" t="n">
        <v>0</v>
      </c>
      <c r="Q203" s="10" t="n">
        <v>0</v>
      </c>
      <c r="R203" s="10" t="n">
        <v>0</v>
      </c>
      <c r="S203" s="10" t="n">
        <v>0</v>
      </c>
    </row>
    <row r="204" ht="25" customHeight="1">
      <c r="A204" s="6">
        <f>IFERROR(__xludf.DUMMYFUNCTION("""COMPUTED_VALUE"""),"EPFL: Ecole Polytechnique de Lausanne")</f>
        <v/>
      </c>
      <c r="B204" s="6">
        <f>IFERROR(__xludf.DUMMYFUNCTION("""COMPUTED_VALUE"""),"Space")</f>
        <v/>
      </c>
      <c r="C204" s="6">
        <f>IFERROR(__xludf.DUMMYFUNCTION("""COMPUTED_VALUE"""),"A lab")</f>
        <v/>
      </c>
      <c r="D204" s="7">
        <f>IFERROR(__xludf.DUMMYFUNCTION("""COMPUTED_VALUE"""),"&lt;p&gt;This is a chapter&lt;/p&gt;")</f>
        <v/>
      </c>
      <c r="E204" s="7">
        <f>IFERROR(__xludf.DUMMYFUNCTION("""COMPUTED_VALUE"""),"No artifact embedded")</f>
        <v/>
      </c>
      <c r="F204" s="7" t="n"/>
      <c r="G204" s="8" t="n">
        <v>0</v>
      </c>
      <c r="H204" s="8" t="n">
        <v>0</v>
      </c>
      <c r="I204" s="8" t="n">
        <v>0</v>
      </c>
      <c r="J204" s="8" t="n">
        <v>0</v>
      </c>
      <c r="K204" s="9" t="n">
        <v>0</v>
      </c>
      <c r="L204" s="9" t="n">
        <v>0</v>
      </c>
      <c r="M204" s="9" t="n">
        <v>0</v>
      </c>
      <c r="N204" s="9" t="n">
        <v>0</v>
      </c>
      <c r="O204" s="10" t="n">
        <v>0</v>
      </c>
      <c r="P204" s="10" t="n">
        <v>0</v>
      </c>
      <c r="Q204" s="10" t="n">
        <v>0</v>
      </c>
      <c r="R204" s="10" t="n">
        <v>0</v>
      </c>
      <c r="S204" s="10" t="n">
        <v>0</v>
      </c>
    </row>
    <row r="205" ht="409.5" customHeight="1">
      <c r="A205" s="6">
        <f>IFERROR(__xludf.DUMMYFUNCTION("""COMPUTED_VALUE"""),"EPFL: Ecole Polytechnique de Lausanne")</f>
        <v/>
      </c>
      <c r="B205" s="6">
        <f>IFERROR(__xludf.DUMMYFUNCTION("""COMPUTED_VALUE"""),"Application")</f>
        <v/>
      </c>
      <c r="C205" s="6">
        <f>IFERROR(__xludf.DUMMYFUNCTION("""COMPUTED_VALUE"""),"Pile Attraction")</f>
        <v/>
      </c>
      <c r="D205" s="7">
        <f>IFERROR(__xludf.DUMMYFUNCTION("""COMPUTED_VALUE"""),"No task description")</f>
        <v/>
      </c>
      <c r="E205" s="7">
        <f>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
      </c>
      <c r="F205" s="7" t="n"/>
      <c r="G205" s="8" t="n">
        <v>0</v>
      </c>
      <c r="H205" s="8" t="n">
        <v>0</v>
      </c>
      <c r="I205" s="8" t="n">
        <v>0</v>
      </c>
      <c r="J205" s="8" t="n">
        <v>0</v>
      </c>
      <c r="K205" s="9" t="n">
        <v>0</v>
      </c>
      <c r="L205" s="9" t="n">
        <v>0</v>
      </c>
      <c r="M205" s="9" t="n">
        <v>0</v>
      </c>
      <c r="N205" s="9" t="n">
        <v>0</v>
      </c>
      <c r="O205" s="10" t="n">
        <v>0</v>
      </c>
      <c r="P205" s="10" t="n">
        <v>0</v>
      </c>
      <c r="Q205" s="10" t="n">
        <v>0</v>
      </c>
      <c r="R205" s="10" t="n">
        <v>0</v>
      </c>
      <c r="S205" s="10" t="n">
        <v>0</v>
      </c>
    </row>
    <row r="206" ht="25" customHeight="1">
      <c r="A206" s="6">
        <f>IFERROR(__xludf.DUMMYFUNCTION("""COMPUTED_VALUE"""),"EPFL: Ecole Polytechnique de Lausanne")</f>
        <v/>
      </c>
      <c r="B206" s="6">
        <f>IFERROR(__xludf.DUMMYFUNCTION("""COMPUTED_VALUE"""),"Space")</f>
        <v/>
      </c>
      <c r="C206" s="6">
        <f>IFERROR(__xludf.DUMMYFUNCTION("""COMPUTED_VALUE"""),"Chapter 5")</f>
        <v/>
      </c>
      <c r="D206" s="7">
        <f>IFERROR(__xludf.DUMMYFUNCTION("""COMPUTED_VALUE"""),"&lt;p&gt;This is a chapter&lt;/p&gt;")</f>
        <v/>
      </c>
      <c r="E206" s="7">
        <f>IFERROR(__xludf.DUMMYFUNCTION("""COMPUTED_VALUE"""),"No artifact embedded")</f>
        <v/>
      </c>
      <c r="F206" s="7" t="n"/>
      <c r="G206" s="8" t="n">
        <v>0</v>
      </c>
      <c r="H206" s="8" t="n">
        <v>0</v>
      </c>
      <c r="I206" s="8" t="n">
        <v>0</v>
      </c>
      <c r="J206" s="8" t="n">
        <v>0</v>
      </c>
      <c r="K206" s="9" t="n">
        <v>0</v>
      </c>
      <c r="L206" s="9" t="n">
        <v>0</v>
      </c>
      <c r="M206" s="9" t="n">
        <v>0</v>
      </c>
      <c r="N206" s="9" t="n">
        <v>0</v>
      </c>
      <c r="O206" s="10" t="n">
        <v>0</v>
      </c>
      <c r="P206" s="10" t="n">
        <v>0</v>
      </c>
      <c r="Q206" s="10" t="n">
        <v>0</v>
      </c>
      <c r="R206" s="10" t="n">
        <v>0</v>
      </c>
      <c r="S206" s="10" t="n">
        <v>0</v>
      </c>
    </row>
    <row r="207" ht="97" customHeight="1">
      <c r="A207" s="6">
        <f>IFERROR(__xludf.DUMMYFUNCTION("""COMPUTED_VALUE"""),"EPFL: Ecole Polytechnique de Lausanne")</f>
        <v/>
      </c>
      <c r="B207" s="6">
        <f>IFERROR(__xludf.DUMMYFUNCTION("""COMPUTED_VALUE"""),"Resource")</f>
        <v/>
      </c>
      <c r="C207" s="6">
        <f>IFERROR(__xludf.DUMMYFUNCTION("""COMPUTED_VALUE"""),"Bruno Mars - Billionaire.mp3")</f>
        <v/>
      </c>
      <c r="D207" s="7">
        <f>IFERROR(__xludf.DUMMYFUNCTION("""COMPUTED_VALUE"""),"No task description")</f>
        <v/>
      </c>
      <c r="E207" s="7">
        <f>IFERROR(__xludf.DUMMYFUNCTION("""COMPUTED_VALUE"""),"audio/mpeg – A compressed audio file (MP3), commonly used for music, podcasts, and other audio recordings.")</f>
        <v/>
      </c>
      <c r="F207" s="7" t="n"/>
      <c r="G207" s="8" t="n">
        <v>0</v>
      </c>
      <c r="H207" s="8" t="n">
        <v>0</v>
      </c>
      <c r="I207" s="8" t="n">
        <v>0</v>
      </c>
      <c r="J207" s="8" t="n">
        <v>0</v>
      </c>
      <c r="K207" s="9" t="n">
        <v>0</v>
      </c>
      <c r="L207" s="9" t="n">
        <v>0</v>
      </c>
      <c r="M207" s="9" t="n">
        <v>0</v>
      </c>
      <c r="N207" s="9" t="n">
        <v>0</v>
      </c>
      <c r="O207" s="10" t="n">
        <v>0</v>
      </c>
      <c r="P207" s="10" t="n">
        <v>0</v>
      </c>
      <c r="Q207" s="10" t="n">
        <v>0</v>
      </c>
      <c r="R207" s="10" t="n">
        <v>0</v>
      </c>
      <c r="S207" s="10" t="n">
        <v>0</v>
      </c>
    </row>
    <row r="208" ht="318" customHeight="1">
      <c r="A208" s="6">
        <f>IFERROR(__xludf.DUMMYFUNCTION("""COMPUTED_VALUE"""),"EPFL: Ecole Polytechnique de Lausanne")</f>
        <v/>
      </c>
      <c r="B208" s="6">
        <f>IFERROR(__xludf.DUMMYFUNCTION("""COMPUTED_VALUE"""),"Application")</f>
        <v/>
      </c>
      <c r="C208" s="6">
        <f>IFERROR(__xludf.DUMMYFUNCTION("""COMPUTED_VALUE"""),"Balancing Act App")</f>
        <v/>
      </c>
      <c r="D208" s="7">
        <f>IFERROR(__xludf.DUMMYFUNCTION("""COMPUTED_VALUE"""),"No task description")</f>
        <v/>
      </c>
      <c r="E208" s="7">
        <f>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
      </c>
      <c r="F208" s="7" t="n"/>
      <c r="G208" s="8" t="n">
        <v>0</v>
      </c>
      <c r="H208" s="8" t="n">
        <v>0</v>
      </c>
      <c r="I208" s="8" t="n">
        <v>0</v>
      </c>
      <c r="J208" s="8" t="n">
        <v>0</v>
      </c>
      <c r="K208" s="9" t="n">
        <v>0</v>
      </c>
      <c r="L208" s="9" t="n">
        <v>0</v>
      </c>
      <c r="M208" s="9" t="n">
        <v>0</v>
      </c>
      <c r="N208" s="9" t="n">
        <v>0</v>
      </c>
      <c r="O208" s="10" t="n">
        <v>0</v>
      </c>
      <c r="P208" s="10" t="n">
        <v>0</v>
      </c>
      <c r="Q208" s="10" t="n">
        <v>0</v>
      </c>
      <c r="R208" s="10" t="n">
        <v>0</v>
      </c>
      <c r="S208" s="10" t="n">
        <v>0</v>
      </c>
    </row>
    <row r="209" ht="121" customHeight="1">
      <c r="A209" s="6">
        <f>IFERROR(__xludf.DUMMYFUNCTION("""COMPUTED_VALUE"""),"EPFL: Ecole Polytechnique de Lausanne")</f>
        <v/>
      </c>
      <c r="B209" s="6">
        <f>IFERROR(__xludf.DUMMYFUNCTION("""COMPUTED_VALUE"""),"Resource")</f>
        <v/>
      </c>
      <c r="C209" s="6">
        <f>IFERROR(__xludf.DUMMYFUNCTION("""COMPUTED_VALUE"""),"SampleVideo_360x240_30mb.mp4")</f>
        <v/>
      </c>
      <c r="D209" s="7">
        <f>IFERROR(__xludf.DUMMYFUNCTION("""COMPUTED_VALUE"""),"No task description")</f>
        <v/>
      </c>
      <c r="E209" s="7">
        <f>IFERROR(__xludf.DUMMYFUNCTION("""COMPUTED_VALUE"""),"video/mp4 – A video file containing moving images and possibly audio, suitable for playback on most modern devices and platforms.")</f>
        <v/>
      </c>
      <c r="F209" s="7" t="n"/>
      <c r="G209" s="8" t="n">
        <v>0</v>
      </c>
      <c r="H209" s="8" t="n">
        <v>0</v>
      </c>
      <c r="I209" s="8" t="n">
        <v>0</v>
      </c>
      <c r="J209" s="8" t="n">
        <v>0</v>
      </c>
      <c r="K209" s="9" t="n">
        <v>0</v>
      </c>
      <c r="L209" s="9" t="n">
        <v>0</v>
      </c>
      <c r="M209" s="9" t="n">
        <v>0</v>
      </c>
      <c r="N209" s="9" t="n">
        <v>0</v>
      </c>
      <c r="O209" s="10" t="n">
        <v>0</v>
      </c>
      <c r="P209" s="10" t="n">
        <v>0</v>
      </c>
      <c r="Q209" s="10" t="n">
        <v>0</v>
      </c>
      <c r="R209" s="10" t="n">
        <v>0</v>
      </c>
      <c r="S209" s="10" t="n">
        <v>0</v>
      </c>
    </row>
    <row r="210" ht="25" customHeight="1">
      <c r="A210" s="6">
        <f>IFERROR(__xludf.DUMMYFUNCTION("""COMPUTED_VALUE"""),"EPFL: Ecole Polytechnique de Lausanne")</f>
        <v/>
      </c>
      <c r="B210" s="6">
        <f>IFERROR(__xludf.DUMMYFUNCTION("""COMPUTED_VALUE"""),"Space")</f>
        <v/>
      </c>
      <c r="C210" s="6">
        <f>IFERROR(__xludf.DUMMYFUNCTION("""COMPUTED_VALUE"""),"App")</f>
        <v/>
      </c>
      <c r="D210" s="7">
        <f>IFERROR(__xludf.DUMMYFUNCTION("""COMPUTED_VALUE"""),"No task description")</f>
        <v/>
      </c>
      <c r="E210" s="7">
        <f>IFERROR(__xludf.DUMMYFUNCTION("""COMPUTED_VALUE"""),"No artifact embedded")</f>
        <v/>
      </c>
      <c r="F210" s="7" t="n"/>
      <c r="G210" s="8" t="n">
        <v>0</v>
      </c>
      <c r="H210" s="8" t="n">
        <v>0</v>
      </c>
      <c r="I210" s="8" t="n">
        <v>0</v>
      </c>
      <c r="J210" s="8" t="n">
        <v>0</v>
      </c>
      <c r="K210" s="9" t="n">
        <v>0</v>
      </c>
      <c r="L210" s="9" t="n">
        <v>0</v>
      </c>
      <c r="M210" s="9" t="n">
        <v>0</v>
      </c>
      <c r="N210" s="9" t="n">
        <v>0</v>
      </c>
      <c r="O210" s="10" t="n">
        <v>0</v>
      </c>
      <c r="P210" s="10" t="n">
        <v>0</v>
      </c>
      <c r="Q210" s="10" t="n">
        <v>0</v>
      </c>
      <c r="R210" s="10" t="n">
        <v>0</v>
      </c>
      <c r="S210" s="10" t="n">
        <v>0</v>
      </c>
    </row>
    <row r="211" ht="409.5" customHeight="1">
      <c r="A211" s="6">
        <f>IFERROR(__xludf.DUMMYFUNCTION("""COMPUTED_VALUE"""),"EPFL: Ecole Polytechnique de Lausanne")</f>
        <v/>
      </c>
      <c r="B211" s="6">
        <f>IFERROR(__xludf.DUMMYFUNCTION("""COMPUTED_VALUE"""),"Application")</f>
        <v/>
      </c>
      <c r="C211" s="6">
        <f>IFERROR(__xludf.DUMMYFUNCTION("""COMPUTED_VALUE"""),"Calculator")</f>
        <v/>
      </c>
      <c r="D211" s="7">
        <f>IFERROR(__xludf.DUMMYFUNCTION("""COMPUTED_VALUE"""),"No task description")</f>
        <v/>
      </c>
      <c r="E211" s="7">
        <f>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
      </c>
      <c r="F211" s="7" t="n"/>
      <c r="G211" s="8" t="n">
        <v>0</v>
      </c>
      <c r="H211" s="8" t="n">
        <v>0</v>
      </c>
      <c r="I211" s="8" t="n">
        <v>0</v>
      </c>
      <c r="J211" s="8" t="n">
        <v>0</v>
      </c>
      <c r="K211" s="9" t="n">
        <v>0</v>
      </c>
      <c r="L211" s="9" t="n">
        <v>0</v>
      </c>
      <c r="M211" s="9" t="n">
        <v>0</v>
      </c>
      <c r="N211" s="9" t="n">
        <v>0</v>
      </c>
      <c r="O211" s="10" t="n">
        <v>0</v>
      </c>
      <c r="P211" s="10" t="n">
        <v>0</v>
      </c>
      <c r="Q211" s="10" t="n">
        <v>0</v>
      </c>
      <c r="R211" s="10" t="n">
        <v>0</v>
      </c>
      <c r="S211" s="10" t="n">
        <v>0</v>
      </c>
    </row>
    <row r="212" ht="169" customHeight="1">
      <c r="A212" s="6">
        <f>IFERROR(__xludf.DUMMYFUNCTION("""COMPUTED_VALUE"""),"EPFL: Ecole Polytechnique de Lausanne")</f>
        <v/>
      </c>
      <c r="B212" s="6">
        <f>IFERROR(__xludf.DUMMYFUNCTION("""COMPUTED_VALUE"""),"Application")</f>
        <v/>
      </c>
      <c r="C212" s="6">
        <f>IFERROR(__xludf.DUMMYFUNCTION("""COMPUTED_VALUE"""),"sketch")</f>
        <v/>
      </c>
      <c r="D212" s="7">
        <f>IFERROR(__xludf.DUMMYFUNCTION("""COMPUTED_VALUE"""),"No task description")</f>
        <v/>
      </c>
      <c r="E212" s="7">
        <f>IFERROR(__xludf.DUMMYFUNCTION("""COMPUTED_VALUE"""),"Golabz app/lab: ""&lt;p&gt;A drawing-based learning environment for the gears domain. The primary aims of the lab are: Let students to explore the ways in which gears and chains transmit motion.&lt;/p&gt;\r\n""")</f>
        <v/>
      </c>
      <c r="F212" s="7" t="n"/>
      <c r="G212" s="8" t="n">
        <v>0</v>
      </c>
      <c r="H212" s="8" t="n">
        <v>0</v>
      </c>
      <c r="I212" s="8" t="n">
        <v>0</v>
      </c>
      <c r="J212" s="8" t="n">
        <v>0</v>
      </c>
      <c r="K212" s="9" t="n">
        <v>0</v>
      </c>
      <c r="L212" s="9" t="n">
        <v>0</v>
      </c>
      <c r="M212" s="9" t="n">
        <v>0</v>
      </c>
      <c r="N212" s="9" t="n">
        <v>0</v>
      </c>
      <c r="O212" s="10" t="n">
        <v>0</v>
      </c>
      <c r="P212" s="10" t="n">
        <v>0</v>
      </c>
      <c r="Q212" s="10" t="n">
        <v>0</v>
      </c>
      <c r="R212" s="10" t="n">
        <v>0</v>
      </c>
      <c r="S212" s="10" t="n">
        <v>0</v>
      </c>
    </row>
    <row r="213" ht="157" customHeight="1">
      <c r="A213" s="6">
        <f>IFERROR(__xludf.DUMMYFUNCTION("""COMPUTED_VALUE"""),"EPFL: Ecole Polytechnique de Lausanne")</f>
        <v/>
      </c>
      <c r="B213" s="6">
        <f>IFERROR(__xludf.DUMMYFUNCTION("""COMPUTED_VALUE"""),"Application")</f>
        <v/>
      </c>
      <c r="C213" s="6">
        <f>IFERROR(__xludf.DUMMYFUNCTION("""COMPUTED_VALUE"""),"File Drop")</f>
        <v/>
      </c>
      <c r="D213" s="7">
        <f>IFERROR(__xludf.DUMMYFUNCTION("""COMPUTED_VALUE"""),"No task description")</f>
        <v/>
      </c>
      <c r="E213" s="7">
        <f>IFERROR(__xludf.DUMMYFUNCTION("""COMPUTED_VALUE"""),"Golabz app/lab: ""&lt;p&gt;This app allows students to upload files, e.g., assignment and reports, to the Inquiry learning Space. The app also allows teachers to download the uploaded files.&lt;/p&gt;\r\n""")</f>
        <v/>
      </c>
      <c r="F213" s="7" t="n"/>
      <c r="G213" s="8" t="n">
        <v>0</v>
      </c>
      <c r="H213" s="8" t="n">
        <v>0</v>
      </c>
      <c r="I213" s="8" t="n">
        <v>0</v>
      </c>
      <c r="J213" s="8" t="n">
        <v>0</v>
      </c>
      <c r="K213" s="9" t="n">
        <v>0</v>
      </c>
      <c r="L213" s="9" t="n">
        <v>0</v>
      </c>
      <c r="M213" s="9" t="n">
        <v>0</v>
      </c>
      <c r="N213" s="9" t="n">
        <v>0</v>
      </c>
      <c r="O213" s="10" t="n">
        <v>0</v>
      </c>
      <c r="P213" s="10" t="n">
        <v>0</v>
      </c>
      <c r="Q213" s="10" t="n">
        <v>0</v>
      </c>
      <c r="R213" s="10" t="n">
        <v>0</v>
      </c>
      <c r="S213" s="10" t="n">
        <v>0</v>
      </c>
    </row>
    <row r="214" ht="409.5" customHeight="1">
      <c r="A214" s="6">
        <f>IFERROR(__xludf.DUMMYFUNCTION("""COMPUTED_VALUE"""),"EPFL: Ecole Polytechnique de Lausanne")</f>
        <v/>
      </c>
      <c r="B214" s="6">
        <f>IFERROR(__xludf.DUMMYFUNCTION("""COMPUTED_VALUE"""),"Application")</f>
        <v/>
      </c>
      <c r="C214" s="6">
        <f>IFERROR(__xludf.DUMMYFUNCTION("""COMPUTED_VALUE"""),"SpeakUp")</f>
        <v/>
      </c>
      <c r="D214" s="7">
        <f>IFERROR(__xludf.DUMMYFUNCTION("""COMPUTED_VALUE"""),"No task description")</f>
        <v/>
      </c>
      <c r="E21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14" s="7" t="n"/>
      <c r="G214" s="8" t="n">
        <v>0</v>
      </c>
      <c r="H214" s="8" t="n">
        <v>0</v>
      </c>
      <c r="I214" s="8" t="n">
        <v>0</v>
      </c>
      <c r="J214" s="8" t="n">
        <v>0</v>
      </c>
      <c r="K214" s="9" t="n">
        <v>0</v>
      </c>
      <c r="L214" s="9" t="n">
        <v>0</v>
      </c>
      <c r="M214" s="9" t="n">
        <v>0</v>
      </c>
      <c r="N214" s="9" t="n">
        <v>0</v>
      </c>
      <c r="O214" s="10" t="n">
        <v>0</v>
      </c>
      <c r="P214" s="10" t="n">
        <v>0</v>
      </c>
      <c r="Q214" s="10" t="n">
        <v>0</v>
      </c>
      <c r="R214" s="10" t="n">
        <v>0</v>
      </c>
      <c r="S214" s="10" t="n">
        <v>0</v>
      </c>
    </row>
    <row r="215" ht="25" customHeight="1">
      <c r="A215" s="6">
        <f>IFERROR(__xludf.DUMMYFUNCTION("""COMPUTED_VALUE"""),"EPFL: Ecole Polytechnique de Lausanne")</f>
        <v/>
      </c>
      <c r="B215" s="6">
        <f>IFERROR(__xludf.DUMMYFUNCTION("""COMPUTED_VALUE"""),"Application")</f>
        <v/>
      </c>
      <c r="C215" s="6">
        <f>IFERROR(__xludf.DUMMYFUNCTION("""COMPUTED_VALUE"""),"SpeakUp")</f>
        <v/>
      </c>
      <c r="D215" s="7">
        <f>IFERROR(__xludf.DUMMYFUNCTION("""COMPUTED_VALUE"""),"No task description")</f>
        <v/>
      </c>
      <c r="E215" s="7">
        <f>IFERROR(__xludf.DUMMYFUNCTION("""COMPUTED_VALUE"""),"No artifact embedded")</f>
        <v/>
      </c>
      <c r="F215" s="7" t="n"/>
      <c r="G215" s="8" t="n">
        <v>0</v>
      </c>
      <c r="H215" s="8" t="n">
        <v>0</v>
      </c>
      <c r="I215" s="8" t="n">
        <v>0</v>
      </c>
      <c r="J215" s="8" t="n">
        <v>0</v>
      </c>
      <c r="K215" s="9" t="n">
        <v>0</v>
      </c>
      <c r="L215" s="9" t="n">
        <v>0</v>
      </c>
      <c r="M215" s="9" t="n">
        <v>0</v>
      </c>
      <c r="N215" s="9" t="n">
        <v>0</v>
      </c>
      <c r="O215" s="10" t="n">
        <v>0</v>
      </c>
      <c r="P215" s="10" t="n">
        <v>0</v>
      </c>
      <c r="Q215" s="10" t="n">
        <v>0</v>
      </c>
      <c r="R215" s="10" t="n">
        <v>0</v>
      </c>
      <c r="S215" s="10" t="n">
        <v>0</v>
      </c>
    </row>
    <row r="216" ht="318" customHeight="1">
      <c r="A216" s="6">
        <f>IFERROR(__xludf.DUMMYFUNCTION("""COMPUTED_VALUE"""),"EPFL: Ecole Polytechnique de Lausanne")</f>
        <v/>
      </c>
      <c r="B216" s="6">
        <f>IFERROR(__xludf.DUMMYFUNCTION("""COMPUTED_VALUE"""),"Resource")</f>
        <v/>
      </c>
      <c r="C216" s="6">
        <f>IFERROR(__xludf.DUMMYFUNCTION("""COMPUTED_VALUE"""),"Accueil")</f>
        <v/>
      </c>
      <c r="D216" s="7">
        <f>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
      </c>
      <c r="E216" s="7">
        <f>IFERROR(__xludf.DUMMYFUNCTION("""COMPUTED_VALUE"""),"No artifact embedded")</f>
        <v/>
      </c>
      <c r="F216" s="7" t="n"/>
      <c r="G216" s="8" t="n">
        <v>0</v>
      </c>
      <c r="H216" s="8" t="n">
        <v>0</v>
      </c>
      <c r="I216" s="8" t="n">
        <v>0</v>
      </c>
      <c r="J216" s="8" t="n">
        <v>0</v>
      </c>
      <c r="K216" s="9" t="n">
        <v>0</v>
      </c>
      <c r="L216" s="9" t="n">
        <v>0</v>
      </c>
      <c r="M216" s="9" t="n">
        <v>0</v>
      </c>
      <c r="N216" s="9" t="n">
        <v>0</v>
      </c>
      <c r="O216" s="10" t="n">
        <v>0</v>
      </c>
      <c r="P216" s="10" t="n">
        <v>0</v>
      </c>
      <c r="Q216" s="10" t="n">
        <v>0</v>
      </c>
      <c r="R216" s="10" t="n">
        <v>0</v>
      </c>
      <c r="S216" s="10" t="n">
        <v>0</v>
      </c>
    </row>
    <row r="217" ht="25" customHeight="1">
      <c r="A217" s="6">
        <f>IFERROR(__xludf.DUMMYFUNCTION("""COMPUTED_VALUE"""),"EPFL: Ecole Polytechnique de Lausanne")</f>
        <v/>
      </c>
      <c r="B217" s="6">
        <f>IFERROR(__xludf.DUMMYFUNCTION("""COMPUTED_VALUE"""),"Space")</f>
        <v/>
      </c>
      <c r="C217" s="6">
        <f>IFERROR(__xludf.DUMMYFUNCTION("""COMPUTED_VALUE"""),"objects")</f>
        <v/>
      </c>
      <c r="D217" s="7">
        <f>IFERROR(__xludf.DUMMYFUNCTION("""COMPUTED_VALUE"""),"No task description")</f>
        <v/>
      </c>
      <c r="E217" s="7">
        <f>IFERROR(__xludf.DUMMYFUNCTION("""COMPUTED_VALUE"""),"No artifact embedded")</f>
        <v/>
      </c>
      <c r="F217" s="7" t="n"/>
      <c r="G217" s="8" t="n">
        <v>0</v>
      </c>
      <c r="H217" s="8" t="n">
        <v>0</v>
      </c>
      <c r="I217" s="8" t="n">
        <v>0</v>
      </c>
      <c r="J217" s="8" t="n">
        <v>0</v>
      </c>
      <c r="K217" s="9" t="n">
        <v>0</v>
      </c>
      <c r="L217" s="9" t="n">
        <v>0</v>
      </c>
      <c r="M217" s="9" t="n">
        <v>0</v>
      </c>
      <c r="N217" s="9" t="n">
        <v>0</v>
      </c>
      <c r="O217" s="10" t="n">
        <v>0</v>
      </c>
      <c r="P217" s="10" t="n">
        <v>0</v>
      </c>
      <c r="Q217" s="10" t="n">
        <v>0</v>
      </c>
      <c r="R217" s="10" t="n">
        <v>0</v>
      </c>
      <c r="S217" s="10" t="n">
        <v>0</v>
      </c>
    </row>
    <row r="218" ht="85" customHeight="1">
      <c r="A218" s="6">
        <f>IFERROR(__xludf.DUMMYFUNCTION("""COMPUTED_VALUE"""),"EPFL: Ecole Polytechnique de Lausanne")</f>
        <v/>
      </c>
      <c r="B218" s="6">
        <f>IFERROR(__xludf.DUMMYFUNCTION("""COMPUTED_VALUE"""),"Resource")</f>
        <v/>
      </c>
      <c r="C218" s="6">
        <f>IFERROR(__xludf.DUMMYFUNCTION("""COMPUTED_VALUE"""),"Weiterleitungshinweis")</f>
        <v/>
      </c>
      <c r="D218" s="7">
        <f>IFERROR(__xludf.DUMMYFUNCTION("""COMPUTED_VALUE"""),"No task description")</f>
        <v/>
      </c>
      <c r="E218" s="7">
        <f>IFERROR(__xludf.DUMMYFUNCTION("""COMPUTED_VALUE"""),"google.com: A search engine that also provides various services, including image searches.")</f>
        <v/>
      </c>
      <c r="F218" s="7" t="n"/>
      <c r="G218" s="8" t="n">
        <v>0</v>
      </c>
      <c r="H218" s="8" t="n">
        <v>0</v>
      </c>
      <c r="I218" s="8" t="n">
        <v>0</v>
      </c>
      <c r="J218" s="8" t="n">
        <v>0</v>
      </c>
      <c r="K218" s="9" t="n">
        <v>0</v>
      </c>
      <c r="L218" s="9" t="n">
        <v>0</v>
      </c>
      <c r="M218" s="9" t="n">
        <v>0</v>
      </c>
      <c r="N218" s="9" t="n">
        <v>0</v>
      </c>
      <c r="O218" s="10" t="n">
        <v>0</v>
      </c>
      <c r="P218" s="10" t="n">
        <v>0</v>
      </c>
      <c r="Q218" s="10" t="n">
        <v>0</v>
      </c>
      <c r="R218" s="10" t="n">
        <v>0</v>
      </c>
      <c r="S218" s="10" t="n">
        <v>0</v>
      </c>
    </row>
    <row r="219" ht="109" customHeight="1">
      <c r="A219" s="6">
        <f>IFERROR(__xludf.DUMMYFUNCTION("""COMPUTED_VALUE"""),"EPFL: Ecole Polytechnique de Lausanne")</f>
        <v/>
      </c>
      <c r="B219" s="6">
        <f>IFERROR(__xludf.DUMMYFUNCTION("""COMPUTED_VALUE"""),"Resource")</f>
        <v/>
      </c>
      <c r="C219" s="6">
        <f>IFERROR(__xludf.DUMMYFUNCTION("""COMPUTED_VALUE"""),"wfd.html")</f>
        <v/>
      </c>
      <c r="D219" s="7">
        <f>IFERROR(__xludf.DUMMYFUNCTION("""COMPUTED_VALUE"""),"&lt;h1&gt;Hello !!!!&lt;/h1&gt;  &lt;div style=""background:red""&gt;&lt;/div&gt;&lt;h1&gt;Hello !!!!&lt;/h1&gt;  &lt;div style=""background:red""&gt;wef&lt;/div&gt;")</f>
        <v/>
      </c>
      <c r="E219" s="7">
        <f>IFERROR(__xludf.DUMMYFUNCTION("""COMPUTED_VALUE"""),"text/html – A webpage or web document that contains structured text, images, and links, designed for display in a web browser.")</f>
        <v/>
      </c>
      <c r="F219" s="7" t="n"/>
      <c r="G219" s="8" t="n">
        <v>0</v>
      </c>
      <c r="H219" s="8" t="n">
        <v>0</v>
      </c>
      <c r="I219" s="8" t="n">
        <v>0</v>
      </c>
      <c r="J219" s="8" t="n">
        <v>0</v>
      </c>
      <c r="K219" s="9" t="n">
        <v>0</v>
      </c>
      <c r="L219" s="9" t="n">
        <v>0</v>
      </c>
      <c r="M219" s="9" t="n">
        <v>0</v>
      </c>
      <c r="N219" s="9" t="n">
        <v>0</v>
      </c>
      <c r="O219" s="10" t="n">
        <v>0</v>
      </c>
      <c r="P219" s="10" t="n">
        <v>0</v>
      </c>
      <c r="Q219" s="10" t="n">
        <v>0</v>
      </c>
      <c r="R219" s="10" t="n">
        <v>0</v>
      </c>
      <c r="S219" s="10" t="n">
        <v>0</v>
      </c>
    </row>
    <row r="220" ht="121" customHeight="1">
      <c r="A220" s="6">
        <f>IFERROR(__xludf.DUMMYFUNCTION("""COMPUTED_VALUE"""),"EPFL: Ecole Polytechnique de Lausanne")</f>
        <v/>
      </c>
      <c r="B220" s="6">
        <f>IFERROR(__xludf.DUMMYFUNCTION("""COMPUTED_VALUE"""),"Resource")</f>
        <v/>
      </c>
      <c r="C220" s="6">
        <f>IFERROR(__xludf.DUMMYFUNCTION("""COMPUTED_VALUE"""),"New Link")</f>
        <v/>
      </c>
      <c r="D220" s="7">
        <f>IFERROR(__xludf.DUMMYFUNCTION("""COMPUTED_VALUE"""),"No task description")</f>
        <v/>
      </c>
      <c r="E220" s="7">
        <f>IFERROR(__xludf.DUMMYFUNCTION("""COMPUTED_VALUE"""),"medium.com: A platform for writers to share articles and stories, often accompanied by images hosted on subdomains like cdn-images-1.medium.com.")</f>
        <v/>
      </c>
      <c r="F220" s="7" t="n"/>
      <c r="G220" s="8" t="n">
        <v>0</v>
      </c>
      <c r="H220" s="8" t="n">
        <v>0</v>
      </c>
      <c r="I220" s="8" t="n">
        <v>0</v>
      </c>
      <c r="J220" s="8" t="n">
        <v>0</v>
      </c>
      <c r="K220" s="9" t="n">
        <v>0</v>
      </c>
      <c r="L220" s="9" t="n">
        <v>0</v>
      </c>
      <c r="M220" s="9" t="n">
        <v>0</v>
      </c>
      <c r="N220" s="9" t="n">
        <v>0</v>
      </c>
      <c r="O220" s="10" t="n">
        <v>0</v>
      </c>
      <c r="P220" s="10" t="n">
        <v>0</v>
      </c>
      <c r="Q220" s="10" t="n">
        <v>0</v>
      </c>
      <c r="R220" s="10" t="n">
        <v>0</v>
      </c>
      <c r="S220" s="10" t="n">
        <v>0</v>
      </c>
    </row>
    <row r="221" ht="409.5" customHeight="1">
      <c r="A221" s="6">
        <f>IFERROR(__xludf.DUMMYFUNCTION("""COMPUTED_VALUE"""),"EPFL: Ecole Polytechnique de Lausanne")</f>
        <v/>
      </c>
      <c r="B221" s="6">
        <f>IFERROR(__xludf.DUMMYFUNCTION("""COMPUTED_VALUE"""),"Resource")</f>
        <v/>
      </c>
      <c r="C221" s="6">
        <f>IFERROR(__xludf.DUMMYFUNCTION("""COMPUTED_VALUE"""),"werfd.txt")</f>
        <v/>
      </c>
      <c r="D221" s="7">
        <f>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
      </c>
      <c r="E221" s="7">
        <f>IFERROR(__xludf.DUMMYFUNCTION("""COMPUTED_VALUE"""),"text/plain – A simple text file containing unformatted text, often used for notes, logs, or source code.")</f>
        <v/>
      </c>
      <c r="F221" s="7" t="n"/>
      <c r="G221" s="8" t="n">
        <v>0</v>
      </c>
      <c r="H221" s="8" t="n">
        <v>0</v>
      </c>
      <c r="I221" s="8" t="n">
        <v>0</v>
      </c>
      <c r="J221" s="8" t="n">
        <v>0</v>
      </c>
      <c r="K221" s="9" t="n">
        <v>0</v>
      </c>
      <c r="L221" s="9" t="n">
        <v>0</v>
      </c>
      <c r="M221" s="9" t="n">
        <v>0</v>
      </c>
      <c r="N221" s="9" t="n">
        <v>0</v>
      </c>
      <c r="O221" s="10" t="n">
        <v>0</v>
      </c>
      <c r="P221" s="10" t="n">
        <v>0</v>
      </c>
      <c r="Q221" s="10" t="n">
        <v>0</v>
      </c>
      <c r="R221" s="10" t="n">
        <v>0</v>
      </c>
      <c r="S221" s="10" t="n">
        <v>0</v>
      </c>
    </row>
    <row r="222" ht="205" customHeight="1">
      <c r="A222" s="6">
        <f>IFERROR(__xludf.DUMMYFUNCTION("""COMPUTED_VALUE"""),"Modeling-based Estimation Learning Environment - MEttLE")</f>
        <v/>
      </c>
      <c r="B222" s="6">
        <f>IFERROR(__xludf.DUMMYFUNCTION("""COMPUTED_VALUE"""),"Space")</f>
        <v/>
      </c>
      <c r="C222" s="6">
        <f>IFERROR(__xludf.DUMMYFUNCTION("""COMPUTED_VALUE"""),"Introduction")</f>
        <v/>
      </c>
      <c r="D222" s="7">
        <f>IFERROR(__xludf.DUMMYFUNCTION("""COMPUTED_VALUE"""),"&lt;p&gt;In MEttLE you will:&lt;/p&gt;&lt;p&gt;1) Solve this estimation problem.&lt;/p&gt;&lt;p&gt;2) Learn the process of solving such estimation problems.&lt;/p&gt;&lt;p&gt;You can swipe up the ""Tools"" tab at the bottom of the page to add your notes at any time.&lt;/p&gt;")</f>
        <v/>
      </c>
      <c r="E222" s="7">
        <f>IFERROR(__xludf.DUMMYFUNCTION("""COMPUTED_VALUE"""),"No artifact embedded")</f>
        <v/>
      </c>
      <c r="F222" s="7" t="n"/>
      <c r="G222" s="8" t="n">
        <v>0</v>
      </c>
      <c r="H222" s="8" t="n">
        <v>0</v>
      </c>
      <c r="I222" s="8" t="n">
        <v>1</v>
      </c>
      <c r="J222" s="8" t="n">
        <v>0</v>
      </c>
      <c r="K222" s="9" t="n">
        <v>0</v>
      </c>
      <c r="L222" s="9" t="n">
        <v>1</v>
      </c>
      <c r="M222" s="9" t="n">
        <v>0</v>
      </c>
      <c r="N222" s="9" t="n">
        <v>0</v>
      </c>
      <c r="O222" s="10" t="n">
        <v>1</v>
      </c>
      <c r="P222" s="10" t="n">
        <v>0</v>
      </c>
      <c r="Q222" s="10" t="n">
        <v>0</v>
      </c>
      <c r="R222" s="10" t="n">
        <v>0</v>
      </c>
      <c r="S222" s="10" t="n">
        <v>0</v>
      </c>
    </row>
    <row r="223" ht="97" customHeight="1">
      <c r="A223" s="6">
        <f>IFERROR(__xludf.DUMMYFUNCTION("""COMPUTED_VALUE"""),"Modeling-based Estimation Learning Environment - MEttLE")</f>
        <v/>
      </c>
      <c r="B223" s="6">
        <f>IFERROR(__xludf.DUMMYFUNCTION("""COMPUTED_VALUE"""),"Resource")</f>
        <v/>
      </c>
      <c r="C223" s="6">
        <f>IFERROR(__xludf.DUMMYFUNCTION("""COMPUTED_VALUE"""),"EstiMap")</f>
        <v/>
      </c>
      <c r="D223" s="7">
        <f>IFERROR(__xludf.DUMMYFUNCTION("""COMPUTED_VALUE"""),"&lt;p&gt;This map describes the process you will follow to solve the estimation problem&lt;/p&gt;")</f>
        <v/>
      </c>
      <c r="E223" s="7">
        <f>IFERROR(__xludf.DUMMYFUNCTION("""COMPUTED_VALUE"""),"image/png – A high-quality image with support for transparency, often used in design and web applications.")</f>
        <v/>
      </c>
      <c r="F223" s="7" t="n"/>
      <c r="G223" s="8" t="n">
        <v>1</v>
      </c>
      <c r="H223" s="8" t="n">
        <v>0</v>
      </c>
      <c r="I223" s="8" t="n">
        <v>0</v>
      </c>
      <c r="J223" s="8" t="n">
        <v>0</v>
      </c>
      <c r="K223" s="9" t="n">
        <v>1</v>
      </c>
      <c r="L223" s="9" t="n">
        <v>0</v>
      </c>
      <c r="M223" s="9" t="n">
        <v>0</v>
      </c>
      <c r="N223" s="9" t="n">
        <v>0</v>
      </c>
      <c r="O223" s="10" t="n">
        <v>1</v>
      </c>
      <c r="P223" s="10" t="n">
        <v>0</v>
      </c>
      <c r="Q223" s="10" t="n">
        <v>0</v>
      </c>
      <c r="R223" s="10" t="n">
        <v>0</v>
      </c>
      <c r="S223" s="10" t="n">
        <v>0</v>
      </c>
    </row>
    <row r="224" ht="109" customHeight="1">
      <c r="A224" s="6">
        <f>IFERROR(__xludf.DUMMYFUNCTION("""COMPUTED_VALUE"""),"Modeling-based Estimation Learning Environment - MEttLE")</f>
        <v/>
      </c>
      <c r="B224" s="6">
        <f>IFERROR(__xludf.DUMMYFUNCTION("""COMPUTED_VALUE"""),"Space")</f>
        <v/>
      </c>
      <c r="C224" s="6">
        <f>IFERROR(__xludf.DUMMYFUNCTION("""COMPUTED_VALUE"""),"Functional Modeling")</f>
        <v/>
      </c>
      <c r="D224" s="7">
        <f>IFERROR(__xludf.DUMMYFUNCTION("""COMPUTED_VALUE"""),"&lt;p&gt;In this first phase of estimation, you will create a functional model of the electric car that you can use to estimate power.&lt;/p&gt;")</f>
        <v/>
      </c>
      <c r="E224" s="7">
        <f>IFERROR(__xludf.DUMMYFUNCTION("""COMPUTED_VALUE"""),"No artifact embedded")</f>
        <v/>
      </c>
      <c r="F224" s="7" t="n"/>
      <c r="G224" s="8" t="n">
        <v>0</v>
      </c>
      <c r="H224" s="8" t="n">
        <v>0</v>
      </c>
      <c r="I224" s="8" t="n">
        <v>1</v>
      </c>
      <c r="J224" s="8" t="n">
        <v>0</v>
      </c>
      <c r="K224" s="9" t="n">
        <v>0</v>
      </c>
      <c r="L224" s="9" t="n">
        <v>1</v>
      </c>
      <c r="M224" s="9" t="n">
        <v>0</v>
      </c>
      <c r="N224" s="9" t="n">
        <v>0</v>
      </c>
      <c r="O224" s="10" t="n">
        <v>1</v>
      </c>
      <c r="P224" s="10" t="n">
        <v>0</v>
      </c>
      <c r="Q224" s="10" t="n">
        <v>0</v>
      </c>
      <c r="R224" s="10" t="n">
        <v>0</v>
      </c>
      <c r="S224" s="10" t="n">
        <v>0</v>
      </c>
    </row>
    <row r="225" ht="97" customHeight="1">
      <c r="A225" s="6">
        <f>IFERROR(__xludf.DUMMYFUNCTION("""COMPUTED_VALUE"""),"Modeling-based Estimation Learning Environment - MEttLE")</f>
        <v/>
      </c>
      <c r="B225" s="6">
        <f>IFERROR(__xludf.DUMMYFUNCTION("""COMPUTED_VALUE"""),"Resource")</f>
        <v/>
      </c>
      <c r="C225" s="6">
        <f>IFERROR(__xludf.DUMMYFUNCTION("""COMPUTED_VALUE"""),"EstiMap")</f>
        <v/>
      </c>
      <c r="D225" s="7">
        <f>IFERROR(__xludf.DUMMYFUNCTION("""COMPUTED_VALUE"""),"&lt;p&gt;This is where you are in the estimation process&lt;/p&gt;")</f>
        <v/>
      </c>
      <c r="E225" s="7">
        <f>IFERROR(__xludf.DUMMYFUNCTION("""COMPUTED_VALUE"""),"image/png – A high-quality image with support for transparency, often used in design and web applications.")</f>
        <v/>
      </c>
      <c r="F225" s="7" t="n"/>
      <c r="G225" s="8" t="n">
        <v>1</v>
      </c>
      <c r="H225" s="8" t="n">
        <v>0</v>
      </c>
      <c r="I225" s="8" t="n">
        <v>0</v>
      </c>
      <c r="J225" s="8" t="n">
        <v>0</v>
      </c>
      <c r="K225" s="9" t="n">
        <v>1</v>
      </c>
      <c r="L225" s="9" t="n">
        <v>0</v>
      </c>
      <c r="M225" s="9" t="n">
        <v>0</v>
      </c>
      <c r="N225" s="9" t="n">
        <v>0</v>
      </c>
      <c r="O225" s="10" t="n">
        <v>1</v>
      </c>
      <c r="P225" s="10" t="n">
        <v>0</v>
      </c>
      <c r="Q225" s="10" t="n">
        <v>0</v>
      </c>
      <c r="R225" s="10" t="n">
        <v>0</v>
      </c>
      <c r="S225" s="10" t="n">
        <v>0</v>
      </c>
    </row>
    <row r="226" ht="409.5" customHeight="1">
      <c r="A226" s="6">
        <f>IFERROR(__xludf.DUMMYFUNCTION("""COMPUTED_VALUE"""),"Modeling-based Estimation Learning Environment - MEttLE")</f>
        <v/>
      </c>
      <c r="B226" s="6">
        <f>IFERROR(__xludf.DUMMYFUNCTION("""COMPUTED_VALUE"""),"Application")</f>
        <v/>
      </c>
      <c r="C226" s="6">
        <f>IFERROR(__xludf.DUMMYFUNCTION("""COMPUTED_VALUE"""),"Word Bag")</f>
        <v/>
      </c>
      <c r="D226" s="7">
        <f>IFERROR(__xludf.DUMMYFUNCTION("""COMPUTED_VALUE"""),"&lt;p&gt;Create a sentence using the words below that describes how an electric car runs. This is the functional model of the electric car. You can use the reference material and scratch pads given below.&lt;/p&gt;")</f>
        <v/>
      </c>
      <c r="E22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26" s="7" t="n"/>
      <c r="G226" s="8" t="n">
        <v>0</v>
      </c>
      <c r="H226" s="8" t="n">
        <v>0</v>
      </c>
      <c r="I226" s="8" t="n">
        <v>1</v>
      </c>
      <c r="J226" s="8" t="n">
        <v>0</v>
      </c>
      <c r="K226" s="9" t="n">
        <v>0</v>
      </c>
      <c r="L226" s="9" t="n">
        <v>1</v>
      </c>
      <c r="M226" s="9" t="n">
        <v>0</v>
      </c>
      <c r="N226" s="9" t="n">
        <v>0</v>
      </c>
      <c r="O226" s="10" t="n">
        <v>0</v>
      </c>
      <c r="P226" s="10" t="n">
        <v>1</v>
      </c>
      <c r="Q226" s="10" t="n">
        <v>0</v>
      </c>
      <c r="R226" s="10" t="n">
        <v>0</v>
      </c>
      <c r="S226" s="10" t="n">
        <v>0</v>
      </c>
    </row>
    <row r="227" ht="296" customHeight="1">
      <c r="A227" s="6">
        <f>IFERROR(__xludf.DUMMYFUNCTION("""COMPUTED_VALUE"""),"Modeling-based Estimation Learning Environment - MEttLE")</f>
        <v/>
      </c>
      <c r="B227" s="6">
        <f>IFERROR(__xludf.DUMMYFUNCTION("""COMPUTED_VALUE"""),"Application")</f>
        <v/>
      </c>
      <c r="C227" s="6">
        <f>IFERROR(__xludf.DUMMYFUNCTION("""COMPUTED_VALUE"""),"Evaluate your model")</f>
        <v/>
      </c>
      <c r="D227" s="7">
        <f>IFERROR(__xludf.DUMMYFUNCTION("""COMPUTED_VALUE"""),"&lt;p&gt;Let's evaluate whether your functional model is useful for estimating power. &lt;/p&gt;")</f>
        <v/>
      </c>
      <c r="E22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7" s="7" t="n"/>
      <c r="G227" s="8" t="n">
        <v>0</v>
      </c>
      <c r="H227" s="8" t="n">
        <v>0</v>
      </c>
      <c r="I227" s="8" t="n">
        <v>0</v>
      </c>
      <c r="J227" s="8" t="n">
        <v>1</v>
      </c>
      <c r="K227" s="9" t="n">
        <v>0</v>
      </c>
      <c r="L227" s="9" t="n">
        <v>1</v>
      </c>
      <c r="M227" s="9" t="n">
        <v>0</v>
      </c>
      <c r="N227" s="9" t="n">
        <v>0</v>
      </c>
      <c r="O227" s="10" t="n">
        <v>0</v>
      </c>
      <c r="P227" s="10" t="n">
        <v>0</v>
      </c>
      <c r="Q227" s="10" t="n">
        <v>1</v>
      </c>
      <c r="R227" s="10" t="n">
        <v>0</v>
      </c>
      <c r="S227" s="10" t="n">
        <v>1</v>
      </c>
    </row>
    <row r="228" ht="109" customHeight="1">
      <c r="A228" s="6">
        <f>IFERROR(__xludf.DUMMYFUNCTION("""COMPUTED_VALUE"""),"Modeling-based Estimation Learning Environment - MEttLE")</f>
        <v/>
      </c>
      <c r="B228" s="6">
        <f>IFERROR(__xludf.DUMMYFUNCTION("""COMPUTED_VALUE"""),"Resource")</f>
        <v/>
      </c>
      <c r="C228" s="6">
        <f>IFERROR(__xludf.DUMMYFUNCTION("""COMPUTED_VALUE"""),"A utilizable functional model")</f>
        <v/>
      </c>
      <c r="D228" s="7">
        <f>IFERROR(__xludf.DUMMYFUNCTION("""COMPUTED_VALUE"""),"&lt;p&gt;Here is a functional model that you can use to estimate power.&lt;/p&gt;")</f>
        <v/>
      </c>
      <c r="E228" s="7">
        <f>IFERROR(__xludf.DUMMYFUNCTION("""COMPUTED_VALUE"""),"text/html – A webpage or web document that contains structured text, images, and links, designed for display in a web browser.")</f>
        <v/>
      </c>
      <c r="F228" s="7" t="n"/>
      <c r="G228" s="8" t="n">
        <v>1</v>
      </c>
      <c r="H228" s="8" t="n">
        <v>0</v>
      </c>
      <c r="I228" s="8" t="n">
        <v>0</v>
      </c>
      <c r="J228" s="8" t="n">
        <v>0</v>
      </c>
      <c r="K228" s="9" t="n">
        <v>1</v>
      </c>
      <c r="L228" s="9" t="n">
        <v>0</v>
      </c>
      <c r="M228" s="9" t="n">
        <v>0</v>
      </c>
      <c r="N228" s="9" t="n">
        <v>0</v>
      </c>
      <c r="O228" s="10" t="n">
        <v>1</v>
      </c>
      <c r="P228" s="10" t="n">
        <v>0</v>
      </c>
      <c r="Q228" s="10" t="n">
        <v>0</v>
      </c>
      <c r="R228" s="10" t="n">
        <v>0</v>
      </c>
      <c r="S228" s="10" t="n">
        <v>0</v>
      </c>
    </row>
    <row r="229" ht="296" customHeight="1">
      <c r="A229" s="6">
        <f>IFERROR(__xludf.DUMMYFUNCTION("""COMPUTED_VALUE"""),"Modeling-based Estimation Learning Environment - MEttLE")</f>
        <v/>
      </c>
      <c r="B229" s="6">
        <f>IFERROR(__xludf.DUMMYFUNCTION("""COMPUTED_VALUE"""),"Application")</f>
        <v/>
      </c>
      <c r="C229" s="6">
        <f>IFERROR(__xludf.DUMMYFUNCTION("""COMPUTED_VALUE"""),"Reflect and plan")</f>
        <v/>
      </c>
      <c r="D229" s="7">
        <f>IFERROR(__xludf.DUMMYFUNCTION("""COMPUTED_VALUE"""),"&lt;p&gt;Here you will reflect on what you did in this phase and what you intend to do next.&lt;/p&gt;")</f>
        <v/>
      </c>
      <c r="E22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9" s="7" t="n"/>
      <c r="G229" s="8" t="n">
        <v>0</v>
      </c>
      <c r="H229" s="8" t="n">
        <v>0</v>
      </c>
      <c r="I229" s="8" t="n">
        <v>0</v>
      </c>
      <c r="J229" s="8" t="n">
        <v>1</v>
      </c>
      <c r="K229" s="9" t="n">
        <v>0</v>
      </c>
      <c r="L229" s="9" t="n">
        <v>1</v>
      </c>
      <c r="M229" s="9" t="n">
        <v>0</v>
      </c>
      <c r="N229" s="9" t="n">
        <v>0</v>
      </c>
      <c r="O229" s="10" t="n">
        <v>0</v>
      </c>
      <c r="P229" s="10" t="n">
        <v>0</v>
      </c>
      <c r="Q229" s="10" t="n">
        <v>0</v>
      </c>
      <c r="R229" s="10" t="n">
        <v>0</v>
      </c>
      <c r="S229" s="10" t="n">
        <v>1</v>
      </c>
    </row>
    <row r="230" ht="109" customHeight="1">
      <c r="A230" s="6">
        <f>IFERROR(__xludf.DUMMYFUNCTION("""COMPUTED_VALUE"""),"Modeling-based Estimation Learning Environment - MEttLE")</f>
        <v/>
      </c>
      <c r="B230" s="6">
        <f>IFERROR(__xludf.DUMMYFUNCTION("""COMPUTED_VALUE"""),"Resource")</f>
        <v/>
      </c>
      <c r="C230" s="6">
        <f>IFERROR(__xludf.DUMMYFUNCTION("""COMPUTED_VALUE"""),"Reference Materials")</f>
        <v/>
      </c>
      <c r="D230" s="7">
        <f>IFERROR(__xludf.DUMMYFUNCTION("""COMPUTED_VALUE"""),"&lt;p&gt;Read about how an electric car works here.&lt;/p&gt;")</f>
        <v/>
      </c>
      <c r="E230" s="7">
        <f>IFERROR(__xludf.DUMMYFUNCTION("""COMPUTED_VALUE"""),"application/pdf – A portable document format (PDF) file, preserving text and layout for consistent viewing across devices.")</f>
        <v/>
      </c>
      <c r="F230" s="7" t="n"/>
      <c r="G230" s="8" t="n">
        <v>1</v>
      </c>
      <c r="H230" s="8" t="n">
        <v>0</v>
      </c>
      <c r="I230" s="8" t="n">
        <v>0</v>
      </c>
      <c r="J230" s="8" t="n">
        <v>0</v>
      </c>
      <c r="K230" s="9" t="n">
        <v>1</v>
      </c>
      <c r="L230" s="9" t="n">
        <v>0</v>
      </c>
      <c r="M230" s="9" t="n">
        <v>0</v>
      </c>
      <c r="N230" s="9" t="n">
        <v>0</v>
      </c>
      <c r="O230" s="10" t="n">
        <v>1</v>
      </c>
      <c r="P230" s="10" t="n">
        <v>0</v>
      </c>
      <c r="Q230" s="10" t="n">
        <v>0</v>
      </c>
      <c r="R230" s="10" t="n">
        <v>0</v>
      </c>
      <c r="S230" s="10" t="n">
        <v>0</v>
      </c>
    </row>
    <row r="231" ht="109" customHeight="1">
      <c r="A231" s="6">
        <f>IFERROR(__xludf.DUMMYFUNCTION("""COMPUTED_VALUE"""),"Modeling-based Estimation Learning Environment - MEttLE")</f>
        <v/>
      </c>
      <c r="B231" s="6">
        <f>IFERROR(__xludf.DUMMYFUNCTION("""COMPUTED_VALUE"""),"Resource")</f>
        <v/>
      </c>
      <c r="C231" s="6">
        <f>IFERROR(__xludf.DUMMYFUNCTION("""COMPUTED_VALUE"""),"Scratch Pad - drawing")</f>
        <v/>
      </c>
      <c r="D231" s="7">
        <f>IFERROR(__xludf.DUMMYFUNCTION("""COMPUTED_VALUE"""),"&lt;p&gt;Draw your initial thoughts and ideas.&lt;/p&gt;")</f>
        <v/>
      </c>
      <c r="E231" s="7">
        <f>IFERROR(__xludf.DUMMYFUNCTION("""COMPUTED_VALUE"""),"text/html – A webpage or web document that contains structured text, images, and links, designed for display in a web browser.")</f>
        <v/>
      </c>
      <c r="F231" s="7" t="n"/>
      <c r="G231" s="8" t="n">
        <v>0</v>
      </c>
      <c r="H231" s="8" t="n">
        <v>0</v>
      </c>
      <c r="I231" s="8" t="n">
        <v>1</v>
      </c>
      <c r="J231" s="8" t="n">
        <v>0</v>
      </c>
      <c r="K231" s="9" t="n">
        <v>0</v>
      </c>
      <c r="L231" s="9" t="n">
        <v>1</v>
      </c>
      <c r="M231" s="9" t="n">
        <v>0</v>
      </c>
      <c r="N231" s="9" t="n">
        <v>0</v>
      </c>
      <c r="O231" s="10" t="n">
        <v>1</v>
      </c>
      <c r="P231" s="10" t="n">
        <v>0</v>
      </c>
      <c r="Q231" s="10" t="n">
        <v>0</v>
      </c>
      <c r="R231" s="10" t="n">
        <v>0</v>
      </c>
      <c r="S231" s="10" t="n">
        <v>0</v>
      </c>
    </row>
    <row r="232" ht="329" customHeight="1">
      <c r="A232" s="6">
        <f>IFERROR(__xludf.DUMMYFUNCTION("""COMPUTED_VALUE"""),"Modeling-based Estimation Learning Environment - MEttLE")</f>
        <v/>
      </c>
      <c r="B232" s="6">
        <f>IFERROR(__xludf.DUMMYFUNCTION("""COMPUTED_VALUE"""),"Application")</f>
        <v/>
      </c>
      <c r="C232" s="6">
        <f>IFERROR(__xludf.DUMMYFUNCTION("""COMPUTED_VALUE"""),"Scratch pad - notes")</f>
        <v/>
      </c>
      <c r="D232" s="7">
        <f>IFERROR(__xludf.DUMMYFUNCTION("""COMPUTED_VALUE"""),"&lt;p&gt;Take notes here.&lt;/p&gt;")</f>
        <v/>
      </c>
      <c r="E2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32" s="7" t="n"/>
      <c r="G232" s="8" t="n">
        <v>0</v>
      </c>
      <c r="H232" s="8" t="n">
        <v>0</v>
      </c>
      <c r="I232" s="8" t="n">
        <v>1</v>
      </c>
      <c r="J232" s="8" t="n">
        <v>0</v>
      </c>
      <c r="K232" s="9" t="n">
        <v>0</v>
      </c>
      <c r="L232" s="9" t="n">
        <v>1</v>
      </c>
      <c r="M232" s="9" t="n">
        <v>0</v>
      </c>
      <c r="N232" s="9" t="n">
        <v>0</v>
      </c>
      <c r="O232" s="10" t="n">
        <v>0</v>
      </c>
      <c r="P232" s="10" t="n">
        <v>0</v>
      </c>
      <c r="Q232" s="10" t="n">
        <v>0</v>
      </c>
      <c r="R232" s="10" t="n">
        <v>0</v>
      </c>
      <c r="S232" s="10" t="n">
        <v>0</v>
      </c>
    </row>
    <row r="233" ht="109" customHeight="1">
      <c r="A233" s="6">
        <f>IFERROR(__xludf.DUMMYFUNCTION("""COMPUTED_VALUE"""),"Modeling-based Estimation Learning Environment - MEttLE")</f>
        <v/>
      </c>
      <c r="B233" s="6">
        <f>IFERROR(__xludf.DUMMYFUNCTION("""COMPUTED_VALUE"""),"Space")</f>
        <v/>
      </c>
      <c r="C233" s="6">
        <f>IFERROR(__xludf.DUMMYFUNCTION("""COMPUTED_VALUE"""),"Qualitative Modeling")</f>
        <v/>
      </c>
      <c r="D233" s="7">
        <f>IFERROR(__xludf.DUMMYFUNCTION("""COMPUTED_VALUE"""),"&lt;p&gt;In this second phase of estimation, you will create a qualitative model of the electric car that you can use to estimate power.&lt;/p&gt;")</f>
        <v/>
      </c>
      <c r="E233" s="7">
        <f>IFERROR(__xludf.DUMMYFUNCTION("""COMPUTED_VALUE"""),"No artifact embedded")</f>
        <v/>
      </c>
      <c r="F233" s="7" t="n"/>
      <c r="G233" s="8" t="n">
        <v>0</v>
      </c>
      <c r="H233" s="8" t="n">
        <v>0</v>
      </c>
      <c r="I233" s="8" t="n">
        <v>1</v>
      </c>
      <c r="J233" s="8" t="n">
        <v>0</v>
      </c>
      <c r="K233" s="9" t="n">
        <v>0</v>
      </c>
      <c r="L233" s="9" t="n">
        <v>1</v>
      </c>
      <c r="M233" s="9" t="n">
        <v>0</v>
      </c>
      <c r="N233" s="9" t="n">
        <v>0</v>
      </c>
      <c r="O233" s="10" t="n">
        <v>1</v>
      </c>
      <c r="P233" s="10" t="n">
        <v>0</v>
      </c>
      <c r="Q233" s="10" t="n">
        <v>0</v>
      </c>
      <c r="R233" s="10" t="n">
        <v>0</v>
      </c>
      <c r="S233" s="10" t="n">
        <v>0</v>
      </c>
    </row>
    <row r="234" ht="97" customHeight="1">
      <c r="A234" s="6">
        <f>IFERROR(__xludf.DUMMYFUNCTION("""COMPUTED_VALUE"""),"Modeling-based Estimation Learning Environment - MEttLE")</f>
        <v/>
      </c>
      <c r="B234" s="6">
        <f>IFERROR(__xludf.DUMMYFUNCTION("""COMPUTED_VALUE"""),"Resource")</f>
        <v/>
      </c>
      <c r="C234" s="6">
        <f>IFERROR(__xludf.DUMMYFUNCTION("""COMPUTED_VALUE"""),"EstiMap")</f>
        <v/>
      </c>
      <c r="D234" s="7">
        <f>IFERROR(__xludf.DUMMYFUNCTION("""COMPUTED_VALUE"""),"&lt;p&gt;This is where you are in the estimation process.&lt;/p&gt;")</f>
        <v/>
      </c>
      <c r="E234" s="7">
        <f>IFERROR(__xludf.DUMMYFUNCTION("""COMPUTED_VALUE"""),"image/png – A high-quality image with support for transparency, often used in design and web applications.")</f>
        <v/>
      </c>
      <c r="F234" s="7" t="n"/>
      <c r="G234" s="8" t="n">
        <v>1</v>
      </c>
      <c r="H234" s="8" t="n">
        <v>0</v>
      </c>
      <c r="I234" s="8" t="n">
        <v>0</v>
      </c>
      <c r="J234" s="8" t="n">
        <v>0</v>
      </c>
      <c r="K234" s="9" t="n">
        <v>1</v>
      </c>
      <c r="L234" s="9" t="n">
        <v>0</v>
      </c>
      <c r="M234" s="9" t="n">
        <v>0</v>
      </c>
      <c r="N234" s="9" t="n">
        <v>0</v>
      </c>
      <c r="O234" s="10" t="n">
        <v>1</v>
      </c>
      <c r="P234" s="10" t="n">
        <v>0</v>
      </c>
      <c r="Q234" s="10" t="n">
        <v>0</v>
      </c>
      <c r="R234" s="10" t="n">
        <v>0</v>
      </c>
      <c r="S234" s="10" t="n">
        <v>0</v>
      </c>
    </row>
    <row r="235" ht="409.5" customHeight="1">
      <c r="A235" s="6">
        <f>IFERROR(__xludf.DUMMYFUNCTION("""COMPUTED_VALUE"""),"Modeling-based Estimation Learning Environment - MEttLE")</f>
        <v/>
      </c>
      <c r="B235" s="6">
        <f>IFERROR(__xludf.DUMMYFUNCTION("""COMPUTED_VALUE"""),"Application")</f>
        <v/>
      </c>
      <c r="C235" s="6">
        <f>IFERROR(__xludf.DUMMYFUNCTION("""COMPUTED_VALUE"""),"Simulator")</f>
        <v/>
      </c>
      <c r="D235" s="7">
        <f>IFERROR(__xludf.DUMMYFUNCTION("""COMPUTED_VALUE"""),"No task description")</f>
        <v/>
      </c>
      <c r="E235" s="7">
        <f>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
      </c>
      <c r="F235" s="7" t="n"/>
      <c r="G235" s="8" t="n">
        <v>0</v>
      </c>
      <c r="H235" s="8" t="n">
        <v>0</v>
      </c>
      <c r="I235" s="8" t="n">
        <v>1</v>
      </c>
      <c r="J235" s="8" t="n">
        <v>0</v>
      </c>
      <c r="K235" s="9" t="n">
        <v>0</v>
      </c>
      <c r="L235" s="9" t="n">
        <v>1</v>
      </c>
      <c r="M235" s="9" t="n">
        <v>0</v>
      </c>
      <c r="N235" s="9" t="n">
        <v>0</v>
      </c>
      <c r="O235" s="10" t="n">
        <v>0</v>
      </c>
      <c r="P235" s="10" t="n">
        <v>0</v>
      </c>
      <c r="Q235" s="10" t="n">
        <v>0</v>
      </c>
      <c r="R235" s="10" t="n">
        <v>0</v>
      </c>
      <c r="S235" s="10" t="n">
        <v>0</v>
      </c>
    </row>
    <row r="236" ht="296" customHeight="1">
      <c r="A236" s="6">
        <f>IFERROR(__xludf.DUMMYFUNCTION("""COMPUTED_VALUE"""),"Modeling-based Estimation Learning Environment - MEttLE")</f>
        <v/>
      </c>
      <c r="B236" s="6">
        <f>IFERROR(__xludf.DUMMYFUNCTION("""COMPUTED_VALUE"""),"Application")</f>
        <v/>
      </c>
      <c r="C236" s="6">
        <f>IFERROR(__xludf.DUMMYFUNCTION("""COMPUTED_VALUE"""),"Check your understanding of parameter relationships")</f>
        <v/>
      </c>
      <c r="D236" s="7">
        <f>IFERROR(__xludf.DUMMYFUNCTION("""COMPUTED_VALUE"""),"&lt;p&gt;Answer the questions here to see if you recognize the relationship between the various parameters. Note that multiple answers maybe correct.&lt;/p&gt;")</f>
        <v/>
      </c>
      <c r="E23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36" s="7" t="n"/>
      <c r="G236" s="8" t="n">
        <v>0</v>
      </c>
      <c r="H236" s="8" t="n">
        <v>0</v>
      </c>
      <c r="I236" s="8" t="n">
        <v>0</v>
      </c>
      <c r="J236" s="8" t="n">
        <v>1</v>
      </c>
      <c r="K236" s="9" t="n">
        <v>0</v>
      </c>
      <c r="L236" s="9" t="n">
        <v>1</v>
      </c>
      <c r="M236" s="9" t="n">
        <v>0</v>
      </c>
      <c r="N236" s="9" t="n">
        <v>0</v>
      </c>
      <c r="O236" s="10" t="n">
        <v>0</v>
      </c>
      <c r="P236" s="10" t="n">
        <v>0</v>
      </c>
      <c r="Q236" s="10" t="n">
        <v>0</v>
      </c>
      <c r="R236" s="10" t="n">
        <v>0</v>
      </c>
      <c r="S236" s="10" t="n">
        <v>1</v>
      </c>
    </row>
    <row r="237" ht="409.5" customHeight="1">
      <c r="A237" s="6">
        <f>IFERROR(__xludf.DUMMYFUNCTION("""COMPUTED_VALUE"""),"Modeling-based Estimation Learning Environment - MEttLE")</f>
        <v/>
      </c>
      <c r="B237" s="6">
        <f>IFERROR(__xludf.DUMMYFUNCTION("""COMPUTED_VALUE"""),"Application")</f>
        <v/>
      </c>
      <c r="C237" s="6">
        <f>IFERROR(__xludf.DUMMYFUNCTION("""COMPUTED_VALUE"""),"Concept Mapper")</f>
        <v/>
      </c>
      <c r="D237" s="7">
        <f>IFERROR(__xludf.DUMMYFUNCTION("""COMPUTED_VALUE"""),"&lt;p&gt;Draw a causal map describing how the various parameters affecting the running of the car are related.&lt;/p&gt;")</f>
        <v/>
      </c>
      <c r="E237"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237" s="7" t="n"/>
      <c r="G237" s="8" t="n">
        <v>0</v>
      </c>
      <c r="H237" s="8" t="n">
        <v>0</v>
      </c>
      <c r="I237" s="8" t="n">
        <v>1</v>
      </c>
      <c r="J237" s="8" t="n">
        <v>0</v>
      </c>
      <c r="K237" s="9" t="n">
        <v>0</v>
      </c>
      <c r="L237" s="9" t="n">
        <v>1</v>
      </c>
      <c r="M237" s="9" t="n">
        <v>0</v>
      </c>
      <c r="N237" s="9" t="n">
        <v>0</v>
      </c>
      <c r="O237" s="10" t="n">
        <v>0</v>
      </c>
      <c r="P237" s="10" t="n">
        <v>1</v>
      </c>
      <c r="Q237" s="10" t="n">
        <v>0</v>
      </c>
      <c r="R237" s="10" t="n">
        <v>0</v>
      </c>
      <c r="S237" s="10" t="n">
        <v>0</v>
      </c>
    </row>
    <row r="238" ht="109" customHeight="1">
      <c r="A238" s="6">
        <f>IFERROR(__xludf.DUMMYFUNCTION("""COMPUTED_VALUE"""),"Modeling-based Estimation Learning Environment - MEttLE")</f>
        <v/>
      </c>
      <c r="B238" s="6">
        <f>IFERROR(__xludf.DUMMYFUNCTION("""COMPUTED_VALUE"""),"Resource")</f>
        <v/>
      </c>
      <c r="C238" s="6">
        <f>IFERROR(__xludf.DUMMYFUNCTION("""COMPUTED_VALUE"""),"Reference Materials")</f>
        <v/>
      </c>
      <c r="D238" s="7">
        <f>IFERROR(__xludf.DUMMYFUNCTION("""COMPUTED_VALUE"""),"&lt;p&gt;Read about how an electric car works here.&lt;/p&gt;")</f>
        <v/>
      </c>
      <c r="E238" s="7">
        <f>IFERROR(__xludf.DUMMYFUNCTION("""COMPUTED_VALUE"""),"application/pdf – A portable document format (PDF) file, preserving text and layout for consistent viewing across devices.")</f>
        <v/>
      </c>
      <c r="F238" s="7" t="n"/>
      <c r="G238" s="8" t="n">
        <v>1</v>
      </c>
      <c r="H238" s="8" t="n">
        <v>0</v>
      </c>
      <c r="I238" s="8" t="n">
        <v>0</v>
      </c>
      <c r="J238" s="8" t="n">
        <v>0</v>
      </c>
      <c r="K238" s="9" t="n">
        <v>1</v>
      </c>
      <c r="L238" s="9" t="n">
        <v>0</v>
      </c>
      <c r="M238" s="9" t="n">
        <v>0</v>
      </c>
      <c r="N238" s="9" t="n">
        <v>0</v>
      </c>
      <c r="O238" s="10" t="n">
        <v>1</v>
      </c>
      <c r="P238" s="10" t="n">
        <v>0</v>
      </c>
      <c r="Q238" s="10" t="n">
        <v>0</v>
      </c>
      <c r="R238" s="10" t="n">
        <v>0</v>
      </c>
      <c r="S238" s="10" t="n">
        <v>0</v>
      </c>
    </row>
    <row r="239" ht="109" customHeight="1">
      <c r="A239" s="6">
        <f>IFERROR(__xludf.DUMMYFUNCTION("""COMPUTED_VALUE"""),"Modeling-based Estimation Learning Environment - MEttLE")</f>
        <v/>
      </c>
      <c r="B239" s="6">
        <f>IFERROR(__xludf.DUMMYFUNCTION("""COMPUTED_VALUE"""),"Resource")</f>
        <v/>
      </c>
      <c r="C239" s="6">
        <f>IFERROR(__xludf.DUMMYFUNCTION("""COMPUTED_VALUE"""),"Scratch Pad - drawing")</f>
        <v/>
      </c>
      <c r="D239" s="7">
        <f>IFERROR(__xludf.DUMMYFUNCTION("""COMPUTED_VALUE"""),"&lt;p&gt;Draw your initial thoughts and ideas.&lt;/p&gt;")</f>
        <v/>
      </c>
      <c r="E239" s="7">
        <f>IFERROR(__xludf.DUMMYFUNCTION("""COMPUTED_VALUE"""),"text/html – A webpage or web document that contains structured text, images, and links, designed for display in a web browser.")</f>
        <v/>
      </c>
      <c r="F239" s="7" t="n"/>
      <c r="G239" s="8" t="n">
        <v>0</v>
      </c>
      <c r="H239" s="8" t="n">
        <v>0</v>
      </c>
      <c r="I239" s="8" t="n">
        <v>1</v>
      </c>
      <c r="J239" s="8" t="n">
        <v>0</v>
      </c>
      <c r="K239" s="9" t="n">
        <v>0</v>
      </c>
      <c r="L239" s="9" t="n">
        <v>1</v>
      </c>
      <c r="M239" s="9" t="n">
        <v>0</v>
      </c>
      <c r="N239" s="9" t="n">
        <v>0</v>
      </c>
      <c r="O239" s="10" t="n">
        <v>0</v>
      </c>
      <c r="P239" s="10" t="n">
        <v>0</v>
      </c>
      <c r="Q239" s="10" t="n">
        <v>0</v>
      </c>
      <c r="R239" s="10" t="n">
        <v>0</v>
      </c>
      <c r="S239" s="10" t="n">
        <v>0</v>
      </c>
    </row>
    <row r="240" ht="329" customHeight="1">
      <c r="A240" s="6">
        <f>IFERROR(__xludf.DUMMYFUNCTION("""COMPUTED_VALUE"""),"Modeling-based Estimation Learning Environment - MEttLE")</f>
        <v/>
      </c>
      <c r="B240" s="6">
        <f>IFERROR(__xludf.DUMMYFUNCTION("""COMPUTED_VALUE"""),"Application")</f>
        <v/>
      </c>
      <c r="C240" s="6">
        <f>IFERROR(__xludf.DUMMYFUNCTION("""COMPUTED_VALUE"""),"Scratch pad - notes")</f>
        <v/>
      </c>
      <c r="D240" s="7">
        <f>IFERROR(__xludf.DUMMYFUNCTION("""COMPUTED_VALUE"""),"&lt;p&gt;Take notes here.&lt;/p&gt;")</f>
        <v/>
      </c>
      <c r="E24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0" s="7" t="n"/>
      <c r="G240" s="8" t="n">
        <v>0</v>
      </c>
      <c r="H240" s="8" t="n">
        <v>0</v>
      </c>
      <c r="I240" s="8" t="n">
        <v>1</v>
      </c>
      <c r="J240" s="8" t="n">
        <v>0</v>
      </c>
      <c r="K240" s="9" t="n">
        <v>0</v>
      </c>
      <c r="L240" s="9" t="n">
        <v>1</v>
      </c>
      <c r="M240" s="9" t="n">
        <v>0</v>
      </c>
      <c r="N240" s="9" t="n">
        <v>0</v>
      </c>
      <c r="O240" s="10" t="n">
        <v>0</v>
      </c>
      <c r="P240" s="10" t="n">
        <v>0</v>
      </c>
      <c r="Q240" s="10" t="n">
        <v>0</v>
      </c>
      <c r="R240" s="10" t="n">
        <v>0</v>
      </c>
      <c r="S240" s="10" t="n">
        <v>0</v>
      </c>
    </row>
    <row r="241" ht="121" customHeight="1">
      <c r="A241" s="6">
        <f>IFERROR(__xludf.DUMMYFUNCTION("""COMPUTED_VALUE"""),"Modeling-based Estimation Learning Environment - MEttLE")</f>
        <v/>
      </c>
      <c r="B241" s="6">
        <f>IFERROR(__xludf.DUMMYFUNCTION("""COMPUTED_VALUE"""),"Space")</f>
        <v/>
      </c>
      <c r="C241" s="6">
        <f>IFERROR(__xludf.DUMMYFUNCTION("""COMPUTED_VALUE"""),"Quantitative Modeling")</f>
        <v/>
      </c>
      <c r="D241" s="7">
        <f>IFERROR(__xludf.DUMMYFUNCTION("""COMPUTED_VALUE"""),"&lt;p&gt;In the third phase of estimation, you will create a quantitative model of the electric car that you can use to estimate power.&lt;/p&gt;")</f>
        <v/>
      </c>
      <c r="E241" s="7">
        <f>IFERROR(__xludf.DUMMYFUNCTION("""COMPUTED_VALUE"""),"No artifact embedded")</f>
        <v/>
      </c>
      <c r="F241" s="7" t="n"/>
      <c r="G241" s="8" t="n">
        <v>0</v>
      </c>
      <c r="H241" s="8" t="n">
        <v>0</v>
      </c>
      <c r="I241" s="8" t="n">
        <v>1</v>
      </c>
      <c r="J241" s="8" t="n">
        <v>0</v>
      </c>
      <c r="K241" s="9" t="n">
        <v>0</v>
      </c>
      <c r="L241" s="9" t="n">
        <v>1</v>
      </c>
      <c r="M241" s="9" t="n">
        <v>0</v>
      </c>
      <c r="N241" s="9" t="n">
        <v>0</v>
      </c>
      <c r="O241" s="10" t="n">
        <v>0</v>
      </c>
      <c r="P241" s="10" t="n">
        <v>0</v>
      </c>
      <c r="Q241" s="10" t="n">
        <v>1</v>
      </c>
      <c r="R241" s="10" t="n">
        <v>0</v>
      </c>
      <c r="S241" s="10" t="n">
        <v>0</v>
      </c>
    </row>
    <row r="242" ht="97" customHeight="1">
      <c r="A242" s="6">
        <f>IFERROR(__xludf.DUMMYFUNCTION("""COMPUTED_VALUE"""),"Modeling-based Estimation Learning Environment - MEttLE")</f>
        <v/>
      </c>
      <c r="B242" s="6">
        <f>IFERROR(__xludf.DUMMYFUNCTION("""COMPUTED_VALUE"""),"Resource")</f>
        <v/>
      </c>
      <c r="C242" s="6">
        <f>IFERROR(__xludf.DUMMYFUNCTION("""COMPUTED_VALUE"""),"EstiMap")</f>
        <v/>
      </c>
      <c r="D242" s="7">
        <f>IFERROR(__xludf.DUMMYFUNCTION("""COMPUTED_VALUE"""),"&lt;p&gt;This is where you are in the estimation process.&lt;/p&gt;")</f>
        <v/>
      </c>
      <c r="E242" s="7">
        <f>IFERROR(__xludf.DUMMYFUNCTION("""COMPUTED_VALUE"""),"image/png – A high-quality image with support for transparency, often used in design and web applications.")</f>
        <v/>
      </c>
      <c r="F242" s="7" t="n"/>
      <c r="G242" s="8" t="n">
        <v>1</v>
      </c>
      <c r="H242" s="8" t="n">
        <v>0</v>
      </c>
      <c r="I242" s="8" t="n">
        <v>0</v>
      </c>
      <c r="J242" s="8" t="n">
        <v>0</v>
      </c>
      <c r="K242" s="9" t="n">
        <v>1</v>
      </c>
      <c r="L242" s="9" t="n">
        <v>0</v>
      </c>
      <c r="M242" s="9" t="n">
        <v>0</v>
      </c>
      <c r="N242" s="9" t="n">
        <v>0</v>
      </c>
      <c r="O242" s="10" t="n">
        <v>1</v>
      </c>
      <c r="P242" s="10" t="n">
        <v>0</v>
      </c>
      <c r="Q242" s="10" t="n">
        <v>0</v>
      </c>
      <c r="R242" s="10" t="n">
        <v>0</v>
      </c>
      <c r="S242" s="10" t="n">
        <v>0</v>
      </c>
    </row>
    <row r="243" ht="49" customHeight="1">
      <c r="A243" s="6">
        <f>IFERROR(__xludf.DUMMYFUNCTION("""COMPUTED_VALUE"""),"Modeling-based Estimation Learning Environment - MEttLE")</f>
        <v/>
      </c>
      <c r="B243" s="6">
        <f>IFERROR(__xludf.DUMMYFUNCTION("""COMPUTED_VALUE"""),"Application")</f>
        <v/>
      </c>
      <c r="C243" s="6">
        <f>IFERROR(__xludf.DUMMYFUNCTION("""COMPUTED_VALUE"""),"EquationBuilder")</f>
        <v/>
      </c>
      <c r="D243" s="7">
        <f>IFERROR(__xludf.DUMMYFUNCTION("""COMPUTED_VALUE"""),"No task description")</f>
        <v/>
      </c>
      <c r="E243" s="7">
        <f>IFERROR(__xludf.DUMMYFUNCTION("""COMPUTED_VALUE"""),"Golabz app/lab: An app for students to build equations")</f>
        <v/>
      </c>
      <c r="F243" s="7" t="n"/>
      <c r="G243" s="8" t="n">
        <v>0</v>
      </c>
      <c r="H243" s="8" t="n">
        <v>1</v>
      </c>
      <c r="I243" s="8" t="n">
        <v>0</v>
      </c>
      <c r="J243" s="8" t="n">
        <v>0</v>
      </c>
      <c r="K243" s="9" t="n">
        <v>1</v>
      </c>
      <c r="L243" s="9" t="n">
        <v>0</v>
      </c>
      <c r="M243" s="9" t="n">
        <v>0</v>
      </c>
      <c r="N243" s="9" t="n">
        <v>0</v>
      </c>
      <c r="O243" s="10" t="n">
        <v>0</v>
      </c>
      <c r="P243" s="10" t="n">
        <v>0</v>
      </c>
      <c r="Q243" s="10" t="n">
        <v>0</v>
      </c>
      <c r="R243" s="10" t="n">
        <v>0</v>
      </c>
      <c r="S243" s="10" t="n">
        <v>0</v>
      </c>
    </row>
    <row r="244" ht="109" customHeight="1">
      <c r="A244" s="6">
        <f>IFERROR(__xludf.DUMMYFUNCTION("""COMPUTED_VALUE"""),"Modeling-based Estimation Learning Environment - MEttLE")</f>
        <v/>
      </c>
      <c r="B244" s="6">
        <f>IFERROR(__xludf.DUMMYFUNCTION("""COMPUTED_VALUE"""),"Resource")</f>
        <v/>
      </c>
      <c r="C244" s="6">
        <f>IFERROR(__xludf.DUMMYFUNCTION("""COMPUTED_VALUE"""),"Reference Materials")</f>
        <v/>
      </c>
      <c r="D244" s="7">
        <f>IFERROR(__xludf.DUMMYFUNCTION("""COMPUTED_VALUE"""),"&lt;p&gt;Read about how an electric car works here.&lt;/p&gt;")</f>
        <v/>
      </c>
      <c r="E244" s="7">
        <f>IFERROR(__xludf.DUMMYFUNCTION("""COMPUTED_VALUE"""),"application/pdf – A portable document format (PDF) file, preserving text and layout for consistent viewing across devices.")</f>
        <v/>
      </c>
      <c r="F244" s="7" t="n"/>
      <c r="G244" s="8" t="n">
        <v>1</v>
      </c>
      <c r="H244" s="8" t="n">
        <v>0</v>
      </c>
      <c r="I244" s="8" t="n">
        <v>0</v>
      </c>
      <c r="J244" s="8" t="n">
        <v>0</v>
      </c>
      <c r="K244" s="9" t="n">
        <v>1</v>
      </c>
      <c r="L244" s="9" t="n">
        <v>0</v>
      </c>
      <c r="M244" s="9" t="n">
        <v>0</v>
      </c>
      <c r="N244" s="9" t="n">
        <v>0</v>
      </c>
      <c r="O244" s="10" t="n">
        <v>1</v>
      </c>
      <c r="P244" s="10" t="n">
        <v>0</v>
      </c>
      <c r="Q244" s="10" t="n">
        <v>0</v>
      </c>
      <c r="R244" s="10" t="n">
        <v>0</v>
      </c>
      <c r="S244" s="10" t="n">
        <v>0</v>
      </c>
    </row>
    <row r="245" ht="109" customHeight="1">
      <c r="A245" s="6">
        <f>IFERROR(__xludf.DUMMYFUNCTION("""COMPUTED_VALUE"""),"Modeling-based Estimation Learning Environment - MEttLE")</f>
        <v/>
      </c>
      <c r="B245" s="6">
        <f>IFERROR(__xludf.DUMMYFUNCTION("""COMPUTED_VALUE"""),"Resource")</f>
        <v/>
      </c>
      <c r="C245" s="6">
        <f>IFERROR(__xludf.DUMMYFUNCTION("""COMPUTED_VALUE"""),"Scratch Pad - drawing")</f>
        <v/>
      </c>
      <c r="D245" s="7">
        <f>IFERROR(__xludf.DUMMYFUNCTION("""COMPUTED_VALUE"""),"&lt;p&gt;Draw your initial thoughts and ideas.&lt;/p&gt;")</f>
        <v/>
      </c>
      <c r="E245" s="7">
        <f>IFERROR(__xludf.DUMMYFUNCTION("""COMPUTED_VALUE"""),"text/html – A webpage or web document that contains structured text, images, and links, designed for display in a web browser.")</f>
        <v/>
      </c>
      <c r="F245" s="7" t="n"/>
      <c r="G245" s="8" t="n">
        <v>0</v>
      </c>
      <c r="H245" s="8" t="n">
        <v>0</v>
      </c>
      <c r="I245" s="8" t="n">
        <v>1</v>
      </c>
      <c r="J245" s="8" t="n">
        <v>0</v>
      </c>
      <c r="K245" s="9" t="n">
        <v>0</v>
      </c>
      <c r="L245" s="9" t="n">
        <v>1</v>
      </c>
      <c r="M245" s="9" t="n">
        <v>0</v>
      </c>
      <c r="N245" s="9" t="n">
        <v>0</v>
      </c>
      <c r="O245" s="10" t="n">
        <v>0</v>
      </c>
      <c r="P245" s="10" t="n">
        <v>0</v>
      </c>
      <c r="Q245" s="10" t="n">
        <v>0</v>
      </c>
      <c r="R245" s="10" t="n">
        <v>0</v>
      </c>
      <c r="S245" s="10" t="n">
        <v>0</v>
      </c>
    </row>
    <row r="246" ht="329" customHeight="1">
      <c r="A246" s="6">
        <f>IFERROR(__xludf.DUMMYFUNCTION("""COMPUTED_VALUE"""),"Modeling-based Estimation Learning Environment - MEttLE")</f>
        <v/>
      </c>
      <c r="B246" s="6">
        <f>IFERROR(__xludf.DUMMYFUNCTION("""COMPUTED_VALUE"""),"Application")</f>
        <v/>
      </c>
      <c r="C246" s="6">
        <f>IFERROR(__xludf.DUMMYFUNCTION("""COMPUTED_VALUE"""),"Scratch pad - notes")</f>
        <v/>
      </c>
      <c r="D246" s="7">
        <f>IFERROR(__xludf.DUMMYFUNCTION("""COMPUTED_VALUE"""),"&lt;p&gt;Take notes here.&lt;/p&gt;")</f>
        <v/>
      </c>
      <c r="E2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6" s="7" t="n"/>
      <c r="G246" s="8" t="n">
        <v>0</v>
      </c>
      <c r="H246" s="8" t="n">
        <v>0</v>
      </c>
      <c r="I246" s="8" t="n">
        <v>1</v>
      </c>
      <c r="J246" s="8" t="n">
        <v>0</v>
      </c>
      <c r="K246" s="9" t="n">
        <v>0</v>
      </c>
      <c r="L246" s="9" t="n">
        <v>1</v>
      </c>
      <c r="M246" s="9" t="n">
        <v>0</v>
      </c>
      <c r="N246" s="9" t="n">
        <v>0</v>
      </c>
      <c r="O246" s="10" t="n">
        <v>0</v>
      </c>
      <c r="P246" s="10" t="n">
        <v>0</v>
      </c>
      <c r="Q246" s="10" t="n">
        <v>0</v>
      </c>
      <c r="R246" s="10" t="n">
        <v>0</v>
      </c>
      <c r="S246" s="10" t="n">
        <v>0</v>
      </c>
    </row>
    <row r="247" ht="85" customHeight="1">
      <c r="A247" s="6">
        <f>IFERROR(__xludf.DUMMYFUNCTION("""COMPUTED_VALUE"""),"Modeling-based Estimation Learning Environment - MEttLE")</f>
        <v/>
      </c>
      <c r="B247" s="6">
        <f>IFERROR(__xludf.DUMMYFUNCTION("""COMPUTED_VALUE"""),"Space")</f>
        <v/>
      </c>
      <c r="C247" s="6">
        <f>IFERROR(__xludf.DUMMYFUNCTION("""COMPUTED_VALUE"""),"Calculation")</f>
        <v/>
      </c>
      <c r="D247" s="7">
        <f>IFERROR(__xludf.DUMMYFUNCTION("""COMPUTED_VALUE"""),"&lt;p&gt;What are the reasonable values of other parameters required to calculate power?&lt;/p&gt;")</f>
        <v/>
      </c>
      <c r="E247" s="7">
        <f>IFERROR(__xludf.DUMMYFUNCTION("""COMPUTED_VALUE"""),"No artifact embedded")</f>
        <v/>
      </c>
      <c r="F247" s="7" t="n"/>
      <c r="G247" s="8" t="n">
        <v>1</v>
      </c>
      <c r="H247" s="8" t="n">
        <v>0</v>
      </c>
      <c r="I247" s="8" t="n">
        <v>0</v>
      </c>
      <c r="J247" s="8" t="n">
        <v>0</v>
      </c>
      <c r="K247" s="9" t="n">
        <v>1</v>
      </c>
      <c r="L247" s="9" t="n">
        <v>0</v>
      </c>
      <c r="M247" s="9" t="n">
        <v>0</v>
      </c>
      <c r="N247" s="9" t="n">
        <v>0</v>
      </c>
      <c r="O247" s="10" t="n">
        <v>0</v>
      </c>
      <c r="P247" s="10" t="n">
        <v>0</v>
      </c>
      <c r="Q247" s="10" t="n">
        <v>0</v>
      </c>
      <c r="R247" s="10" t="n">
        <v>1</v>
      </c>
      <c r="S247" s="10" t="n">
        <v>0</v>
      </c>
    </row>
    <row r="248" ht="49" customHeight="1">
      <c r="A248" s="6">
        <f>IFERROR(__xludf.DUMMYFUNCTION("""COMPUTED_VALUE"""),"Modeling-based Estimation Learning Environment - MEttLE")</f>
        <v/>
      </c>
      <c r="B248" s="6">
        <f>IFERROR(__xludf.DUMMYFUNCTION("""COMPUTED_VALUE"""),"Space")</f>
        <v/>
      </c>
      <c r="C248" s="6">
        <f>IFERROR(__xludf.DUMMYFUNCTION("""COMPUTED_VALUE"""),"Evaluation")</f>
        <v/>
      </c>
      <c r="D248" s="7">
        <f>IFERROR(__xludf.DUMMYFUNCTION("""COMPUTED_VALUE"""),"&lt;p&gt;Is the determined value of power reasonable?&lt;/p&gt;")</f>
        <v/>
      </c>
      <c r="E248" s="7">
        <f>IFERROR(__xludf.DUMMYFUNCTION("""COMPUTED_VALUE"""),"No artifact embedded")</f>
        <v/>
      </c>
      <c r="F248" s="7" t="n"/>
      <c r="G248" s="8" t="n">
        <v>1</v>
      </c>
      <c r="H248" s="8" t="n">
        <v>0</v>
      </c>
      <c r="I248" s="8" t="n">
        <v>0</v>
      </c>
      <c r="J248" s="8" t="n">
        <v>0</v>
      </c>
      <c r="K248" s="9" t="n">
        <v>1</v>
      </c>
      <c r="L248" s="9" t="n">
        <v>0</v>
      </c>
      <c r="M248" s="9" t="n">
        <v>0</v>
      </c>
      <c r="N248" s="9" t="n">
        <v>0</v>
      </c>
      <c r="O248" s="10" t="n">
        <v>0</v>
      </c>
      <c r="P248" s="10" t="n">
        <v>0</v>
      </c>
      <c r="Q248" s="10" t="n">
        <v>0</v>
      </c>
      <c r="R248" s="10" t="n">
        <v>1</v>
      </c>
      <c r="S248" s="10" t="n">
        <v>0</v>
      </c>
    </row>
    <row r="249" ht="61" customHeight="1">
      <c r="A249" s="6">
        <f>IFERROR(__xludf.DUMMYFUNCTION("""COMPUTED_VALUE"""),"Modeling-based Estimation Learning Environment - MEttLE")</f>
        <v/>
      </c>
      <c r="B249" s="6">
        <f>IFERROR(__xludf.DUMMYFUNCTION("""COMPUTED_VALUE"""),"Application")</f>
        <v/>
      </c>
      <c r="C249" s="6">
        <f>IFERROR(__xludf.DUMMYFUNCTION("""COMPUTED_VALUE"""),"My Plan")</f>
        <v/>
      </c>
      <c r="D249" s="7">
        <f>IFERROR(__xludf.DUMMYFUNCTION("""COMPUTED_VALUE"""),"&lt;p&gt;How do you think you will solve this estimation problem?&lt;/p&gt;")</f>
        <v/>
      </c>
      <c r="E249" s="7">
        <f>IFERROR(__xludf.DUMMYFUNCTION("""COMPUTED_VALUE"""),"No artifact embedded")</f>
        <v/>
      </c>
      <c r="F249" s="7" t="n"/>
      <c r="G249" s="8" t="n">
        <v>1</v>
      </c>
      <c r="H249" s="8" t="n">
        <v>0</v>
      </c>
      <c r="I249" s="8" t="n">
        <v>0</v>
      </c>
      <c r="J249" s="8" t="n">
        <v>0</v>
      </c>
      <c r="K249" s="9" t="n">
        <v>1</v>
      </c>
      <c r="L249" s="9" t="n">
        <v>0</v>
      </c>
      <c r="M249" s="9" t="n">
        <v>0</v>
      </c>
      <c r="N249" s="9" t="n">
        <v>0</v>
      </c>
      <c r="O249" s="10" t="n">
        <v>0</v>
      </c>
      <c r="P249" s="10" t="n">
        <v>0</v>
      </c>
      <c r="Q249" s="10" t="n">
        <v>0</v>
      </c>
      <c r="R249" s="10" t="n">
        <v>1</v>
      </c>
      <c r="S249" s="10" t="n">
        <v>0</v>
      </c>
    </row>
    <row r="250" ht="25" customHeight="1">
      <c r="A250" s="6">
        <f>IFERROR(__xludf.DUMMYFUNCTION("""COMPUTED_VALUE"""),"RATE OF DIFFUSION")</f>
        <v/>
      </c>
      <c r="B250" s="6">
        <f>IFERROR(__xludf.DUMMYFUNCTION("""COMPUTED_VALUE"""),"Space")</f>
        <v/>
      </c>
      <c r="C250" s="6">
        <f>IFERROR(__xludf.DUMMYFUNCTION("""COMPUTED_VALUE"""),"About")</f>
        <v/>
      </c>
      <c r="D250" s="7">
        <f>IFERROR(__xludf.DUMMYFUNCTION("""COMPUTED_VALUE"""),"No task description")</f>
        <v/>
      </c>
      <c r="E250" s="7">
        <f>IFERROR(__xludf.DUMMYFUNCTION("""COMPUTED_VALUE"""),"No artifact embedded")</f>
        <v/>
      </c>
      <c r="F250" s="7" t="n"/>
      <c r="G250" s="8" t="n">
        <v>0</v>
      </c>
      <c r="H250" s="8" t="n">
        <v>0</v>
      </c>
      <c r="I250" s="8" t="n">
        <v>0</v>
      </c>
      <c r="J250" s="8" t="n">
        <v>0</v>
      </c>
      <c r="K250" s="9" t="n">
        <v>0</v>
      </c>
      <c r="L250" s="9" t="n">
        <v>0</v>
      </c>
      <c r="M250" s="9" t="n">
        <v>0</v>
      </c>
      <c r="N250" s="9" t="n">
        <v>0</v>
      </c>
      <c r="O250" s="10" t="n">
        <v>0</v>
      </c>
      <c r="P250" s="10" t="n">
        <v>0</v>
      </c>
      <c r="Q250" s="10" t="n">
        <v>0</v>
      </c>
      <c r="R250" s="10" t="n">
        <v>0</v>
      </c>
      <c r="S250" s="10" t="n">
        <v>0</v>
      </c>
    </row>
    <row r="251" ht="157" customHeight="1">
      <c r="A251" s="6">
        <f>IFERROR(__xludf.DUMMYFUNCTION("""COMPUTED_VALUE"""),"RATE OF DIFFUSION")</f>
        <v/>
      </c>
      <c r="B251" s="6">
        <f>IFERROR(__xludf.DUMMYFUNCTION("""COMPUTED_VALUE"""),"Resource")</f>
        <v/>
      </c>
      <c r="C251" s="6">
        <f>IFERROR(__xludf.DUMMYFUNCTION("""COMPUTED_VALUE"""),"About.graasp")</f>
        <v/>
      </c>
      <c r="D251" s="7">
        <f>IFERROR(__xludf.DUMMYFUNCTION("""COMPUTED_VALUE"""),"&lt;p&gt;FORM ONE,KENYAN CURRICULUM&lt;/p&gt;&lt;p&gt;topic:Particulate nature of matter&lt;br&gt;subtopic: Rate of diffusion&lt;br&gt;objective:To determine factors affecting rate of diffusion&lt;/p&gt;")</f>
        <v/>
      </c>
      <c r="E251" s="7">
        <f>IFERROR(__xludf.DUMMYFUNCTION("""COMPUTED_VALUE"""),"No artifact embedded")</f>
        <v/>
      </c>
      <c r="F251" s="7" t="n"/>
      <c r="G251" s="8" t="n">
        <v>1</v>
      </c>
      <c r="H251" s="8" t="n">
        <v>0</v>
      </c>
      <c r="I251" s="8" t="n">
        <v>0</v>
      </c>
      <c r="J251" s="8" t="n">
        <v>0</v>
      </c>
      <c r="K251" s="9" t="n">
        <v>1</v>
      </c>
      <c r="L251" s="9" t="n">
        <v>0</v>
      </c>
      <c r="M251" s="9" t="n">
        <v>0</v>
      </c>
      <c r="N251" s="9" t="n">
        <v>0</v>
      </c>
      <c r="O251" s="10" t="n">
        <v>1</v>
      </c>
      <c r="P251" s="10" t="n">
        <v>0</v>
      </c>
      <c r="Q251" s="10" t="n">
        <v>0</v>
      </c>
      <c r="R251" s="10" t="n">
        <v>0</v>
      </c>
      <c r="S251" s="10" t="n">
        <v>0</v>
      </c>
    </row>
    <row r="252" ht="193" customHeight="1">
      <c r="A252" s="6">
        <f>IFERROR(__xludf.DUMMYFUNCTION("""COMPUTED_VALUE"""),"RATE OF DIFFUSION")</f>
        <v/>
      </c>
      <c r="B252" s="6">
        <f>IFERROR(__xludf.DUMMYFUNCTION("""COMPUTED_VALUE"""),"Space")</f>
        <v/>
      </c>
      <c r="C252" s="6">
        <f>IFERROR(__xludf.DUMMYFUNCTION("""COMPUTED_VALUE"""),"Engage")</f>
        <v/>
      </c>
      <c r="D252" s="7">
        <f>IFERROR(__xludf.DUMMYFUNCTION("""COMPUTED_VALUE"""),"&lt;p&gt;My two year old nephew visited us over the weekend,she got curious of how possible it is to tell from a distance, my wife was preparing her favorite meal 'omena' .&lt;/p&gt;&lt;p&gt;Study the video below and respond to her concerns&lt;/p&gt;")</f>
        <v/>
      </c>
      <c r="E252" s="7">
        <f>IFERROR(__xludf.DUMMYFUNCTION("""COMPUTED_VALUE"""),"No artifact embedded")</f>
        <v/>
      </c>
      <c r="F252" s="7" t="n"/>
      <c r="G252" s="8" t="n">
        <v>0</v>
      </c>
      <c r="H252" s="8" t="n">
        <v>0</v>
      </c>
      <c r="I252" s="8" t="n">
        <v>1</v>
      </c>
      <c r="J252" s="8" t="n">
        <v>0</v>
      </c>
      <c r="K252" s="9" t="n">
        <v>0</v>
      </c>
      <c r="L252" s="9" t="n">
        <v>1</v>
      </c>
      <c r="M252" s="9" t="n">
        <v>0</v>
      </c>
      <c r="N252" s="9" t="n">
        <v>0</v>
      </c>
      <c r="O252" s="10" t="n">
        <v>1</v>
      </c>
      <c r="P252" s="10" t="n">
        <v>0</v>
      </c>
      <c r="Q252" s="10" t="n">
        <v>0</v>
      </c>
      <c r="R252" s="10" t="n">
        <v>0</v>
      </c>
      <c r="S252" s="10" t="n">
        <v>0</v>
      </c>
    </row>
    <row r="253" ht="121" customHeight="1">
      <c r="A253" s="6">
        <f>IFERROR(__xludf.DUMMYFUNCTION("""COMPUTED_VALUE"""),"RATE OF DIFFUSION")</f>
        <v/>
      </c>
      <c r="B253" s="6">
        <f>IFERROR(__xludf.DUMMYFUNCTION("""COMPUTED_VALUE"""),"Resource")</f>
        <v/>
      </c>
      <c r="C253" s="6">
        <f>IFERROR(__xludf.DUMMYFUNCTION("""COMPUTED_VALUE"""),"A good example of DIFFUSION.mp4")</f>
        <v/>
      </c>
      <c r="D253" s="7">
        <f>IFERROR(__xludf.DUMMYFUNCTION("""COMPUTED_VALUE"""),"No task description")</f>
        <v/>
      </c>
      <c r="E253" s="7">
        <f>IFERROR(__xludf.DUMMYFUNCTION("""COMPUTED_VALUE"""),"video/mp4 – A video file containing moving images and possibly audio, suitable for playback on most modern devices and platforms.")</f>
        <v/>
      </c>
      <c r="F253" s="7" t="n"/>
      <c r="G253" s="8" t="n">
        <v>1</v>
      </c>
      <c r="H253" s="8" t="n">
        <v>0</v>
      </c>
      <c r="I253" s="8" t="n">
        <v>0</v>
      </c>
      <c r="J253" s="8" t="n">
        <v>0</v>
      </c>
      <c r="K253" s="9" t="n">
        <v>1</v>
      </c>
      <c r="L253" s="9" t="n">
        <v>0</v>
      </c>
      <c r="M253" s="9" t="n">
        <v>0</v>
      </c>
      <c r="N253" s="9" t="n">
        <v>0</v>
      </c>
      <c r="O253" s="10" t="n">
        <v>0</v>
      </c>
      <c r="P253" s="10" t="n">
        <v>0</v>
      </c>
      <c r="Q253" s="10" t="n">
        <v>0</v>
      </c>
      <c r="R253" s="10" t="n">
        <v>0</v>
      </c>
      <c r="S253" s="10" t="n">
        <v>0</v>
      </c>
    </row>
    <row r="254" ht="61" customHeight="1">
      <c r="A254" s="6">
        <f>IFERROR(__xludf.DUMMYFUNCTION("""COMPUTED_VALUE"""),"RATE OF DIFFUSION")</f>
        <v/>
      </c>
      <c r="B254" s="6">
        <f>IFERROR(__xludf.DUMMYFUNCTION("""COMPUTED_VALUE"""),"Resource")</f>
        <v/>
      </c>
      <c r="C254" s="6">
        <f>IFERROR(__xludf.DUMMYFUNCTION("""COMPUTED_VALUE"""),"Q1.graasp")</f>
        <v/>
      </c>
      <c r="D254" s="7">
        <f>IFERROR(__xludf.DUMMYFUNCTION("""COMPUTED_VALUE"""),"&lt;p&gt;1. from the video what is your understanding of diffusion?&lt;/p&gt;")</f>
        <v/>
      </c>
      <c r="E254" s="7">
        <f>IFERROR(__xludf.DUMMYFUNCTION("""COMPUTED_VALUE"""),"No artifact embedded")</f>
        <v/>
      </c>
      <c r="F254" s="7" t="n"/>
      <c r="G254" s="8" t="n">
        <v>1</v>
      </c>
      <c r="H254" s="8" t="n">
        <v>0</v>
      </c>
      <c r="I254" s="8" t="n">
        <v>0</v>
      </c>
      <c r="J254" s="8" t="n">
        <v>0</v>
      </c>
      <c r="K254" s="9" t="n">
        <v>1</v>
      </c>
      <c r="L254" s="9" t="n">
        <v>0</v>
      </c>
      <c r="M254" s="9" t="n">
        <v>0</v>
      </c>
      <c r="N254" s="9" t="n">
        <v>0</v>
      </c>
      <c r="O254" s="10" t="n">
        <v>1</v>
      </c>
      <c r="P254" s="10" t="n">
        <v>0</v>
      </c>
      <c r="Q254" s="10" t="n">
        <v>0</v>
      </c>
      <c r="R254" s="10" t="n">
        <v>0</v>
      </c>
      <c r="S254" s="10" t="n">
        <v>0</v>
      </c>
    </row>
    <row r="255" ht="329" customHeight="1">
      <c r="A255" s="6">
        <f>IFERROR(__xludf.DUMMYFUNCTION("""COMPUTED_VALUE"""),"RATE OF DIFFUSION")</f>
        <v/>
      </c>
      <c r="B255" s="6">
        <f>IFERROR(__xludf.DUMMYFUNCTION("""COMPUTED_VALUE"""),"Application")</f>
        <v/>
      </c>
      <c r="C255" s="6">
        <f>IFERROR(__xludf.DUMMYFUNCTION("""COMPUTED_VALUE"""),"Input Box")</f>
        <v/>
      </c>
      <c r="D255" s="7">
        <f>IFERROR(__xludf.DUMMYFUNCTION("""COMPUTED_VALUE"""),"No task description")</f>
        <v/>
      </c>
      <c r="E25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5" s="7" t="n"/>
      <c r="G255" s="8" t="n">
        <v>0</v>
      </c>
      <c r="H255" s="8" t="n">
        <v>0</v>
      </c>
      <c r="I255" s="8" t="n">
        <v>1</v>
      </c>
      <c r="J255" s="8" t="n">
        <v>0</v>
      </c>
      <c r="K255" s="9" t="n">
        <v>0</v>
      </c>
      <c r="L255" s="9" t="n">
        <v>1</v>
      </c>
      <c r="M255" s="9" t="n">
        <v>0</v>
      </c>
      <c r="N255" s="9" t="n">
        <v>0</v>
      </c>
      <c r="O255" s="10" t="n">
        <v>0</v>
      </c>
      <c r="P255" s="10" t="n">
        <v>0</v>
      </c>
      <c r="Q255" s="10" t="n">
        <v>0</v>
      </c>
      <c r="R255" s="10" t="n">
        <v>0</v>
      </c>
      <c r="S255" s="10" t="n">
        <v>0</v>
      </c>
    </row>
    <row r="256" ht="49" customHeight="1">
      <c r="A256" s="6">
        <f>IFERROR(__xludf.DUMMYFUNCTION("""COMPUTED_VALUE"""),"RATE OF DIFFUSION")</f>
        <v/>
      </c>
      <c r="B256" s="6">
        <f>IFERROR(__xludf.DUMMYFUNCTION("""COMPUTED_VALUE"""),"Resource")</f>
        <v/>
      </c>
      <c r="C256" s="6">
        <f>IFERROR(__xludf.DUMMYFUNCTION("""COMPUTED_VALUE"""),"Q2.graasp")</f>
        <v/>
      </c>
      <c r="D256" s="7">
        <f>IFERROR(__xludf.DUMMYFUNCTION("""COMPUTED_VALUE"""),"&lt;p&gt;2. How does temperature affects rate of diffusion?&lt;/p&gt;")</f>
        <v/>
      </c>
      <c r="E256" s="7">
        <f>IFERROR(__xludf.DUMMYFUNCTION("""COMPUTED_VALUE"""),"No artifact embedded")</f>
        <v/>
      </c>
      <c r="F256" s="7" t="n"/>
      <c r="G256" s="8" t="n">
        <v>1</v>
      </c>
      <c r="H256" s="8" t="n">
        <v>0</v>
      </c>
      <c r="I256" s="8" t="n">
        <v>0</v>
      </c>
      <c r="J256" s="8" t="n">
        <v>0</v>
      </c>
      <c r="K256" s="9" t="n">
        <v>1</v>
      </c>
      <c r="L256" s="9" t="n">
        <v>0</v>
      </c>
      <c r="M256" s="9" t="n">
        <v>0</v>
      </c>
      <c r="N256" s="9" t="n">
        <v>0</v>
      </c>
      <c r="O256" s="10" t="n">
        <v>1</v>
      </c>
      <c r="P256" s="10" t="n">
        <v>0</v>
      </c>
      <c r="Q256" s="10" t="n">
        <v>0</v>
      </c>
      <c r="R256" s="10" t="n">
        <v>0</v>
      </c>
      <c r="S256" s="10" t="n">
        <v>0</v>
      </c>
    </row>
    <row r="257" ht="329" customHeight="1">
      <c r="A257" s="6">
        <f>IFERROR(__xludf.DUMMYFUNCTION("""COMPUTED_VALUE"""),"RATE OF DIFFUSION")</f>
        <v/>
      </c>
      <c r="B257" s="6">
        <f>IFERROR(__xludf.DUMMYFUNCTION("""COMPUTED_VALUE"""),"Application")</f>
        <v/>
      </c>
      <c r="C257" s="6">
        <f>IFERROR(__xludf.DUMMYFUNCTION("""COMPUTED_VALUE"""),"Input Box (1)")</f>
        <v/>
      </c>
      <c r="D257" s="7">
        <f>IFERROR(__xludf.DUMMYFUNCTION("""COMPUTED_VALUE"""),"No task description")</f>
        <v/>
      </c>
      <c r="E2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7" s="7" t="n"/>
      <c r="G257" s="8" t="n">
        <v>0</v>
      </c>
      <c r="H257" s="8" t="n">
        <v>0</v>
      </c>
      <c r="I257" s="8" t="n">
        <v>1</v>
      </c>
      <c r="J257" s="8" t="n">
        <v>0</v>
      </c>
      <c r="K257" s="9" t="n">
        <v>0</v>
      </c>
      <c r="L257" s="9" t="n">
        <v>1</v>
      </c>
      <c r="M257" s="9" t="n">
        <v>0</v>
      </c>
      <c r="N257" s="9" t="n">
        <v>0</v>
      </c>
      <c r="O257" s="10" t="n">
        <v>0</v>
      </c>
      <c r="P257" s="10" t="n">
        <v>0</v>
      </c>
      <c r="Q257" s="10" t="n">
        <v>0</v>
      </c>
      <c r="R257" s="10" t="n">
        <v>0</v>
      </c>
      <c r="S257" s="10" t="n">
        <v>0</v>
      </c>
    </row>
    <row r="258" ht="25" customHeight="1">
      <c r="A258" s="6">
        <f>IFERROR(__xludf.DUMMYFUNCTION("""COMPUTED_VALUE"""),"RATE OF DIFFUSION")</f>
        <v/>
      </c>
      <c r="B258" s="6">
        <f>IFERROR(__xludf.DUMMYFUNCTION("""COMPUTED_VALUE"""),"Space")</f>
        <v/>
      </c>
      <c r="C258" s="6">
        <f>IFERROR(__xludf.DUMMYFUNCTION("""COMPUTED_VALUE"""),"Explore")</f>
        <v/>
      </c>
      <c r="D258" s="7">
        <f>IFERROR(__xludf.DUMMYFUNCTION("""COMPUTED_VALUE"""),"No task description")</f>
        <v/>
      </c>
      <c r="E258" s="7">
        <f>IFERROR(__xludf.DUMMYFUNCTION("""COMPUTED_VALUE"""),"No artifact embedded")</f>
        <v/>
      </c>
      <c r="F258" s="7" t="n"/>
      <c r="G258" s="8" t="n">
        <v>0</v>
      </c>
      <c r="H258" s="8" t="n">
        <v>0</v>
      </c>
      <c r="I258" s="8" t="n">
        <v>0</v>
      </c>
      <c r="J258" s="8" t="n">
        <v>0</v>
      </c>
      <c r="K258" s="9" t="n">
        <v>0</v>
      </c>
      <c r="L258" s="9" t="n">
        <v>0</v>
      </c>
      <c r="M258" s="9" t="n">
        <v>0</v>
      </c>
      <c r="N258" s="9" t="n">
        <v>0</v>
      </c>
      <c r="O258" s="10" t="n">
        <v>0</v>
      </c>
      <c r="P258" s="10" t="n">
        <v>0</v>
      </c>
      <c r="Q258" s="10" t="n">
        <v>0</v>
      </c>
      <c r="R258" s="10" t="n">
        <v>0</v>
      </c>
      <c r="S258" s="10" t="n">
        <v>0</v>
      </c>
    </row>
    <row r="259" ht="409.5" customHeight="1">
      <c r="A259" s="6">
        <f>IFERROR(__xludf.DUMMYFUNCTION("""COMPUTED_VALUE"""),"RATE OF DIFFUSION")</f>
        <v/>
      </c>
      <c r="B259" s="6">
        <f>IFERROR(__xludf.DUMMYFUNCTION("""COMPUTED_VALUE"""),"Application")</f>
        <v/>
      </c>
      <c r="C259" s="6">
        <f>IFERROR(__xludf.DUMMYFUNCTION("""COMPUTED_VALUE"""),"Hypothesis Scratchpad")</f>
        <v/>
      </c>
      <c r="D259" s="7">
        <f>IFERROR(__xludf.DUMMYFUNCTION("""COMPUTED_VALUE"""),"&lt;p&gt;Before performing an activity in the lab you, first predict what you want to do,thereafter find out in the experiment if your prediction is true or false&lt;/p&gt;")</f>
        <v/>
      </c>
      <c r="E25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59" s="7" t="n"/>
      <c r="G259" s="8" t="n">
        <v>0</v>
      </c>
      <c r="H259" s="8" t="n">
        <v>0</v>
      </c>
      <c r="I259" s="8" t="n">
        <v>1</v>
      </c>
      <c r="J259" s="8" t="n">
        <v>0</v>
      </c>
      <c r="K259" s="9" t="n">
        <v>0</v>
      </c>
      <c r="L259" s="9" t="n">
        <v>1</v>
      </c>
      <c r="M259" s="9" t="n">
        <v>0</v>
      </c>
      <c r="N259" s="9" t="n">
        <v>0</v>
      </c>
      <c r="O259" s="10" t="n">
        <v>1</v>
      </c>
      <c r="P259" s="10" t="n">
        <v>1</v>
      </c>
      <c r="Q259" s="10" t="n">
        <v>1</v>
      </c>
      <c r="R259" s="10" t="n">
        <v>1</v>
      </c>
      <c r="S259" s="10" t="n">
        <v>0</v>
      </c>
    </row>
    <row r="260" ht="329" customHeight="1">
      <c r="A260" s="6">
        <f>IFERROR(__xludf.DUMMYFUNCTION("""COMPUTED_VALUE"""),"RATE OF DIFFUSION")</f>
        <v/>
      </c>
      <c r="B260" s="6">
        <f>IFERROR(__xludf.DUMMYFUNCTION("""COMPUTED_VALUE"""),"Resource")</f>
        <v/>
      </c>
      <c r="C260" s="6">
        <f>IFERROR(__xludf.DUMMYFUNCTION("""COMPUTED_VALUE"""),"procedure.graasp")</f>
        <v/>
      </c>
      <c r="D260" s="7">
        <f>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
      </c>
      <c r="E260" s="7">
        <f>IFERROR(__xludf.DUMMYFUNCTION("""COMPUTED_VALUE"""),"No artifact embedded")</f>
        <v/>
      </c>
      <c r="F260" s="7" t="n"/>
      <c r="G260" s="8" t="n">
        <v>0</v>
      </c>
      <c r="H260" s="8" t="n">
        <v>1</v>
      </c>
      <c r="I260" s="8" t="n">
        <v>0</v>
      </c>
      <c r="J260" s="8" t="n">
        <v>0</v>
      </c>
      <c r="K260" s="9" t="n">
        <v>1</v>
      </c>
      <c r="L260" s="9" t="n">
        <v>0</v>
      </c>
      <c r="M260" s="9" t="n">
        <v>0</v>
      </c>
      <c r="N260" s="9" t="n">
        <v>0</v>
      </c>
      <c r="O260" s="10" t="n">
        <v>0</v>
      </c>
      <c r="P260" s="10" t="n">
        <v>0</v>
      </c>
      <c r="Q260" s="10" t="n">
        <v>1</v>
      </c>
      <c r="R260" s="10" t="n">
        <v>0</v>
      </c>
      <c r="S260" s="10" t="n">
        <v>0</v>
      </c>
    </row>
    <row r="261" ht="409.5" customHeight="1">
      <c r="A261" s="6">
        <f>IFERROR(__xludf.DUMMYFUNCTION("""COMPUTED_VALUE"""),"RATE OF DIFFUSION")</f>
        <v/>
      </c>
      <c r="B261" s="6">
        <f>IFERROR(__xludf.DUMMYFUNCTION("""COMPUTED_VALUE"""),"Application")</f>
        <v/>
      </c>
      <c r="C261" s="6">
        <f>IFERROR(__xludf.DUMMYFUNCTION("""COMPUTED_VALUE"""),"Diffusion and Molecular Mass App")</f>
        <v/>
      </c>
      <c r="D261" s="7">
        <f>IFERROR(__xludf.DUMMYFUNCTION("""COMPUTED_VALUE"""),"No task description")</f>
        <v/>
      </c>
      <c r="E261" s="7">
        <f>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
      </c>
      <c r="F261" s="7" t="n"/>
      <c r="G261" s="8" t="n">
        <v>0</v>
      </c>
      <c r="H261" s="8" t="n">
        <v>1</v>
      </c>
      <c r="I261" s="8" t="n">
        <v>0</v>
      </c>
      <c r="J261" s="8" t="n">
        <v>0</v>
      </c>
      <c r="K261" s="9" t="n">
        <v>1</v>
      </c>
      <c r="L261" s="9" t="n">
        <v>0</v>
      </c>
      <c r="M261" s="9" t="n">
        <v>0</v>
      </c>
      <c r="N261" s="9" t="n">
        <v>0</v>
      </c>
      <c r="O261" s="10" t="n">
        <v>0</v>
      </c>
      <c r="P261" s="10" t="n">
        <v>0</v>
      </c>
      <c r="Q261" s="10" t="n">
        <v>1</v>
      </c>
      <c r="R261" s="10" t="n">
        <v>0</v>
      </c>
      <c r="S261" s="10" t="n">
        <v>0</v>
      </c>
    </row>
    <row r="262" ht="395" customHeight="1">
      <c r="A262" s="6">
        <f>IFERROR(__xludf.DUMMYFUNCTION("""COMPUTED_VALUE"""),"RATE OF DIFFUSION")</f>
        <v/>
      </c>
      <c r="B262" s="6">
        <f>IFERROR(__xludf.DUMMYFUNCTION("""COMPUTED_VALUE"""),"Application")</f>
        <v/>
      </c>
      <c r="C262" s="6">
        <f>IFERROR(__xludf.DUMMYFUNCTION("""COMPUTED_VALUE"""),"Observation Tool")</f>
        <v/>
      </c>
      <c r="D262" s="7">
        <f>IFERROR(__xludf.DUMMYFUNCTION("""COMPUTED_VALUE"""),"&lt;p&gt;Write a brief, accurate and precise observation from the experiment&lt;/p&gt;")</f>
        <v/>
      </c>
      <c r="E262"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262" s="7" t="n"/>
      <c r="G262" s="8" t="n">
        <v>0</v>
      </c>
      <c r="H262" s="8" t="n">
        <v>0</v>
      </c>
      <c r="I262" s="8" t="n">
        <v>1</v>
      </c>
      <c r="J262" s="8" t="n">
        <v>0</v>
      </c>
      <c r="K262" s="9" t="n">
        <v>0</v>
      </c>
      <c r="L262" s="9" t="n">
        <v>1</v>
      </c>
      <c r="M262" s="9" t="n">
        <v>0</v>
      </c>
      <c r="N262" s="9" t="n">
        <v>0</v>
      </c>
      <c r="O262" s="10" t="n">
        <v>0</v>
      </c>
      <c r="P262" s="10" t="n">
        <v>0</v>
      </c>
      <c r="Q262" s="10" t="n">
        <v>1</v>
      </c>
      <c r="R262" s="10" t="n">
        <v>0</v>
      </c>
      <c r="S262" s="10" t="n">
        <v>0</v>
      </c>
    </row>
    <row r="263" ht="409.5" customHeight="1">
      <c r="A263" s="6">
        <f>IFERROR(__xludf.DUMMYFUNCTION("""COMPUTED_VALUE"""),"RATE OF DIFFUSION")</f>
        <v/>
      </c>
      <c r="B263" s="6">
        <f>IFERROR(__xludf.DUMMYFUNCTION("""COMPUTED_VALUE"""),"Application")</f>
        <v/>
      </c>
      <c r="C263" s="6">
        <f>IFERROR(__xludf.DUMMYFUNCTION("""COMPUTED_VALUE"""),"Conclusion Tool")</f>
        <v/>
      </c>
      <c r="D263" s="7">
        <f>IFERROR(__xludf.DUMMYFUNCTION("""COMPUTED_VALUE"""),"No task description")</f>
        <v/>
      </c>
      <c r="E263"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263" s="7" t="n"/>
      <c r="G263" s="8" t="n">
        <v>0</v>
      </c>
      <c r="H263" s="8" t="n">
        <v>0</v>
      </c>
      <c r="I263" s="8" t="n">
        <v>1</v>
      </c>
      <c r="J263" s="8" t="n">
        <v>0</v>
      </c>
      <c r="K263" s="9" t="n">
        <v>0</v>
      </c>
      <c r="L263" s="9" t="n">
        <v>1</v>
      </c>
      <c r="M263" s="9" t="n">
        <v>0</v>
      </c>
      <c r="N263" s="9" t="n">
        <v>0</v>
      </c>
      <c r="O263" s="10" t="n">
        <v>0</v>
      </c>
      <c r="P263" s="10" t="n">
        <v>0</v>
      </c>
      <c r="Q263" s="10" t="n">
        <v>0</v>
      </c>
      <c r="R263" s="10" t="n">
        <v>1</v>
      </c>
      <c r="S263" s="10" t="n">
        <v>0</v>
      </c>
    </row>
    <row r="264" ht="61" customHeight="1">
      <c r="A264" s="6">
        <f>IFERROR(__xludf.DUMMYFUNCTION("""COMPUTED_VALUE"""),"RATE OF DIFFUSION")</f>
        <v/>
      </c>
      <c r="B264" s="6">
        <f>IFERROR(__xludf.DUMMYFUNCTION("""COMPUTED_VALUE"""),"Space")</f>
        <v/>
      </c>
      <c r="C264" s="6">
        <f>IFERROR(__xludf.DUMMYFUNCTION("""COMPUTED_VALUE"""),"Explain")</f>
        <v/>
      </c>
      <c r="D264" s="7">
        <f>IFERROR(__xludf.DUMMYFUNCTION("""COMPUTED_VALUE"""),"&lt;p&gt;Respond to the questions below for immediate feedback&lt;/p&gt;")</f>
        <v/>
      </c>
      <c r="E264" s="7">
        <f>IFERROR(__xludf.DUMMYFUNCTION("""COMPUTED_VALUE"""),"No artifact embedded")</f>
        <v/>
      </c>
      <c r="F264" s="7" t="n"/>
      <c r="G264" s="8" t="n">
        <v>0</v>
      </c>
      <c r="H264" s="8" t="n">
        <v>0</v>
      </c>
      <c r="I264" s="8" t="n">
        <v>0</v>
      </c>
      <c r="J264" s="8" t="n">
        <v>1</v>
      </c>
      <c r="K264" s="9" t="n">
        <v>0</v>
      </c>
      <c r="L264" s="9" t="n">
        <v>1</v>
      </c>
      <c r="M264" s="9" t="n">
        <v>0</v>
      </c>
      <c r="N264" s="9" t="n">
        <v>0</v>
      </c>
      <c r="O264" s="10" t="n">
        <v>0</v>
      </c>
      <c r="P264" s="10" t="n">
        <v>0</v>
      </c>
      <c r="Q264" s="10" t="n">
        <v>0</v>
      </c>
      <c r="R264" s="10" t="n">
        <v>0</v>
      </c>
      <c r="S264" s="10" t="n">
        <v>1</v>
      </c>
    </row>
    <row r="265" ht="296" customHeight="1">
      <c r="A265" s="6">
        <f>IFERROR(__xludf.DUMMYFUNCTION("""COMPUTED_VALUE"""),"RATE OF DIFFUSION")</f>
        <v/>
      </c>
      <c r="B265" s="6">
        <f>IFERROR(__xludf.DUMMYFUNCTION("""COMPUTED_VALUE"""),"Application")</f>
        <v/>
      </c>
      <c r="C265" s="6">
        <f>IFERROR(__xludf.DUMMYFUNCTION("""COMPUTED_VALUE"""),"Quiz Tool")</f>
        <v/>
      </c>
      <c r="D265" s="7">
        <f>IFERROR(__xludf.DUMMYFUNCTION("""COMPUTED_VALUE"""),"No task description")</f>
        <v/>
      </c>
      <c r="E26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65" s="7" t="n"/>
      <c r="G265" s="8" t="n">
        <v>0</v>
      </c>
      <c r="H265" s="8" t="n">
        <v>0</v>
      </c>
      <c r="I265" s="8" t="n">
        <v>0</v>
      </c>
      <c r="J265" s="8" t="n">
        <v>1</v>
      </c>
      <c r="K265" s="9" t="n">
        <v>0</v>
      </c>
      <c r="L265" s="9" t="n">
        <v>1</v>
      </c>
      <c r="M265" s="9" t="n">
        <v>0</v>
      </c>
      <c r="N265" s="9" t="n">
        <v>0</v>
      </c>
      <c r="O265" s="10" t="n">
        <v>0</v>
      </c>
      <c r="P265" s="10" t="n">
        <v>0</v>
      </c>
      <c r="Q265" s="10" t="n">
        <v>0</v>
      </c>
      <c r="R265" s="10" t="n">
        <v>0</v>
      </c>
      <c r="S265" s="10" t="n">
        <v>1</v>
      </c>
    </row>
    <row r="266" ht="49" customHeight="1">
      <c r="A266" s="6">
        <f>IFERROR(__xludf.DUMMYFUNCTION("""COMPUTED_VALUE"""),"RATE OF DIFFUSION")</f>
        <v/>
      </c>
      <c r="B266" s="6">
        <f>IFERROR(__xludf.DUMMYFUNCTION("""COMPUTED_VALUE"""),"Resource")</f>
        <v/>
      </c>
      <c r="C266" s="6">
        <f>IFERROR(__xludf.DUMMYFUNCTION("""COMPUTED_VALUE"""),"Q1.graasp")</f>
        <v/>
      </c>
      <c r="D266" s="7">
        <f>IFERROR(__xludf.DUMMYFUNCTION("""COMPUTED_VALUE"""),"&lt;p&gt;Give your feedback in the input box below&lt;/p&gt;")</f>
        <v/>
      </c>
      <c r="E266" s="7">
        <f>IFERROR(__xludf.DUMMYFUNCTION("""COMPUTED_VALUE"""),"No artifact embedded")</f>
        <v/>
      </c>
      <c r="F266" s="7" t="n"/>
      <c r="G266" s="8" t="n">
        <v>0</v>
      </c>
      <c r="H266" s="8" t="n">
        <v>0</v>
      </c>
      <c r="I266" s="8" t="n">
        <v>1</v>
      </c>
      <c r="J266" s="8" t="n">
        <v>0</v>
      </c>
      <c r="K266" s="9" t="n">
        <v>0</v>
      </c>
      <c r="L266" s="9" t="n">
        <v>1</v>
      </c>
      <c r="M266" s="9" t="n">
        <v>0</v>
      </c>
      <c r="N266" s="9" t="n">
        <v>0</v>
      </c>
      <c r="O266" s="10" t="n">
        <v>0</v>
      </c>
      <c r="P266" s="10" t="n">
        <v>0</v>
      </c>
      <c r="Q266" s="10" t="n">
        <v>0</v>
      </c>
      <c r="R266" s="10" t="n">
        <v>0</v>
      </c>
      <c r="S266" s="10" t="n">
        <v>1</v>
      </c>
    </row>
    <row r="267" ht="329" customHeight="1">
      <c r="A267" s="6">
        <f>IFERROR(__xludf.DUMMYFUNCTION("""COMPUTED_VALUE"""),"RATE OF DIFFUSION")</f>
        <v/>
      </c>
      <c r="B267" s="6">
        <f>IFERROR(__xludf.DUMMYFUNCTION("""COMPUTED_VALUE"""),"Application")</f>
        <v/>
      </c>
      <c r="C267" s="6">
        <f>IFERROR(__xludf.DUMMYFUNCTION("""COMPUTED_VALUE"""),"Input Box")</f>
        <v/>
      </c>
      <c r="D267" s="7">
        <f>IFERROR(__xludf.DUMMYFUNCTION("""COMPUTED_VALUE"""),"No task description")</f>
        <v/>
      </c>
      <c r="E2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67" s="7" t="n"/>
      <c r="G267" s="8" t="n">
        <v>0</v>
      </c>
      <c r="H267" s="8" t="n">
        <v>0</v>
      </c>
      <c r="I267" s="8" t="n">
        <v>1</v>
      </c>
      <c r="J267" s="8" t="n">
        <v>0</v>
      </c>
      <c r="K267" s="9" t="n">
        <v>0</v>
      </c>
      <c r="L267" s="9" t="n">
        <v>1</v>
      </c>
      <c r="M267" s="9" t="n">
        <v>0</v>
      </c>
      <c r="N267" s="9" t="n">
        <v>0</v>
      </c>
      <c r="O267" s="10" t="n">
        <v>0</v>
      </c>
      <c r="P267" s="10" t="n">
        <v>0</v>
      </c>
      <c r="Q267" s="10" t="n">
        <v>0</v>
      </c>
      <c r="R267" s="10" t="n">
        <v>0</v>
      </c>
      <c r="S267" s="10" t="n">
        <v>0</v>
      </c>
    </row>
    <row r="268" ht="25" customHeight="1">
      <c r="A268" s="6">
        <f>IFERROR(__xludf.DUMMYFUNCTION("""COMPUTED_VALUE"""),"RATE OF DIFFUSION")</f>
        <v/>
      </c>
      <c r="B268" s="6">
        <f>IFERROR(__xludf.DUMMYFUNCTION("""COMPUTED_VALUE"""),"Space")</f>
        <v/>
      </c>
      <c r="C268" s="6">
        <f>IFERROR(__xludf.DUMMYFUNCTION("""COMPUTED_VALUE"""),"Elaborate")</f>
        <v/>
      </c>
      <c r="D268" s="7">
        <f>IFERROR(__xludf.DUMMYFUNCTION("""COMPUTED_VALUE"""),"No task description")</f>
        <v/>
      </c>
      <c r="E268" s="7">
        <f>IFERROR(__xludf.DUMMYFUNCTION("""COMPUTED_VALUE"""),"No artifact embedded")</f>
        <v/>
      </c>
      <c r="F268" s="7" t="n"/>
      <c r="G268" s="8" t="n">
        <v>0</v>
      </c>
      <c r="H268" s="8" t="n">
        <v>0</v>
      </c>
      <c r="I268" s="8" t="n">
        <v>0</v>
      </c>
      <c r="J268" s="8" t="n">
        <v>0</v>
      </c>
      <c r="K268" s="9" t="n">
        <v>0</v>
      </c>
      <c r="L268" s="9" t="n">
        <v>0</v>
      </c>
      <c r="M268" s="9" t="n">
        <v>0</v>
      </c>
      <c r="N268" s="9" t="n">
        <v>0</v>
      </c>
      <c r="O268" s="10" t="n">
        <v>0</v>
      </c>
      <c r="P268" s="10" t="n">
        <v>0</v>
      </c>
      <c r="Q268" s="10" t="n">
        <v>0</v>
      </c>
      <c r="R268" s="10" t="n">
        <v>0</v>
      </c>
      <c r="S268" s="10" t="n">
        <v>0</v>
      </c>
    </row>
    <row r="269" ht="25" customHeight="1">
      <c r="A269" s="6">
        <f>IFERROR(__xludf.DUMMYFUNCTION("""COMPUTED_VALUE"""),"RATE OF DIFFUSION")</f>
        <v/>
      </c>
      <c r="B269" s="6">
        <f>IFERROR(__xludf.DUMMYFUNCTION("""COMPUTED_VALUE"""),"Space")</f>
        <v/>
      </c>
      <c r="C269" s="6">
        <f>IFERROR(__xludf.DUMMYFUNCTION("""COMPUTED_VALUE"""),"Evaluate")</f>
        <v/>
      </c>
      <c r="D269" s="7">
        <f>IFERROR(__xludf.DUMMYFUNCTION("""COMPUTED_VALUE"""),"No task description")</f>
        <v/>
      </c>
      <c r="E269" s="7">
        <f>IFERROR(__xludf.DUMMYFUNCTION("""COMPUTED_VALUE"""),"No artifact embedded")</f>
        <v/>
      </c>
      <c r="F269" s="7" t="n"/>
      <c r="G269" s="8" t="n">
        <v>0</v>
      </c>
      <c r="H269" s="8" t="n">
        <v>0</v>
      </c>
      <c r="I269" s="8" t="n">
        <v>0</v>
      </c>
      <c r="J269" s="8" t="n">
        <v>0</v>
      </c>
      <c r="K269" s="9" t="n">
        <v>0</v>
      </c>
      <c r="L269" s="9" t="n">
        <v>0</v>
      </c>
      <c r="M269" s="9" t="n">
        <v>0</v>
      </c>
      <c r="N269" s="9" t="n">
        <v>0</v>
      </c>
      <c r="O269" s="10" t="n">
        <v>0</v>
      </c>
      <c r="P269" s="10" t="n">
        <v>0</v>
      </c>
      <c r="Q269" s="10" t="n">
        <v>0</v>
      </c>
      <c r="R269" s="10" t="n">
        <v>0</v>
      </c>
      <c r="S269" s="10" t="n">
        <v>0</v>
      </c>
    </row>
    <row r="270" ht="25" customHeight="1">
      <c r="A270" s="6">
        <f>IFERROR(__xludf.DUMMYFUNCTION("""COMPUTED_VALUE"""),"How do light and temperature affect photosynthesis in plants? - Version A")</f>
        <v/>
      </c>
      <c r="B270" s="6">
        <f>IFERROR(__xludf.DUMMYFUNCTION("""COMPUTED_VALUE"""),"Space")</f>
        <v/>
      </c>
      <c r="C270" s="6">
        <f>IFERROR(__xludf.DUMMYFUNCTION("""COMPUTED_VALUE"""),"Demo")</f>
        <v/>
      </c>
      <c r="D270" s="7">
        <f>IFERROR(__xludf.DUMMYFUNCTION("""COMPUTED_VALUE"""),"No task description")</f>
        <v/>
      </c>
      <c r="E270" s="7">
        <f>IFERROR(__xludf.DUMMYFUNCTION("""COMPUTED_VALUE"""),"No artifact embedded")</f>
        <v/>
      </c>
      <c r="F270" s="7" t="n"/>
      <c r="G270" s="8" t="n">
        <v>0</v>
      </c>
      <c r="H270" s="8" t="n">
        <v>0</v>
      </c>
      <c r="I270" s="8" t="n">
        <v>0</v>
      </c>
      <c r="J270" s="8" t="n">
        <v>0</v>
      </c>
      <c r="K270" s="9" t="n">
        <v>0</v>
      </c>
      <c r="L270" s="9" t="n">
        <v>0</v>
      </c>
      <c r="M270" s="9" t="n">
        <v>0</v>
      </c>
      <c r="N270" s="9" t="n">
        <v>0</v>
      </c>
      <c r="O270" s="10" t="n">
        <v>0</v>
      </c>
      <c r="P270" s="10" t="n">
        <v>0</v>
      </c>
      <c r="Q270" s="10" t="n">
        <v>0</v>
      </c>
      <c r="R270" s="10" t="n">
        <v>0</v>
      </c>
      <c r="S270" s="10" t="n">
        <v>0</v>
      </c>
    </row>
    <row r="271" ht="97" customHeight="1">
      <c r="A271" s="6">
        <f>IFERROR(__xludf.DUMMYFUNCTION("""COMPUTED_VALUE"""),"How do light and temperature affect photosynthesis in plants? - Version A")</f>
        <v/>
      </c>
      <c r="B271" s="6">
        <f>IFERROR(__xludf.DUMMYFUNCTION("""COMPUTED_VALUE"""),"Resource")</f>
        <v/>
      </c>
      <c r="C271" s="6">
        <f>IFERROR(__xludf.DUMMYFUNCTION("""COMPUTED_VALUE"""),"pilt.png")</f>
        <v/>
      </c>
      <c r="D271" s="7">
        <f>IFERROR(__xludf.DUMMYFUNCTION("""COMPUTED_VALUE"""),"No task description")</f>
        <v/>
      </c>
      <c r="E271" s="7">
        <f>IFERROR(__xludf.DUMMYFUNCTION("""COMPUTED_VALUE"""),"image/png – A high-quality image with support for transparency, often used in design and web applications.")</f>
        <v/>
      </c>
      <c r="F271" s="7" t="n"/>
      <c r="G271" s="8" t="n">
        <v>0</v>
      </c>
      <c r="H271" s="8" t="n">
        <v>0</v>
      </c>
      <c r="I271" s="8" t="n">
        <v>0</v>
      </c>
      <c r="J271" s="8" t="n">
        <v>0</v>
      </c>
      <c r="K271" s="9" t="n">
        <v>0</v>
      </c>
      <c r="L271" s="9" t="n">
        <v>0</v>
      </c>
      <c r="M271" s="9" t="n">
        <v>0</v>
      </c>
      <c r="N271" s="9" t="n">
        <v>0</v>
      </c>
      <c r="O271" s="10" t="n">
        <v>0</v>
      </c>
      <c r="P271" s="10" t="n">
        <v>0</v>
      </c>
      <c r="Q271" s="10" t="n">
        <v>0</v>
      </c>
      <c r="R271" s="10" t="n">
        <v>0</v>
      </c>
      <c r="S271" s="10" t="n">
        <v>0</v>
      </c>
    </row>
    <row r="272" ht="169" customHeight="1">
      <c r="A272" s="6">
        <f>IFERROR(__xludf.DUMMYFUNCTION("""COMPUTED_VALUE"""),"How do light and temperature affect photosynthesis in plants? - Version A")</f>
        <v/>
      </c>
      <c r="B272" s="6">
        <f>IFERROR(__xludf.DUMMYFUNCTION("""COMPUTED_VALUE"""),"Resource")</f>
        <v/>
      </c>
      <c r="C272" s="6">
        <f>IFERROR(__xludf.DUMMYFUNCTION("""COMPUTED_VALUE"""),"Tekst5.graasp")</f>
        <v/>
      </c>
      <c r="D272" s="7">
        <f>IFERROR(__xludf.DUMMYFUNCTION("""COMPUTED_VALUE"""),"&lt;p&gt;Look at the picture and think how you could select and place objects on the seesaw so that the seesaw is balanced. Use the scratchpad tool below to formulate a prediction (hypothesis).&lt;br&gt;&lt;/p&gt;")</f>
        <v/>
      </c>
      <c r="E272" s="7">
        <f>IFERROR(__xludf.DUMMYFUNCTION("""COMPUTED_VALUE"""),"No artifact embedded")</f>
        <v/>
      </c>
      <c r="F272" s="7" t="n"/>
      <c r="G272" s="8" t="n">
        <v>0</v>
      </c>
      <c r="H272" s="8" t="n">
        <v>0</v>
      </c>
      <c r="I272" s="8" t="n">
        <v>1</v>
      </c>
      <c r="J272" s="8" t="n">
        <v>0</v>
      </c>
      <c r="K272" s="9" t="n">
        <v>0</v>
      </c>
      <c r="L272" s="9" t="n">
        <v>1</v>
      </c>
      <c r="M272" s="9" t="n">
        <v>0</v>
      </c>
      <c r="N272" s="9" t="n">
        <v>0</v>
      </c>
      <c r="O272" s="10" t="n">
        <v>0</v>
      </c>
      <c r="P272" s="10" t="n">
        <v>1</v>
      </c>
      <c r="Q272" s="10" t="n">
        <v>0</v>
      </c>
      <c r="R272" s="10" t="n">
        <v>0</v>
      </c>
      <c r="S272" s="10" t="n">
        <v>0</v>
      </c>
    </row>
    <row r="273" ht="409.5" customHeight="1">
      <c r="A273" s="6">
        <f>IFERROR(__xludf.DUMMYFUNCTION("""COMPUTED_VALUE"""),"How do light and temperature affect photosynthesis in plants? - Version A")</f>
        <v/>
      </c>
      <c r="B273" s="6">
        <f>IFERROR(__xludf.DUMMYFUNCTION("""COMPUTED_VALUE"""),"Application")</f>
        <v/>
      </c>
      <c r="C273" s="6">
        <f>IFERROR(__xludf.DUMMYFUNCTION("""COMPUTED_VALUE"""),"Hypothesis Scratchpad")</f>
        <v/>
      </c>
      <c r="D273" s="7">
        <f>IFERROR(__xludf.DUMMYFUNCTION("""COMPUTED_VALUE"""),"No task description")</f>
        <v/>
      </c>
      <c r="E273"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73" s="7" t="n"/>
      <c r="G273" s="8" t="n">
        <v>0</v>
      </c>
      <c r="H273" s="8" t="n">
        <v>0</v>
      </c>
      <c r="I273" s="8" t="n">
        <v>1</v>
      </c>
      <c r="J273" s="8" t="n">
        <v>0</v>
      </c>
      <c r="K273" s="9" t="n">
        <v>0</v>
      </c>
      <c r="L273" s="9" t="n">
        <v>1</v>
      </c>
      <c r="M273" s="9" t="n">
        <v>0</v>
      </c>
      <c r="N273" s="9" t="n">
        <v>0</v>
      </c>
      <c r="O273" s="10" t="n">
        <v>0</v>
      </c>
      <c r="P273" s="10" t="n">
        <v>1</v>
      </c>
      <c r="Q273" s="10" t="n">
        <v>0</v>
      </c>
      <c r="R273" s="10" t="n">
        <v>0</v>
      </c>
      <c r="S273" s="10" t="n">
        <v>0</v>
      </c>
    </row>
    <row r="274" ht="395" customHeight="1">
      <c r="A274" s="6">
        <f>IFERROR(__xludf.DUMMYFUNCTION("""COMPUTED_VALUE"""),"How do light and temperature affect photosynthesis in plants? - Version A")</f>
        <v/>
      </c>
      <c r="B274" s="6">
        <f>IFERROR(__xludf.DUMMYFUNCTION("""COMPUTED_VALUE"""),"Resource")</f>
        <v/>
      </c>
      <c r="C274" s="6">
        <f>IFERROR(__xludf.DUMMYFUNCTION("""COMPUTED_VALUE"""),"Text 1.graasp")</f>
        <v/>
      </c>
      <c r="D274"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274" s="7">
        <f>IFERROR(__xludf.DUMMYFUNCTION("""COMPUTED_VALUE"""),"No artifact embedded")</f>
        <v/>
      </c>
      <c r="F274" s="7" t="n"/>
      <c r="G274" s="8" t="n">
        <v>0</v>
      </c>
      <c r="H274" s="8" t="n">
        <v>0</v>
      </c>
      <c r="I274" s="8" t="n">
        <v>0</v>
      </c>
      <c r="J274" s="8" t="n">
        <v>1</v>
      </c>
      <c r="K274" s="9" t="n">
        <v>0</v>
      </c>
      <c r="L274" s="9" t="n">
        <v>0</v>
      </c>
      <c r="M274" s="9" t="n">
        <v>0</v>
      </c>
      <c r="N274" s="9" t="n">
        <v>1</v>
      </c>
      <c r="O274" s="10" t="n">
        <v>0</v>
      </c>
      <c r="P274" s="10" t="n">
        <v>0</v>
      </c>
      <c r="Q274" s="10" t="n">
        <v>1</v>
      </c>
      <c r="R274" s="10" t="n">
        <v>0</v>
      </c>
      <c r="S274" s="10" t="n">
        <v>1</v>
      </c>
    </row>
    <row r="275" ht="409.5" customHeight="1">
      <c r="A275" s="6">
        <f>IFERROR(__xludf.DUMMYFUNCTION("""COMPUTED_VALUE"""),"How do light and temperature affect photosynthesis in plants? - Version A")</f>
        <v/>
      </c>
      <c r="B275" s="6">
        <f>IFERROR(__xludf.DUMMYFUNCTION("""COMPUTED_VALUE"""),"Resource")</f>
        <v/>
      </c>
      <c r="C275" s="6">
        <f>IFERROR(__xludf.DUMMYFUNCTION("""COMPUTED_VALUE"""),"instructions for the simulation and chat app.graasp")</f>
        <v/>
      </c>
      <c r="D275"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275" s="7">
        <f>IFERROR(__xludf.DUMMYFUNCTION("""COMPUTED_VALUE"""),"No artifact embedded")</f>
        <v/>
      </c>
      <c r="F275" s="7" t="n"/>
      <c r="G275" s="8" t="n">
        <v>0</v>
      </c>
      <c r="H275" s="8" t="n">
        <v>0</v>
      </c>
      <c r="I275" s="8" t="n">
        <v>0</v>
      </c>
      <c r="J275" s="8" t="n">
        <v>1</v>
      </c>
      <c r="K275" s="9" t="n">
        <v>0</v>
      </c>
      <c r="L275" s="9" t="n">
        <v>0</v>
      </c>
      <c r="M275" s="9" t="n">
        <v>1</v>
      </c>
      <c r="N275" s="9" t="n">
        <v>0</v>
      </c>
      <c r="O275" s="10" t="n">
        <v>0</v>
      </c>
      <c r="P275" s="10" t="n">
        <v>0</v>
      </c>
      <c r="Q275" s="10" t="n">
        <v>1</v>
      </c>
      <c r="R275" s="10" t="n">
        <v>0</v>
      </c>
      <c r="S275" s="10" t="n">
        <v>1</v>
      </c>
    </row>
    <row r="276" ht="409.5" customHeight="1">
      <c r="A276" s="6">
        <f>IFERROR(__xludf.DUMMYFUNCTION("""COMPUTED_VALUE"""),"How do light and temperature affect photosynthesis in plants? - Version A")</f>
        <v/>
      </c>
      <c r="B276" s="6">
        <f>IFERROR(__xludf.DUMMYFUNCTION("""COMPUTED_VALUE"""),"Application")</f>
        <v/>
      </c>
      <c r="C276" s="6">
        <f>IFERROR(__xludf.DUMMYFUNCTION("""COMPUTED_VALUE"""),"Seesaw Lab - right side")</f>
        <v/>
      </c>
      <c r="D276" s="7">
        <f>IFERROR(__xludf.DUMMYFUNCTION("""COMPUTED_VALUE"""),"No task description")</f>
        <v/>
      </c>
      <c r="E276"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276" s="7" t="n"/>
      <c r="G276" s="8" t="n">
        <v>0</v>
      </c>
      <c r="H276" s="8" t="n">
        <v>0</v>
      </c>
      <c r="I276" s="8" t="n">
        <v>0</v>
      </c>
      <c r="J276" s="8" t="n">
        <v>1</v>
      </c>
      <c r="K276" s="9" t="n">
        <v>0</v>
      </c>
      <c r="L276" s="9" t="n">
        <v>0</v>
      </c>
      <c r="M276" s="9" t="n">
        <v>1</v>
      </c>
      <c r="N276" s="9" t="n">
        <v>0</v>
      </c>
      <c r="O276" s="10" t="n">
        <v>0</v>
      </c>
      <c r="P276" s="10" t="n">
        <v>0</v>
      </c>
      <c r="Q276" s="10" t="n">
        <v>1</v>
      </c>
      <c r="R276" s="10" t="n">
        <v>0</v>
      </c>
      <c r="S276" s="10" t="n">
        <v>1</v>
      </c>
    </row>
    <row r="277" ht="97" customHeight="1">
      <c r="A277" s="6">
        <f>IFERROR(__xludf.DUMMYFUNCTION("""COMPUTED_VALUE"""),"How do light and temperature affect photosynthesis in plants? - Version A")</f>
        <v/>
      </c>
      <c r="B277" s="6">
        <f>IFERROR(__xludf.DUMMYFUNCTION("""COMPUTED_VALUE"""),"Resource")</f>
        <v/>
      </c>
      <c r="C277" s="6">
        <f>IFERROR(__xludf.DUMMYFUNCTION("""COMPUTED_VALUE"""),"tips.png")</f>
        <v/>
      </c>
      <c r="D277" s="7">
        <f>IFERROR(__xludf.DUMMYFUNCTION("""COMPUTED_VALUE"""),"No task description")</f>
        <v/>
      </c>
      <c r="E277" s="7">
        <f>IFERROR(__xludf.DUMMYFUNCTION("""COMPUTED_VALUE"""),"image/png – A high-quality image with support for transparency, often used in design and web applications.")</f>
        <v/>
      </c>
      <c r="F277" s="7" t="n"/>
      <c r="G277" s="8" t="n">
        <v>0</v>
      </c>
      <c r="H277" s="8" t="n">
        <v>0</v>
      </c>
      <c r="I277" s="8" t="n">
        <v>0</v>
      </c>
      <c r="J277" s="8" t="n">
        <v>0</v>
      </c>
      <c r="K277" s="9" t="n">
        <v>0</v>
      </c>
      <c r="L277" s="9" t="n">
        <v>0</v>
      </c>
      <c r="M277" s="9" t="n">
        <v>0</v>
      </c>
      <c r="N277" s="9" t="n">
        <v>0</v>
      </c>
      <c r="O277" s="10" t="n">
        <v>0</v>
      </c>
      <c r="P277" s="10" t="n">
        <v>0</v>
      </c>
      <c r="Q277" s="10" t="n">
        <v>0</v>
      </c>
      <c r="R277" s="10" t="n">
        <v>0</v>
      </c>
      <c r="S277" s="10" t="n">
        <v>0</v>
      </c>
    </row>
    <row r="278" ht="409.5" customHeight="1">
      <c r="A278" s="6">
        <f>IFERROR(__xludf.DUMMYFUNCTION("""COMPUTED_VALUE"""),"How do light and temperature affect photosynthesis in plants? - Version A")</f>
        <v/>
      </c>
      <c r="B278" s="6">
        <f>IFERROR(__xludf.DUMMYFUNCTION("""COMPUTED_VALUE"""),"Application")</f>
        <v/>
      </c>
      <c r="C278" s="6">
        <f>IFERROR(__xludf.DUMMYFUNCTION("""COMPUTED_VALUE"""),"SpeakUp")</f>
        <v/>
      </c>
      <c r="D278" s="7">
        <f>IFERROR(__xludf.DUMMYFUNCTION("""COMPUTED_VALUE"""),"No task description")</f>
        <v/>
      </c>
      <c r="E278"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78" s="7" t="n"/>
      <c r="G278" s="8" t="n">
        <v>0</v>
      </c>
      <c r="H278" s="8" t="n">
        <v>0</v>
      </c>
      <c r="I278" s="8" t="n">
        <v>0</v>
      </c>
      <c r="J278" s="8" t="n">
        <v>1</v>
      </c>
      <c r="K278" s="9" t="n">
        <v>0</v>
      </c>
      <c r="L278" s="9" t="n">
        <v>0</v>
      </c>
      <c r="M278" s="9" t="n">
        <v>1</v>
      </c>
      <c r="N278" s="9" t="n">
        <v>0</v>
      </c>
      <c r="O278" s="10" t="n">
        <v>0</v>
      </c>
      <c r="P278" s="10" t="n">
        <v>0</v>
      </c>
      <c r="Q278" s="10" t="n">
        <v>0</v>
      </c>
      <c r="R278" s="10" t="n">
        <v>0</v>
      </c>
      <c r="S278" s="10" t="n">
        <v>1</v>
      </c>
    </row>
    <row r="279" ht="329" customHeight="1">
      <c r="A279" s="6">
        <f>IFERROR(__xludf.DUMMYFUNCTION("""COMPUTED_VALUE"""),"How do light and temperature affect photosynthesis in plants? - Version A")</f>
        <v/>
      </c>
      <c r="B279" s="6">
        <f>IFERROR(__xludf.DUMMYFUNCTION("""COMPUTED_VALUE"""),"Application")</f>
        <v/>
      </c>
      <c r="C279" s="6">
        <f>IFERROR(__xludf.DUMMYFUNCTION("""COMPUTED_VALUE"""),"Input Box 1")</f>
        <v/>
      </c>
      <c r="D279" s="7">
        <f>IFERROR(__xludf.DUMMYFUNCTION("""COMPUTED_VALUE"""),"&lt;p&gt;&lt;strong&gt;3. &lt;/strong&gt;&lt;strong&gt;Question&lt;/strong&gt;&lt;/p&gt;&lt;p&gt;Is it possible to balance the seesaw using a total of 3 objects on the seesaw? If so, then describe exactly how in the space below.&lt;/p&gt;")</f>
        <v/>
      </c>
      <c r="E27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79" s="7" t="n"/>
      <c r="G279" s="8" t="n">
        <v>0</v>
      </c>
      <c r="H279" s="8" t="n">
        <v>0</v>
      </c>
      <c r="I279" s="8" t="n">
        <v>1</v>
      </c>
      <c r="J279" s="8" t="n">
        <v>0</v>
      </c>
      <c r="K279" s="9" t="n">
        <v>0</v>
      </c>
      <c r="L279" s="9" t="n">
        <v>1</v>
      </c>
      <c r="M279" s="9" t="n">
        <v>0</v>
      </c>
      <c r="N279" s="9" t="n">
        <v>0</v>
      </c>
      <c r="O279" s="10" t="n">
        <v>0</v>
      </c>
      <c r="P279" s="10" t="n">
        <v>0</v>
      </c>
      <c r="Q279" s="10" t="n">
        <v>0</v>
      </c>
      <c r="R279" s="10" t="n">
        <v>1</v>
      </c>
      <c r="S279" s="10" t="n">
        <v>0</v>
      </c>
    </row>
    <row r="280" ht="229" customHeight="1">
      <c r="A280" s="6">
        <f>IFERROR(__xludf.DUMMYFUNCTION("""COMPUTED_VALUE"""),"How do light and temperature affect photosynthesis in plants? - Version A")</f>
        <v/>
      </c>
      <c r="B280" s="6">
        <f>IFERROR(__xludf.DUMMYFUNCTION("""COMPUTED_VALUE"""),"Resource")</f>
        <v/>
      </c>
      <c r="C280" s="6">
        <f>IFERROR(__xludf.DUMMYFUNCTION("""COMPUTED_VALUE"""),"Text 4.graasp")</f>
        <v/>
      </c>
      <c r="D280"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280" s="7">
        <f>IFERROR(__xludf.DUMMYFUNCTION("""COMPUTED_VALUE"""),"No artifact embedded")</f>
        <v/>
      </c>
      <c r="F280" s="7" t="n"/>
      <c r="G280" s="8" t="n">
        <v>0</v>
      </c>
      <c r="H280" s="8" t="n">
        <v>0</v>
      </c>
      <c r="I280" s="8" t="n">
        <v>0</v>
      </c>
      <c r="J280" s="8" t="n">
        <v>0</v>
      </c>
      <c r="K280" s="9" t="n">
        <v>0</v>
      </c>
      <c r="L280" s="9" t="n">
        <v>0</v>
      </c>
      <c r="M280" s="9" t="n">
        <v>0</v>
      </c>
      <c r="N280" s="9" t="n">
        <v>0</v>
      </c>
      <c r="O280" s="10" t="n">
        <v>0</v>
      </c>
      <c r="P280" s="10" t="n">
        <v>0</v>
      </c>
      <c r="Q280" s="10" t="n">
        <v>0</v>
      </c>
      <c r="R280" s="10" t="n">
        <v>0</v>
      </c>
      <c r="S280" s="10" t="n">
        <v>0</v>
      </c>
    </row>
    <row r="281" ht="25" customHeight="1">
      <c r="A281" s="6">
        <f>IFERROR(__xludf.DUMMYFUNCTION("""COMPUTED_VALUE"""),"How do light and temperature affect photosynthesis in plants? - Version A")</f>
        <v/>
      </c>
      <c r="B281" s="6">
        <f>IFERROR(__xludf.DUMMYFUNCTION("""COMPUTED_VALUE"""),"Space")</f>
        <v/>
      </c>
      <c r="C281" s="6">
        <f>IFERROR(__xludf.DUMMYFUNCTION("""COMPUTED_VALUE"""),"Intro")</f>
        <v/>
      </c>
      <c r="D281" s="7">
        <f>IFERROR(__xludf.DUMMYFUNCTION("""COMPUTED_VALUE"""),"No task description")</f>
        <v/>
      </c>
      <c r="E281" s="7">
        <f>IFERROR(__xludf.DUMMYFUNCTION("""COMPUTED_VALUE"""),"No artifact embedded")</f>
        <v/>
      </c>
      <c r="F281" s="7" t="n"/>
      <c r="G281" s="8" t="n">
        <v>0</v>
      </c>
      <c r="H281" s="8" t="n">
        <v>0</v>
      </c>
      <c r="I281" s="8" t="n">
        <v>0</v>
      </c>
      <c r="J281" s="8" t="n">
        <v>0</v>
      </c>
      <c r="K281" s="9" t="n">
        <v>0</v>
      </c>
      <c r="L281" s="9" t="n">
        <v>0</v>
      </c>
      <c r="M281" s="9" t="n">
        <v>0</v>
      </c>
      <c r="N281" s="9" t="n">
        <v>0</v>
      </c>
      <c r="O281" s="10" t="n">
        <v>0</v>
      </c>
      <c r="P281" s="10" t="n">
        <v>0</v>
      </c>
      <c r="Q281" s="10" t="n">
        <v>0</v>
      </c>
      <c r="R281" s="10" t="n">
        <v>0</v>
      </c>
      <c r="S281" s="10" t="n">
        <v>0</v>
      </c>
    </row>
    <row r="282" ht="318" customHeight="1">
      <c r="A282" s="6">
        <f>IFERROR(__xludf.DUMMYFUNCTION("""COMPUTED_VALUE"""),"How do light and temperature affect photosynthesis in plants? - Version A")</f>
        <v/>
      </c>
      <c r="B282" s="6">
        <f>IFERROR(__xludf.DUMMYFUNCTION("""COMPUTED_VALUE"""),"Resource")</f>
        <v/>
      </c>
      <c r="C282" s="6">
        <f>IFERROR(__xludf.DUMMYFUNCTION("""COMPUTED_VALUE"""),"Teooria.graasp")</f>
        <v/>
      </c>
      <c r="D282"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282" s="7">
        <f>IFERROR(__xludf.DUMMYFUNCTION("""COMPUTED_VALUE"""),"No artifact embedded")</f>
        <v/>
      </c>
      <c r="F282" s="7" t="n"/>
      <c r="G282" s="8" t="n">
        <v>1</v>
      </c>
      <c r="H282" s="8" t="n">
        <v>0</v>
      </c>
      <c r="I282" s="8" t="n">
        <v>0</v>
      </c>
      <c r="J282" s="8" t="n">
        <v>0</v>
      </c>
      <c r="K282" s="9" t="n">
        <v>1</v>
      </c>
      <c r="L282" s="9" t="n">
        <v>0</v>
      </c>
      <c r="M282" s="9" t="n">
        <v>0</v>
      </c>
      <c r="N282" s="9" t="n">
        <v>0</v>
      </c>
      <c r="O282" s="10" t="n">
        <v>1</v>
      </c>
      <c r="P282" s="10" t="n">
        <v>0</v>
      </c>
      <c r="Q282" s="10" t="n">
        <v>0</v>
      </c>
      <c r="R282" s="10" t="n">
        <v>0</v>
      </c>
      <c r="S282" s="10" t="n">
        <v>0</v>
      </c>
    </row>
    <row r="283" ht="121" customHeight="1">
      <c r="A283" s="6">
        <f>IFERROR(__xludf.DUMMYFUNCTION("""COMPUTED_VALUE"""),"How do light and temperature affect photosynthesis in plants? - Version A")</f>
        <v/>
      </c>
      <c r="B283" s="6">
        <f>IFERROR(__xludf.DUMMYFUNCTION("""COMPUTED_VALUE"""),"Resource")</f>
        <v/>
      </c>
      <c r="C283" s="6">
        <f>IFERROR(__xludf.DUMMYFUNCTION("""COMPUTED_VALUE"""),"photosynthesis.jpg")</f>
        <v/>
      </c>
      <c r="D283" s="7">
        <f>IFERROR(__xludf.DUMMYFUNCTION("""COMPUTED_VALUE"""),"CARBON DIOXIDE _—v .7 WATER &amp; MINERALS")</f>
        <v/>
      </c>
      <c r="E283" s="7">
        <f>IFERROR(__xludf.DUMMYFUNCTION("""COMPUTED_VALUE"""),"image/jpeg – A digital photograph or web image stored in a compressed format, often used for photography and web graphics.")</f>
        <v/>
      </c>
      <c r="F283" s="7" t="n"/>
      <c r="G283" s="8" t="n">
        <v>0</v>
      </c>
      <c r="H283" s="8" t="n">
        <v>0</v>
      </c>
      <c r="I283" s="8" t="n">
        <v>0</v>
      </c>
      <c r="J283" s="8" t="n">
        <v>0</v>
      </c>
      <c r="K283" s="9" t="n">
        <v>0</v>
      </c>
      <c r="L283" s="9" t="n">
        <v>0</v>
      </c>
      <c r="M283" s="9" t="n">
        <v>0</v>
      </c>
      <c r="N283" s="9" t="n">
        <v>0</v>
      </c>
      <c r="O283" s="10" t="n">
        <v>0</v>
      </c>
      <c r="P283" s="10" t="n">
        <v>0</v>
      </c>
      <c r="Q283" s="10" t="n">
        <v>0</v>
      </c>
      <c r="R283" s="10" t="n">
        <v>0</v>
      </c>
      <c r="S283" s="10" t="n">
        <v>0</v>
      </c>
    </row>
    <row r="284" ht="409.5" customHeight="1">
      <c r="A284" s="6">
        <f>IFERROR(__xludf.DUMMYFUNCTION("""COMPUTED_VALUE"""),"How do light and temperature affect photosynthesis in plants? - Version A")</f>
        <v/>
      </c>
      <c r="B284" s="6">
        <f>IFERROR(__xludf.DUMMYFUNCTION("""COMPUTED_VALUE"""),"Resource")</f>
        <v/>
      </c>
      <c r="C284" s="6">
        <f>IFERROR(__xludf.DUMMYFUNCTION("""COMPUTED_VALUE"""),"Veetaimedest.graasp")</f>
        <v/>
      </c>
      <c r="D284"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284" s="7">
        <f>IFERROR(__xludf.DUMMYFUNCTION("""COMPUTED_VALUE"""),"No artifact embedded")</f>
        <v/>
      </c>
      <c r="F284" s="7" t="n"/>
      <c r="G284" s="8" t="n">
        <v>0</v>
      </c>
      <c r="H284" s="8" t="n">
        <v>0</v>
      </c>
      <c r="I284" s="8" t="n">
        <v>1</v>
      </c>
      <c r="J284" s="8" t="n">
        <v>0</v>
      </c>
      <c r="K284" s="9" t="n">
        <v>0</v>
      </c>
      <c r="L284" s="9" t="n">
        <v>1</v>
      </c>
      <c r="M284" s="9" t="n">
        <v>0</v>
      </c>
      <c r="N284" s="9" t="n">
        <v>0</v>
      </c>
      <c r="O284" s="10" t="n">
        <v>1</v>
      </c>
      <c r="P284" s="10" t="n">
        <v>0</v>
      </c>
      <c r="Q284" s="10" t="n">
        <v>0</v>
      </c>
      <c r="R284" s="10" t="n">
        <v>0</v>
      </c>
      <c r="S284" s="10" t="n">
        <v>0</v>
      </c>
    </row>
    <row r="285" ht="296" customHeight="1">
      <c r="A285" s="6">
        <f>IFERROR(__xludf.DUMMYFUNCTION("""COMPUTED_VALUE"""),"How do light and temperature affect photosynthesis in plants? - Version A")</f>
        <v/>
      </c>
      <c r="B285" s="6">
        <f>IFERROR(__xludf.DUMMYFUNCTION("""COMPUTED_VALUE"""),"Application")</f>
        <v/>
      </c>
      <c r="C285" s="6">
        <f>IFERROR(__xludf.DUMMYFUNCTION("""COMPUTED_VALUE"""),"Quiz Tool")</f>
        <v/>
      </c>
      <c r="D285" s="7">
        <f>IFERROR(__xludf.DUMMYFUNCTION("""COMPUTED_VALUE"""),"No task description")</f>
        <v/>
      </c>
      <c r="E28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5" s="7" t="n"/>
      <c r="G285" s="8" t="n">
        <v>0</v>
      </c>
      <c r="H285" s="8" t="n">
        <v>0</v>
      </c>
      <c r="I285" s="8" t="n">
        <v>0</v>
      </c>
      <c r="J285" s="8" t="n">
        <v>1</v>
      </c>
      <c r="K285" s="9" t="n">
        <v>0</v>
      </c>
      <c r="L285" s="9" t="n">
        <v>1</v>
      </c>
      <c r="M285" s="9" t="n">
        <v>0</v>
      </c>
      <c r="N285" s="9" t="n">
        <v>0</v>
      </c>
      <c r="O285" s="10" t="n">
        <v>0</v>
      </c>
      <c r="P285" s="10" t="n">
        <v>0</v>
      </c>
      <c r="Q285" s="10" t="n">
        <v>0</v>
      </c>
      <c r="R285" s="10" t="n">
        <v>0</v>
      </c>
      <c r="S285" s="10" t="n">
        <v>1</v>
      </c>
    </row>
    <row r="286" ht="157" customHeight="1">
      <c r="A286" s="6">
        <f>IFERROR(__xludf.DUMMYFUNCTION("""COMPUTED_VALUE"""),"How do light and temperature affect photosynthesis in plants? - Version A")</f>
        <v/>
      </c>
      <c r="B286" s="6">
        <f>IFERROR(__xludf.DUMMYFUNCTION("""COMPUTED_VALUE"""),"Resource")</f>
        <v/>
      </c>
      <c r="C286" s="6">
        <f>IFERROR(__xludf.DUMMYFUNCTION("""COMPUTED_VALUE"""),"Edasi juhatus.graasp")</f>
        <v/>
      </c>
      <c r="D286" s="7">
        <f>IFERROR(__xludf.DUMMYFUNCTION("""COMPUTED_VALUE"""),"&lt;p&gt;Next you will explore how light and season of year affect photosynthesis in aquarium plants. Click on the tab &lt;strong&gt;Explore&lt;/strong&gt; at the top of your screen.&lt;/p&gt;&lt;p&gt;&lt;br&gt;&lt;/p&gt;&lt;p&gt;&lt;br&gt;&lt;/p&gt;")</f>
        <v/>
      </c>
      <c r="E286" s="7">
        <f>IFERROR(__xludf.DUMMYFUNCTION("""COMPUTED_VALUE"""),"No artifact embedded")</f>
        <v/>
      </c>
      <c r="F286" s="7" t="n"/>
      <c r="G286" s="8" t="n">
        <v>0</v>
      </c>
      <c r="H286" s="8" t="n">
        <v>1</v>
      </c>
      <c r="I286" s="8" t="n">
        <v>0</v>
      </c>
      <c r="J286" s="8" t="n">
        <v>0</v>
      </c>
      <c r="K286" s="9" t="n">
        <v>1</v>
      </c>
      <c r="L286" s="9" t="n">
        <v>0</v>
      </c>
      <c r="M286" s="9" t="n">
        <v>0</v>
      </c>
      <c r="N286" s="9" t="n">
        <v>0</v>
      </c>
      <c r="O286" s="10" t="n">
        <v>0</v>
      </c>
      <c r="P286" s="10" t="n">
        <v>0</v>
      </c>
      <c r="Q286" s="10" t="n">
        <v>1</v>
      </c>
      <c r="R286" s="10" t="n">
        <v>0</v>
      </c>
      <c r="S286" s="10" t="n">
        <v>0</v>
      </c>
    </row>
    <row r="287" ht="25" customHeight="1">
      <c r="A287" s="6">
        <f>IFERROR(__xludf.DUMMYFUNCTION("""COMPUTED_VALUE"""),"How do light and temperature affect photosynthesis in plants? - Version A")</f>
        <v/>
      </c>
      <c r="B287" s="6">
        <f>IFERROR(__xludf.DUMMYFUNCTION("""COMPUTED_VALUE"""),"Space")</f>
        <v/>
      </c>
      <c r="C287" s="6">
        <f>IFERROR(__xludf.DUMMYFUNCTION("""COMPUTED_VALUE"""),"Explore")</f>
        <v/>
      </c>
      <c r="D287" s="7">
        <f>IFERROR(__xludf.DUMMYFUNCTION("""COMPUTED_VALUE"""),"No task description")</f>
        <v/>
      </c>
      <c r="E287" s="7">
        <f>IFERROR(__xludf.DUMMYFUNCTION("""COMPUTED_VALUE"""),"No artifact embedded")</f>
        <v/>
      </c>
      <c r="F287" s="7" t="n"/>
      <c r="G287" s="8" t="n">
        <v>0</v>
      </c>
      <c r="H287" s="8" t="n">
        <v>0</v>
      </c>
      <c r="I287" s="8" t="n">
        <v>0</v>
      </c>
      <c r="J287" s="8" t="n">
        <v>0</v>
      </c>
      <c r="K287" s="9" t="n">
        <v>0</v>
      </c>
      <c r="L287" s="9" t="n">
        <v>0</v>
      </c>
      <c r="M287" s="9" t="n">
        <v>0</v>
      </c>
      <c r="N287" s="9" t="n">
        <v>0</v>
      </c>
      <c r="O287" s="10" t="n">
        <v>0</v>
      </c>
      <c r="P287" s="10" t="n">
        <v>0</v>
      </c>
      <c r="Q287" s="10" t="n">
        <v>0</v>
      </c>
      <c r="R287" s="10" t="n">
        <v>0</v>
      </c>
      <c r="S287" s="10" t="n">
        <v>0</v>
      </c>
    </row>
    <row r="288" ht="97" customHeight="1">
      <c r="A288" s="6">
        <f>IFERROR(__xludf.DUMMYFUNCTION("""COMPUTED_VALUE"""),"How do light and temperature affect photosynthesis in plants? - Version A")</f>
        <v/>
      </c>
      <c r="B288" s="6">
        <f>IFERROR(__xludf.DUMMYFUNCTION("""COMPUTED_VALUE"""),"Resource")</f>
        <v/>
      </c>
      <c r="C288" s="6">
        <f>IFERROR(__xludf.DUMMYFUNCTION("""COMPUTED_VALUE"""),"elodea.gif")</f>
        <v/>
      </c>
      <c r="D288" s="7">
        <f>IFERROR(__xludf.DUMMYFUNCTION("""COMPUTED_VALUE"""),"No task description")</f>
        <v/>
      </c>
      <c r="E288" s="7">
        <f>IFERROR(__xludf.DUMMYFUNCTION("""COMPUTED_VALUE"""),"image/gif – An animated or static graphic using the GIF format, often seen in memes and web animations.")</f>
        <v/>
      </c>
      <c r="F288" s="7" t="n"/>
      <c r="G288" s="8" t="n">
        <v>0</v>
      </c>
      <c r="H288" s="8" t="n">
        <v>0</v>
      </c>
      <c r="I288" s="8" t="n">
        <v>0</v>
      </c>
      <c r="J288" s="8" t="n">
        <v>0</v>
      </c>
      <c r="K288" s="9" t="n">
        <v>0</v>
      </c>
      <c r="L288" s="9" t="n">
        <v>0</v>
      </c>
      <c r="M288" s="9" t="n">
        <v>0</v>
      </c>
      <c r="N288" s="9" t="n">
        <v>0</v>
      </c>
      <c r="O288" s="10" t="n">
        <v>0</v>
      </c>
      <c r="P288" s="10" t="n">
        <v>0</v>
      </c>
      <c r="Q288" s="10" t="n">
        <v>0</v>
      </c>
      <c r="R288" s="10" t="n">
        <v>0</v>
      </c>
      <c r="S288" s="10" t="n">
        <v>0</v>
      </c>
    </row>
    <row r="289" ht="49" customHeight="1">
      <c r="A289" s="6">
        <f>IFERROR(__xludf.DUMMYFUNCTION("""COMPUTED_VALUE"""),"How do light and temperature affect photosynthesis in plants? - Version A")</f>
        <v/>
      </c>
      <c r="B289" s="6">
        <f>IFERROR(__xludf.DUMMYFUNCTION("""COMPUTED_VALUE"""),"Resource")</f>
        <v/>
      </c>
      <c r="C289" s="6">
        <f>IFERROR(__xludf.DUMMYFUNCTION("""COMPUTED_VALUE"""),"tekst4.graasp")</f>
        <v/>
      </c>
      <c r="D289" s="7">
        <f>IFERROR(__xludf.DUMMYFUNCTION("""COMPUTED_VALUE"""),"&lt;p&gt;Look at the video clip and answer these questions.&lt;/p&gt;")</f>
        <v/>
      </c>
      <c r="E289" s="7">
        <f>IFERROR(__xludf.DUMMYFUNCTION("""COMPUTED_VALUE"""),"No artifact embedded")</f>
        <v/>
      </c>
      <c r="F289" s="7" t="n"/>
      <c r="G289" s="8" t="n">
        <v>0</v>
      </c>
      <c r="H289" s="8" t="n">
        <v>0</v>
      </c>
      <c r="I289" s="8" t="n">
        <v>1</v>
      </c>
      <c r="J289" s="8" t="n">
        <v>0</v>
      </c>
      <c r="K289" s="9" t="n">
        <v>0</v>
      </c>
      <c r="L289" s="9" t="n">
        <v>1</v>
      </c>
      <c r="M289" s="9" t="n">
        <v>0</v>
      </c>
      <c r="N289" s="9" t="n">
        <v>0</v>
      </c>
      <c r="O289" s="10" t="n">
        <v>1</v>
      </c>
      <c r="P289" s="10" t="n">
        <v>0</v>
      </c>
      <c r="Q289" s="10" t="n">
        <v>0</v>
      </c>
      <c r="R289" s="10" t="n">
        <v>0</v>
      </c>
      <c r="S289" s="10" t="n">
        <v>0</v>
      </c>
    </row>
    <row r="290" ht="296" customHeight="1">
      <c r="A290" s="6">
        <f>IFERROR(__xludf.DUMMYFUNCTION("""COMPUTED_VALUE"""),"How do light and temperature affect photosynthesis in plants? - Version A")</f>
        <v/>
      </c>
      <c r="B290" s="6">
        <f>IFERROR(__xludf.DUMMYFUNCTION("""COMPUTED_VALUE"""),"Application")</f>
        <v/>
      </c>
      <c r="C290" s="6">
        <f>IFERROR(__xludf.DUMMYFUNCTION("""COMPUTED_VALUE"""),"Quiz Tool")</f>
        <v/>
      </c>
      <c r="D290" s="7">
        <f>IFERROR(__xludf.DUMMYFUNCTION("""COMPUTED_VALUE"""),"No task description")</f>
        <v/>
      </c>
      <c r="E29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90" s="7" t="n"/>
      <c r="G290" s="8" t="n">
        <v>0</v>
      </c>
      <c r="H290" s="8" t="n">
        <v>0</v>
      </c>
      <c r="I290" s="8" t="n">
        <v>0</v>
      </c>
      <c r="J290" s="8" t="n">
        <v>1</v>
      </c>
      <c r="K290" s="9" t="n">
        <v>0</v>
      </c>
      <c r="L290" s="9" t="n">
        <v>1</v>
      </c>
      <c r="M290" s="9" t="n">
        <v>0</v>
      </c>
      <c r="N290" s="9" t="n">
        <v>0</v>
      </c>
      <c r="O290" s="10" t="n">
        <v>0</v>
      </c>
      <c r="P290" s="10" t="n">
        <v>0</v>
      </c>
      <c r="Q290" s="10" t="n">
        <v>0</v>
      </c>
      <c r="R290" s="10" t="n">
        <v>0</v>
      </c>
      <c r="S290" s="10" t="n">
        <v>1</v>
      </c>
    </row>
    <row r="291" ht="409.5" customHeight="1">
      <c r="A291" s="6">
        <f>IFERROR(__xludf.DUMMYFUNCTION("""COMPUTED_VALUE"""),"How do light and temperature affect photosynthesis in plants? - Version A")</f>
        <v/>
      </c>
      <c r="B291" s="6">
        <f>IFERROR(__xludf.DUMMYFUNCTION("""COMPUTED_VALUE"""),"Resource")</f>
        <v/>
      </c>
      <c r="C291" s="6">
        <f>IFERROR(__xludf.DUMMYFUNCTION("""COMPUTED_VALUE"""),"Text 1.graasp")</f>
        <v/>
      </c>
      <c r="D291"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291" s="7">
        <f>IFERROR(__xludf.DUMMYFUNCTION("""COMPUTED_VALUE"""),"No artifact embedded")</f>
        <v/>
      </c>
      <c r="F291" s="7" t="n"/>
      <c r="G291" s="8" t="n">
        <v>0</v>
      </c>
      <c r="H291" s="8" t="n">
        <v>0</v>
      </c>
      <c r="I291" s="8" t="n">
        <v>0</v>
      </c>
      <c r="J291" s="8" t="n">
        <v>1</v>
      </c>
      <c r="K291" s="9" t="n">
        <v>0</v>
      </c>
      <c r="L291" s="9" t="n">
        <v>0</v>
      </c>
      <c r="M291" s="9" t="n">
        <v>0</v>
      </c>
      <c r="N291" s="9" t="n">
        <v>1</v>
      </c>
      <c r="O291" s="10" t="n">
        <v>0</v>
      </c>
      <c r="P291" s="10" t="n">
        <v>0</v>
      </c>
      <c r="Q291" s="10" t="n">
        <v>1</v>
      </c>
      <c r="R291" s="10" t="n">
        <v>0</v>
      </c>
      <c r="S291" s="10" t="n">
        <v>1</v>
      </c>
    </row>
    <row r="292" ht="373" customHeight="1">
      <c r="A292" s="6">
        <f>IFERROR(__xludf.DUMMYFUNCTION("""COMPUTED_VALUE"""),"How do light and temperature affect photosynthesis in plants? - Version A")</f>
        <v/>
      </c>
      <c r="B292" s="6">
        <f>IFERROR(__xludf.DUMMYFUNCTION("""COMPUTED_VALUE"""),"Resource")</f>
        <v/>
      </c>
      <c r="C292" s="6">
        <f>IFERROR(__xludf.DUMMYFUNCTION("""COMPUTED_VALUE"""),"instructions for the simulation and chat app.graasp")</f>
        <v/>
      </c>
      <c r="D292"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292" s="7">
        <f>IFERROR(__xludf.DUMMYFUNCTION("""COMPUTED_VALUE"""),"No artifact embedded")</f>
        <v/>
      </c>
      <c r="F292" s="7" t="n"/>
      <c r="G292" s="8" t="n">
        <v>0</v>
      </c>
      <c r="H292" s="8" t="n">
        <v>1</v>
      </c>
      <c r="I292" s="8" t="n">
        <v>0</v>
      </c>
      <c r="J292" s="8" t="n">
        <v>0</v>
      </c>
      <c r="K292" s="9" t="n">
        <v>1</v>
      </c>
      <c r="L292" s="9" t="n">
        <v>0</v>
      </c>
      <c r="M292" s="9" t="n">
        <v>0</v>
      </c>
      <c r="N292" s="9" t="n">
        <v>0</v>
      </c>
      <c r="O292" s="10" t="n">
        <v>1</v>
      </c>
      <c r="P292" s="10" t="n">
        <v>0</v>
      </c>
      <c r="Q292" s="10" t="n">
        <v>0</v>
      </c>
      <c r="R292" s="10" t="n">
        <v>0</v>
      </c>
      <c r="S292" s="10" t="n">
        <v>0</v>
      </c>
    </row>
    <row r="293" ht="409.5" customHeight="1">
      <c r="A293" s="6">
        <f>IFERROR(__xludf.DUMMYFUNCTION("""COMPUTED_VALUE"""),"How do light and temperature affect photosynthesis in plants? - Version A")</f>
        <v/>
      </c>
      <c r="B293" s="6">
        <f>IFERROR(__xludf.DUMMYFUNCTION("""COMPUTED_VALUE"""),"Application")</f>
        <v/>
      </c>
      <c r="C293" s="6">
        <f>IFERROR(__xludf.DUMMYFUNCTION("""COMPUTED_VALUE"""),"Rate of Photosynthesis Lab - only season control")</f>
        <v/>
      </c>
      <c r="D293" s="7">
        <f>IFERROR(__xludf.DUMMYFUNCTION("""COMPUTED_VALUE"""),"No task description")</f>
        <v/>
      </c>
      <c r="E293"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293" s="7" t="n"/>
      <c r="G293" s="8" t="n">
        <v>0</v>
      </c>
      <c r="H293" s="8" t="n">
        <v>0</v>
      </c>
      <c r="I293" s="8" t="n">
        <v>0</v>
      </c>
      <c r="J293" s="8" t="n">
        <v>1</v>
      </c>
      <c r="K293" s="9" t="n">
        <v>0</v>
      </c>
      <c r="L293" s="9" t="n">
        <v>0</v>
      </c>
      <c r="M293" s="9" t="n">
        <v>1</v>
      </c>
      <c r="N293" s="9" t="n">
        <v>0</v>
      </c>
      <c r="O293" s="10" t="n">
        <v>0</v>
      </c>
      <c r="P293" s="10" t="n">
        <v>0</v>
      </c>
      <c r="Q293" s="10" t="n">
        <v>1</v>
      </c>
      <c r="R293" s="10" t="n">
        <v>0</v>
      </c>
      <c r="S293" s="10" t="n">
        <v>1</v>
      </c>
    </row>
    <row r="294" ht="97" customHeight="1">
      <c r="A294" s="6">
        <f>IFERROR(__xludf.DUMMYFUNCTION("""COMPUTED_VALUE"""),"How do light and temperature affect photosynthesis in plants? - Version A")</f>
        <v/>
      </c>
      <c r="B294" s="6">
        <f>IFERROR(__xludf.DUMMYFUNCTION("""COMPUTED_VALUE"""),"Resource")</f>
        <v/>
      </c>
      <c r="C294" s="6">
        <f>IFERROR(__xludf.DUMMYFUNCTION("""COMPUTED_VALUE"""),"tips.png")</f>
        <v/>
      </c>
      <c r="D294" s="7">
        <f>IFERROR(__xludf.DUMMYFUNCTION("""COMPUTED_VALUE"""),"No task description")</f>
        <v/>
      </c>
      <c r="E294" s="7">
        <f>IFERROR(__xludf.DUMMYFUNCTION("""COMPUTED_VALUE"""),"image/png – A high-quality image with support for transparency, often used in design and web applications.")</f>
        <v/>
      </c>
      <c r="F294" s="7" t="n"/>
      <c r="G294" s="8" t="n">
        <v>0</v>
      </c>
      <c r="H294" s="8" t="n">
        <v>0</v>
      </c>
      <c r="I294" s="8" t="n">
        <v>0</v>
      </c>
      <c r="J294" s="8" t="n">
        <v>0</v>
      </c>
      <c r="K294" s="9" t="n">
        <v>0</v>
      </c>
      <c r="L294" s="9" t="n">
        <v>0</v>
      </c>
      <c r="M294" s="9" t="n">
        <v>0</v>
      </c>
      <c r="N294" s="9" t="n">
        <v>0</v>
      </c>
      <c r="O294" s="10" t="n">
        <v>0</v>
      </c>
      <c r="P294" s="10" t="n">
        <v>0</v>
      </c>
      <c r="Q294" s="10" t="n">
        <v>0</v>
      </c>
      <c r="R294" s="10" t="n">
        <v>0</v>
      </c>
      <c r="S294" s="10" t="n">
        <v>0</v>
      </c>
    </row>
    <row r="295" ht="409.5" customHeight="1">
      <c r="A295" s="6">
        <f>IFERROR(__xludf.DUMMYFUNCTION("""COMPUTED_VALUE"""),"How do light and temperature affect photosynthesis in plants? - Version A")</f>
        <v/>
      </c>
      <c r="B295" s="6">
        <f>IFERROR(__xludf.DUMMYFUNCTION("""COMPUTED_VALUE"""),"Application")</f>
        <v/>
      </c>
      <c r="C295" s="6">
        <f>IFERROR(__xludf.DUMMYFUNCTION("""COMPUTED_VALUE"""),"SpeakUp")</f>
        <v/>
      </c>
      <c r="D295" s="7">
        <f>IFERROR(__xludf.DUMMYFUNCTION("""COMPUTED_VALUE"""),"No task description")</f>
        <v/>
      </c>
      <c r="E295"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95" s="7" t="n"/>
      <c r="G295" s="8" t="n">
        <v>0</v>
      </c>
      <c r="H295" s="8" t="n">
        <v>0</v>
      </c>
      <c r="I295" s="8" t="n">
        <v>0</v>
      </c>
      <c r="J295" s="8" t="n">
        <v>1</v>
      </c>
      <c r="K295" s="9" t="n">
        <v>0</v>
      </c>
      <c r="L295" s="9" t="n">
        <v>0</v>
      </c>
      <c r="M295" s="9" t="n">
        <v>1</v>
      </c>
      <c r="N295" s="9" t="n">
        <v>0</v>
      </c>
      <c r="O295" s="10" t="n">
        <v>0</v>
      </c>
      <c r="P295" s="10" t="n">
        <v>0</v>
      </c>
      <c r="Q295" s="10" t="n">
        <v>0</v>
      </c>
      <c r="R295" s="10" t="n">
        <v>0</v>
      </c>
      <c r="S295" s="10" t="n">
        <v>1</v>
      </c>
    </row>
    <row r="296" ht="37" customHeight="1">
      <c r="A296" s="6">
        <f>IFERROR(__xludf.DUMMYFUNCTION("""COMPUTED_VALUE"""),"How do light and temperature affect photosynthesis in plants? - Version A")</f>
        <v/>
      </c>
      <c r="B296" s="6">
        <f>IFERROR(__xludf.DUMMYFUNCTION("""COMPUTED_VALUE"""),"Resource")</f>
        <v/>
      </c>
      <c r="C296" s="6">
        <f>IFERROR(__xludf.DUMMYFUNCTION("""COMPUTED_VALUE"""),"tekst2.graasp")</f>
        <v/>
      </c>
      <c r="D296" s="7">
        <f>IFERROR(__xludf.DUMMYFUNCTION("""COMPUTED_VALUE"""),"&lt;p&gt;&lt;strong&gt;QUESTIONS&lt;/strong&gt;&lt;/p&gt;")</f>
        <v/>
      </c>
      <c r="E296" s="7">
        <f>IFERROR(__xludf.DUMMYFUNCTION("""COMPUTED_VALUE"""),"No artifact embedded")</f>
        <v/>
      </c>
      <c r="F296" s="7" t="n"/>
      <c r="G296" s="8" t="n">
        <v>0</v>
      </c>
      <c r="H296" s="8" t="n">
        <v>0</v>
      </c>
      <c r="I296" s="8" t="n">
        <v>0</v>
      </c>
      <c r="J296" s="8" t="n">
        <v>0</v>
      </c>
      <c r="K296" s="9" t="n">
        <v>0</v>
      </c>
      <c r="L296" s="9" t="n">
        <v>0</v>
      </c>
      <c r="M296" s="9" t="n">
        <v>0</v>
      </c>
      <c r="N296" s="9" t="n">
        <v>0</v>
      </c>
      <c r="O296" s="10" t="n">
        <v>0</v>
      </c>
      <c r="P296" s="10" t="n">
        <v>0</v>
      </c>
      <c r="Q296" s="10" t="n">
        <v>0</v>
      </c>
      <c r="R296" s="10" t="n">
        <v>0</v>
      </c>
      <c r="S296" s="10" t="n">
        <v>0</v>
      </c>
    </row>
    <row r="297" ht="329" customHeight="1">
      <c r="A297" s="6">
        <f>IFERROR(__xludf.DUMMYFUNCTION("""COMPUTED_VALUE"""),"How do light and temperature affect photosynthesis in plants? - Version A")</f>
        <v/>
      </c>
      <c r="B297" s="6">
        <f>IFERROR(__xludf.DUMMYFUNCTION("""COMPUTED_VALUE"""),"Application")</f>
        <v/>
      </c>
      <c r="C297" s="6">
        <f>IFERROR(__xludf.DUMMYFUNCTION("""COMPUTED_VALUE"""),"Input Box")</f>
        <v/>
      </c>
      <c r="D297" s="7">
        <f>IFERROR(__xludf.DUMMYFUNCTION("""COMPUTED_VALUE"""),"&lt;p&gt;1. How does photosynthesis in aquarium plants depend on light intensity?&lt;/p&gt;")</f>
        <v/>
      </c>
      <c r="E29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7" s="7" t="n"/>
      <c r="G297" s="8" t="n">
        <v>0</v>
      </c>
      <c r="H297" s="8" t="n">
        <v>0</v>
      </c>
      <c r="I297" s="8" t="n">
        <v>1</v>
      </c>
      <c r="J297" s="8" t="n">
        <v>0</v>
      </c>
      <c r="K297" s="9" t="n">
        <v>0</v>
      </c>
      <c r="L297" s="9" t="n">
        <v>1</v>
      </c>
      <c r="M297" s="9" t="n">
        <v>0</v>
      </c>
      <c r="N297" s="9" t="n">
        <v>0</v>
      </c>
      <c r="O297" s="10" t="n">
        <v>0</v>
      </c>
      <c r="P297" s="10" t="n">
        <v>0</v>
      </c>
      <c r="Q297" s="10" t="n">
        <v>0</v>
      </c>
      <c r="R297" s="10" t="n">
        <v>1</v>
      </c>
      <c r="S297" s="10" t="n">
        <v>0</v>
      </c>
    </row>
    <row r="298" ht="329" customHeight="1">
      <c r="A298" s="6">
        <f>IFERROR(__xludf.DUMMYFUNCTION("""COMPUTED_VALUE"""),"How do light and temperature affect photosynthesis in plants? - Version A")</f>
        <v/>
      </c>
      <c r="B298" s="6">
        <f>IFERROR(__xludf.DUMMYFUNCTION("""COMPUTED_VALUE"""),"Application")</f>
        <v/>
      </c>
      <c r="C298" s="6">
        <f>IFERROR(__xludf.DUMMYFUNCTION("""COMPUTED_VALUE"""),"Input Box (1)")</f>
        <v/>
      </c>
      <c r="D298" s="7">
        <f>IFERROR(__xludf.DUMMYFUNCTION("""COMPUTED_VALUE"""),"&lt;p&gt;2. How does photosynthesis in aquarium plants depend on the season of the year?&lt;/p&gt;")</f>
        <v/>
      </c>
      <c r="E29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8" s="7" t="n"/>
      <c r="G298" s="8" t="n">
        <v>0</v>
      </c>
      <c r="H298" s="8" t="n">
        <v>0</v>
      </c>
      <c r="I298" s="8" t="n">
        <v>1</v>
      </c>
      <c r="J298" s="8" t="n">
        <v>0</v>
      </c>
      <c r="K298" s="9" t="n">
        <v>0</v>
      </c>
      <c r="L298" s="9" t="n">
        <v>1</v>
      </c>
      <c r="M298" s="9" t="n">
        <v>0</v>
      </c>
      <c r="N298" s="9" t="n">
        <v>0</v>
      </c>
      <c r="O298" s="10" t="n">
        <v>0</v>
      </c>
      <c r="P298" s="10" t="n">
        <v>0</v>
      </c>
      <c r="Q298" s="10" t="n">
        <v>0</v>
      </c>
      <c r="R298" s="10" t="n">
        <v>1</v>
      </c>
      <c r="S298" s="10" t="n">
        <v>0</v>
      </c>
    </row>
    <row r="299" ht="263" customHeight="1">
      <c r="A299" s="6">
        <f>IFERROR(__xludf.DUMMYFUNCTION("""COMPUTED_VALUE"""),"How do light and temperature affect photosynthesis in plants? - Version A")</f>
        <v/>
      </c>
      <c r="B299" s="6">
        <f>IFERROR(__xludf.DUMMYFUNCTION("""COMPUTED_VALUE"""),"Resource")</f>
        <v/>
      </c>
      <c r="C299" s="6">
        <f>IFERROR(__xludf.DUMMYFUNCTION("""COMPUTED_VALUE"""),"tekst3.graasp")</f>
        <v/>
      </c>
      <c r="D299"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299" s="7">
        <f>IFERROR(__xludf.DUMMYFUNCTION("""COMPUTED_VALUE"""),"No artifact embedded")</f>
        <v/>
      </c>
      <c r="F299" s="7" t="n"/>
      <c r="G299" s="8" t="n">
        <v>0</v>
      </c>
      <c r="H299" s="8" t="n">
        <v>0</v>
      </c>
      <c r="I299" s="8" t="n">
        <v>0</v>
      </c>
      <c r="J299" s="8" t="n">
        <v>0</v>
      </c>
      <c r="K299" s="9" t="n">
        <v>0</v>
      </c>
      <c r="L299" s="9" t="n">
        <v>0</v>
      </c>
      <c r="M299" s="9" t="n">
        <v>0</v>
      </c>
      <c r="N299" s="9" t="n">
        <v>0</v>
      </c>
      <c r="O299" s="10" t="n">
        <v>0</v>
      </c>
      <c r="P299" s="10" t="n">
        <v>0</v>
      </c>
      <c r="Q299" s="10" t="n">
        <v>0</v>
      </c>
      <c r="R299" s="10" t="n">
        <v>0</v>
      </c>
      <c r="S299" s="10" t="n">
        <v>0</v>
      </c>
    </row>
    <row r="300" ht="25" customHeight="1">
      <c r="A300" s="6">
        <f>IFERROR(__xludf.DUMMYFUNCTION("""COMPUTED_VALUE"""),"How do light and temperature affect photosynthesis in plants? - Version A")</f>
        <v/>
      </c>
      <c r="B300" s="6">
        <f>IFERROR(__xludf.DUMMYFUNCTION("""COMPUTED_VALUE"""),"Space")</f>
        <v/>
      </c>
      <c r="C300" s="6">
        <f>IFERROR(__xludf.DUMMYFUNCTION("""COMPUTED_VALUE"""),"Reflection")</f>
        <v/>
      </c>
      <c r="D300" s="7">
        <f>IFERROR(__xludf.DUMMYFUNCTION("""COMPUTED_VALUE"""),"No task description")</f>
        <v/>
      </c>
      <c r="E300" s="7">
        <f>IFERROR(__xludf.DUMMYFUNCTION("""COMPUTED_VALUE"""),"No artifact embedded")</f>
        <v/>
      </c>
      <c r="F300" s="7" t="n"/>
      <c r="G300" s="8" t="n">
        <v>0</v>
      </c>
      <c r="H300" s="8" t="n">
        <v>0</v>
      </c>
      <c r="I300" s="8" t="n">
        <v>0</v>
      </c>
      <c r="J300" s="8" t="n">
        <v>0</v>
      </c>
      <c r="K300" s="9" t="n">
        <v>0</v>
      </c>
      <c r="L300" s="9" t="n">
        <v>0</v>
      </c>
      <c r="M300" s="9" t="n">
        <v>0</v>
      </c>
      <c r="N300" s="9" t="n">
        <v>0</v>
      </c>
      <c r="O300" s="10" t="n">
        <v>0</v>
      </c>
      <c r="P300" s="10" t="n">
        <v>0</v>
      </c>
      <c r="Q300" s="10" t="n">
        <v>0</v>
      </c>
      <c r="R300" s="10" t="n">
        <v>0</v>
      </c>
      <c r="S300" s="10" t="n">
        <v>0</v>
      </c>
    </row>
    <row r="301" ht="73" customHeight="1">
      <c r="A301" s="6">
        <f>IFERROR(__xludf.DUMMYFUNCTION("""COMPUTED_VALUE"""),"How do light and temperature affect photosynthesis in plants? - Version A")</f>
        <v/>
      </c>
      <c r="B301" s="6">
        <f>IFERROR(__xludf.DUMMYFUNCTION("""COMPUTED_VALUE"""),"Resource")</f>
        <v/>
      </c>
      <c r="C301" s="6">
        <f>IFERROR(__xludf.DUMMYFUNCTION("""COMPUTED_VALUE"""),"text1.graasp")</f>
        <v/>
      </c>
      <c r="D301" s="7">
        <f>IFERROR(__xludf.DUMMYFUNCTION("""COMPUTED_VALUE"""),"&lt;p&gt;Think about your collaborative experience and anwer these questions:&lt;/p&gt;")</f>
        <v/>
      </c>
      <c r="E301" s="7">
        <f>IFERROR(__xludf.DUMMYFUNCTION("""COMPUTED_VALUE"""),"No artifact embedded")</f>
        <v/>
      </c>
      <c r="F301" s="7" t="n"/>
      <c r="G301" s="8" t="n">
        <v>0</v>
      </c>
      <c r="H301" s="8" t="n">
        <v>0</v>
      </c>
      <c r="I301" s="8" t="n">
        <v>1</v>
      </c>
      <c r="J301" s="8" t="n">
        <v>0</v>
      </c>
      <c r="K301" s="9" t="n">
        <v>0</v>
      </c>
      <c r="L301" s="9" t="n">
        <v>1</v>
      </c>
      <c r="M301" s="9" t="n">
        <v>0</v>
      </c>
      <c r="N301" s="9" t="n">
        <v>0</v>
      </c>
      <c r="O301" s="10" t="n">
        <v>0</v>
      </c>
      <c r="P301" s="10" t="n">
        <v>0</v>
      </c>
      <c r="Q301" s="10" t="n">
        <v>0</v>
      </c>
      <c r="R301" s="10" t="n">
        <v>0</v>
      </c>
      <c r="S301" s="10" t="n">
        <v>1</v>
      </c>
    </row>
    <row r="302" ht="329" customHeight="1">
      <c r="A302" s="6">
        <f>IFERROR(__xludf.DUMMYFUNCTION("""COMPUTED_VALUE"""),"How do light and temperature affect photosynthesis in plants? - Version A")</f>
        <v/>
      </c>
      <c r="B302" s="6">
        <f>IFERROR(__xludf.DUMMYFUNCTION("""COMPUTED_VALUE"""),"Application")</f>
        <v/>
      </c>
      <c r="C302" s="6">
        <f>IFERROR(__xludf.DUMMYFUNCTION("""COMPUTED_VALUE"""),"Input Box")</f>
        <v/>
      </c>
      <c r="D302" s="7">
        <f>IFERROR(__xludf.DUMMYFUNCTION("""COMPUTED_VALUE"""),"&lt;p&gt;1. What was most difficult when working collaboratively? Why?&lt;/p&gt;")</f>
        <v/>
      </c>
      <c r="E3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2" s="7" t="n"/>
      <c r="G302" s="8" t="n">
        <v>0</v>
      </c>
      <c r="H302" s="8" t="n">
        <v>0</v>
      </c>
      <c r="I302" s="8" t="n">
        <v>1</v>
      </c>
      <c r="J302" s="8" t="n">
        <v>0</v>
      </c>
      <c r="K302" s="9" t="n">
        <v>0</v>
      </c>
      <c r="L302" s="9" t="n">
        <v>1</v>
      </c>
      <c r="M302" s="9" t="n">
        <v>0</v>
      </c>
      <c r="N302" s="9" t="n">
        <v>0</v>
      </c>
      <c r="O302" s="10" t="n">
        <v>0</v>
      </c>
      <c r="P302" s="10" t="n">
        <v>0</v>
      </c>
      <c r="Q302" s="10" t="n">
        <v>0</v>
      </c>
      <c r="R302" s="10" t="n">
        <v>0</v>
      </c>
      <c r="S302" s="10" t="n">
        <v>1</v>
      </c>
    </row>
    <row r="303" ht="329" customHeight="1">
      <c r="A303" s="6">
        <f>IFERROR(__xludf.DUMMYFUNCTION("""COMPUTED_VALUE"""),"How do light and temperature affect photosynthesis in plants? - Version A")</f>
        <v/>
      </c>
      <c r="B303" s="6">
        <f>IFERROR(__xludf.DUMMYFUNCTION("""COMPUTED_VALUE"""),"Application")</f>
        <v/>
      </c>
      <c r="C303" s="6">
        <f>IFERROR(__xludf.DUMMYFUNCTION("""COMPUTED_VALUE"""),"Input Box (1)")</f>
        <v/>
      </c>
      <c r="D303" s="7">
        <f>IFERROR(__xludf.DUMMYFUNCTION("""COMPUTED_VALUE"""),"&lt;p&gt;2. What would you do differently next time you have to solve a similar collaborative task?&lt;/p&gt;")</f>
        <v/>
      </c>
      <c r="E3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3" s="7" t="n"/>
      <c r="G303" s="8" t="n">
        <v>0</v>
      </c>
      <c r="H303" s="8" t="n">
        <v>0</v>
      </c>
      <c r="I303" s="8" t="n">
        <v>1</v>
      </c>
      <c r="J303" s="8" t="n">
        <v>0</v>
      </c>
      <c r="K303" s="9" t="n">
        <v>0</v>
      </c>
      <c r="L303" s="9" t="n">
        <v>1</v>
      </c>
      <c r="M303" s="9" t="n">
        <v>0</v>
      </c>
      <c r="N303" s="9" t="n">
        <v>0</v>
      </c>
      <c r="O303" s="10" t="n">
        <v>0</v>
      </c>
      <c r="P303" s="10" t="n">
        <v>0</v>
      </c>
      <c r="Q303" s="10" t="n">
        <v>0</v>
      </c>
      <c r="R303" s="10" t="n">
        <v>0</v>
      </c>
      <c r="S303" s="10" t="n">
        <v>1</v>
      </c>
    </row>
    <row r="304" ht="85" customHeight="1">
      <c r="A304" s="6">
        <f>IFERROR(__xludf.DUMMYFUNCTION("""COMPUTED_VALUE"""),"How do light and temperature affect photosynthesis in plants? - Version A")</f>
        <v/>
      </c>
      <c r="B304" s="6">
        <f>IFERROR(__xludf.DUMMYFUNCTION("""COMPUTED_VALUE"""),"Resource")</f>
        <v/>
      </c>
      <c r="C304" s="6">
        <f>IFERROR(__xludf.DUMMYFUNCTION("""COMPUTED_VALUE"""),"text2.graasp")</f>
        <v/>
      </c>
      <c r="D304" s="7">
        <f>IFERROR(__xludf.DUMMYFUNCTION("""COMPUTED_VALUE"""),"&lt;p&gt;After both of the questions you can continue to the next phase called &lt;strong&gt;Predict&lt;/strong&gt;.&lt;/p&gt;")</f>
        <v/>
      </c>
      <c r="E304" s="7">
        <f>IFERROR(__xludf.DUMMYFUNCTION("""COMPUTED_VALUE"""),"No artifact embedded")</f>
        <v/>
      </c>
      <c r="F304" s="7" t="n"/>
      <c r="G304" s="8" t="n">
        <v>0</v>
      </c>
      <c r="H304" s="8" t="n">
        <v>0</v>
      </c>
      <c r="I304" s="8" t="n">
        <v>0</v>
      </c>
      <c r="J304" s="8" t="n">
        <v>0</v>
      </c>
      <c r="K304" s="9" t="n">
        <v>0</v>
      </c>
      <c r="L304" s="9" t="n">
        <v>0</v>
      </c>
      <c r="M304" s="9" t="n">
        <v>0</v>
      </c>
      <c r="N304" s="9" t="n">
        <v>0</v>
      </c>
      <c r="O304" s="10" t="n">
        <v>0</v>
      </c>
      <c r="P304" s="10" t="n">
        <v>0</v>
      </c>
      <c r="Q304" s="10" t="n">
        <v>0</v>
      </c>
      <c r="R304" s="10" t="n">
        <v>0</v>
      </c>
      <c r="S304" s="10" t="n">
        <v>0</v>
      </c>
    </row>
    <row r="305" ht="25" customHeight="1">
      <c r="A305" s="6">
        <f>IFERROR(__xludf.DUMMYFUNCTION("""COMPUTED_VALUE"""),"How do light and temperature affect photosynthesis in plants? - Version A")</f>
        <v/>
      </c>
      <c r="B305" s="6">
        <f>IFERROR(__xludf.DUMMYFUNCTION("""COMPUTED_VALUE"""),"Space")</f>
        <v/>
      </c>
      <c r="C305" s="6">
        <f>IFERROR(__xludf.DUMMYFUNCTION("""COMPUTED_VALUE"""),"Predict")</f>
        <v/>
      </c>
      <c r="D305" s="7">
        <f>IFERROR(__xludf.DUMMYFUNCTION("""COMPUTED_VALUE"""),"No task description")</f>
        <v/>
      </c>
      <c r="E305" s="7">
        <f>IFERROR(__xludf.DUMMYFUNCTION("""COMPUTED_VALUE"""),"No artifact embedded")</f>
        <v/>
      </c>
      <c r="F305" s="7" t="n"/>
      <c r="G305" s="8" t="n">
        <v>0</v>
      </c>
      <c r="H305" s="8" t="n">
        <v>0</v>
      </c>
      <c r="I305" s="8" t="n">
        <v>0</v>
      </c>
      <c r="J305" s="8" t="n">
        <v>0</v>
      </c>
      <c r="K305" s="9" t="n">
        <v>0</v>
      </c>
      <c r="L305" s="9" t="n">
        <v>0</v>
      </c>
      <c r="M305" s="9" t="n">
        <v>0</v>
      </c>
      <c r="N305" s="9" t="n">
        <v>0</v>
      </c>
      <c r="O305" s="10" t="n">
        <v>0</v>
      </c>
      <c r="P305" s="10" t="n">
        <v>0</v>
      </c>
      <c r="Q305" s="10" t="n">
        <v>0</v>
      </c>
      <c r="R305" s="10" t="n">
        <v>0</v>
      </c>
      <c r="S305" s="10" t="n">
        <v>0</v>
      </c>
    </row>
    <row r="306" ht="133" customHeight="1">
      <c r="A306" s="6">
        <f>IFERROR(__xludf.DUMMYFUNCTION("""COMPUTED_VALUE"""),"How do light and temperature affect photosynthesis in plants? - Version A")</f>
        <v/>
      </c>
      <c r="B306" s="6">
        <f>IFERROR(__xludf.DUMMYFUNCTION("""COMPUTED_VALUE"""),"Resource")</f>
        <v/>
      </c>
      <c r="C306" s="6">
        <f>IFERROR(__xludf.DUMMYFUNCTION("""COMPUTED_VALUE"""),"tekst3.graasp")</f>
        <v/>
      </c>
      <c r="D306" s="7">
        <f>IFERROR(__xludf.DUMMYFUNCTION("""COMPUTED_VALUE"""),"&lt;p&gt;&lt;strong&gt;Good job!&lt;/strong&gt; You have completed the first half of this lesson. After answering the two questions below, you will begin with a new experiment.&lt;/p&gt;")</f>
        <v/>
      </c>
      <c r="E306" s="7">
        <f>IFERROR(__xludf.DUMMYFUNCTION("""COMPUTED_VALUE"""),"No artifact embedded")</f>
        <v/>
      </c>
      <c r="F306" s="7" t="n"/>
      <c r="G306" s="8" t="n">
        <v>0</v>
      </c>
      <c r="H306" s="8" t="n">
        <v>0</v>
      </c>
      <c r="I306" s="8" t="n">
        <v>1</v>
      </c>
      <c r="J306" s="8" t="n">
        <v>0</v>
      </c>
      <c r="K306" s="9" t="n">
        <v>0</v>
      </c>
      <c r="L306" s="9" t="n">
        <v>1</v>
      </c>
      <c r="M306" s="9" t="n">
        <v>0</v>
      </c>
      <c r="N306" s="9" t="n">
        <v>0</v>
      </c>
      <c r="O306" s="10" t="n">
        <v>0</v>
      </c>
      <c r="P306" s="10" t="n">
        <v>0</v>
      </c>
      <c r="Q306" s="10" t="n">
        <v>1</v>
      </c>
      <c r="R306" s="10" t="n">
        <v>0</v>
      </c>
      <c r="S306" s="10" t="n">
        <v>0</v>
      </c>
    </row>
    <row r="307" ht="296" customHeight="1">
      <c r="A307" s="6">
        <f>IFERROR(__xludf.DUMMYFUNCTION("""COMPUTED_VALUE"""),"How do light and temperature affect photosynthesis in plants? - Version A")</f>
        <v/>
      </c>
      <c r="B307" s="6">
        <f>IFERROR(__xludf.DUMMYFUNCTION("""COMPUTED_VALUE"""),"Application")</f>
        <v/>
      </c>
      <c r="C307" s="6">
        <f>IFERROR(__xludf.DUMMYFUNCTION("""COMPUTED_VALUE"""),"Quiz Tool")</f>
        <v/>
      </c>
      <c r="D307" s="7">
        <f>IFERROR(__xludf.DUMMYFUNCTION("""COMPUTED_VALUE"""),"No task description")</f>
        <v/>
      </c>
      <c r="E3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307" s="7" t="n"/>
      <c r="G307" s="8" t="n">
        <v>0</v>
      </c>
      <c r="H307" s="8" t="n">
        <v>0</v>
      </c>
      <c r="I307" s="8" t="n">
        <v>0</v>
      </c>
      <c r="J307" s="8" t="n">
        <v>1</v>
      </c>
      <c r="K307" s="9" t="n">
        <v>0</v>
      </c>
      <c r="L307" s="9" t="n">
        <v>1</v>
      </c>
      <c r="M307" s="9" t="n">
        <v>0</v>
      </c>
      <c r="N307" s="9" t="n">
        <v>0</v>
      </c>
      <c r="O307" s="10" t="n">
        <v>0</v>
      </c>
      <c r="P307" s="10" t="n">
        <v>0</v>
      </c>
      <c r="Q307" s="10" t="n">
        <v>0</v>
      </c>
      <c r="R307" s="10" t="n">
        <v>0</v>
      </c>
      <c r="S307" s="10" t="n">
        <v>1</v>
      </c>
    </row>
    <row r="308" ht="409.5" customHeight="1">
      <c r="A308" s="6">
        <f>IFERROR(__xludf.DUMMYFUNCTION("""COMPUTED_VALUE"""),"How do light and temperature affect photosynthesis in plants? - Version A")</f>
        <v/>
      </c>
      <c r="B308" s="6">
        <f>IFERROR(__xludf.DUMMYFUNCTION("""COMPUTED_VALUE"""),"Resource")</f>
        <v/>
      </c>
      <c r="C308" s="6">
        <f>IFERROR(__xludf.DUMMYFUNCTION("""COMPUTED_VALUE"""),"tekst1.graasp")</f>
        <v/>
      </c>
      <c r="D308"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308" s="7">
        <f>IFERROR(__xludf.DUMMYFUNCTION("""COMPUTED_VALUE"""),"No artifact embedded")</f>
        <v/>
      </c>
      <c r="F308" s="7" t="n"/>
      <c r="G308" s="8" t="n">
        <v>0</v>
      </c>
      <c r="H308" s="8" t="n">
        <v>0</v>
      </c>
      <c r="I308" s="8" t="n">
        <v>1</v>
      </c>
      <c r="J308" s="8" t="n">
        <v>0</v>
      </c>
      <c r="K308" s="9" t="n">
        <v>0</v>
      </c>
      <c r="L308" s="9" t="n">
        <v>1</v>
      </c>
      <c r="M308" s="9" t="n">
        <v>0</v>
      </c>
      <c r="N308" s="9" t="n">
        <v>0</v>
      </c>
      <c r="O308" s="10" t="n">
        <v>0</v>
      </c>
      <c r="P308" s="10" t="n">
        <v>1</v>
      </c>
      <c r="Q308" s="10" t="n">
        <v>1</v>
      </c>
      <c r="R308" s="10" t="n">
        <v>0</v>
      </c>
      <c r="S308" s="10" t="n">
        <v>0</v>
      </c>
    </row>
    <row r="309" ht="409.5" customHeight="1">
      <c r="A309" s="6">
        <f>IFERROR(__xludf.DUMMYFUNCTION("""COMPUTED_VALUE"""),"How do light and temperature affect photosynthesis in plants? - Version A")</f>
        <v/>
      </c>
      <c r="B309" s="6">
        <f>IFERROR(__xludf.DUMMYFUNCTION("""COMPUTED_VALUE"""),"Application")</f>
        <v/>
      </c>
      <c r="C309" s="6">
        <f>IFERROR(__xludf.DUMMYFUNCTION("""COMPUTED_VALUE"""),"Hypothesis Scratchpad")</f>
        <v/>
      </c>
      <c r="D309" s="7">
        <f>IFERROR(__xludf.DUMMYFUNCTION("""COMPUTED_VALUE"""),"No task description")</f>
        <v/>
      </c>
      <c r="E30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09" s="7" t="n"/>
      <c r="G309" s="8" t="n">
        <v>0</v>
      </c>
      <c r="H309" s="8" t="n">
        <v>0</v>
      </c>
      <c r="I309" s="8" t="n">
        <v>1</v>
      </c>
      <c r="J309" s="8" t="n">
        <v>0</v>
      </c>
      <c r="K309" s="9" t="n">
        <v>0</v>
      </c>
      <c r="L309" s="9" t="n">
        <v>1</v>
      </c>
      <c r="M309" s="9" t="n">
        <v>0</v>
      </c>
      <c r="N309" s="9" t="n">
        <v>0</v>
      </c>
      <c r="O309" s="10" t="n">
        <v>0</v>
      </c>
      <c r="P309" s="10" t="n">
        <v>1</v>
      </c>
      <c r="Q309" s="10" t="n">
        <v>0</v>
      </c>
      <c r="R309" s="10" t="n">
        <v>0</v>
      </c>
      <c r="S309" s="10" t="n">
        <v>0</v>
      </c>
    </row>
    <row r="310" ht="157" customHeight="1">
      <c r="A310" s="6">
        <f>IFERROR(__xludf.DUMMYFUNCTION("""COMPUTED_VALUE"""),"How do light and temperature affect photosynthesis in plants? - Version A")</f>
        <v/>
      </c>
      <c r="B310" s="6">
        <f>IFERROR(__xludf.DUMMYFUNCTION("""COMPUTED_VALUE"""),"Resource")</f>
        <v/>
      </c>
      <c r="C310" s="6">
        <f>IFERROR(__xludf.DUMMYFUNCTION("""COMPUTED_VALUE"""),"tekst2.graasp")</f>
        <v/>
      </c>
      <c r="D310" s="7">
        <f>IFERROR(__xludf.DUMMYFUNCTION("""COMPUTED_VALUE"""),"&lt;p&gt;When you finished making your prediction (hypothesis) click on the tab &lt;strong&gt;Investigate&lt;/strong&gt; in the top of your screen.&lt;br&gt;&lt;/p&gt;&lt;p&gt;&lt;br&gt;&lt;/p&gt;&lt;p&gt;&lt;br&gt;&lt;/p&gt;&lt;p&gt;&lt;br&gt;&lt;/p&gt;&lt;p&gt;&lt;br&gt;&lt;/p&gt;")</f>
        <v/>
      </c>
      <c r="E310" s="7">
        <f>IFERROR(__xludf.DUMMYFUNCTION("""COMPUTED_VALUE"""),"No artifact embedded")</f>
        <v/>
      </c>
      <c r="F310" s="7" t="n"/>
      <c r="G310" s="8" t="n">
        <v>0</v>
      </c>
      <c r="H310" s="8" t="n">
        <v>0</v>
      </c>
      <c r="I310" s="8" t="n">
        <v>0</v>
      </c>
      <c r="J310" s="8" t="n">
        <v>0</v>
      </c>
      <c r="K310" s="9" t="n">
        <v>0</v>
      </c>
      <c r="L310" s="9" t="n">
        <v>0</v>
      </c>
      <c r="M310" s="9" t="n">
        <v>0</v>
      </c>
      <c r="N310" s="9" t="n">
        <v>0</v>
      </c>
      <c r="O310" s="10" t="n">
        <v>0</v>
      </c>
      <c r="P310" s="10" t="n">
        <v>0</v>
      </c>
      <c r="Q310" s="10" t="n">
        <v>0</v>
      </c>
      <c r="R310" s="10" t="n">
        <v>0</v>
      </c>
      <c r="S310" s="10" t="n">
        <v>0</v>
      </c>
    </row>
    <row r="311" ht="25" customHeight="1">
      <c r="A311" s="6">
        <f>IFERROR(__xludf.DUMMYFUNCTION("""COMPUTED_VALUE"""),"How do light and temperature affect photosynthesis in plants? - Version A")</f>
        <v/>
      </c>
      <c r="B311" s="6">
        <f>IFERROR(__xludf.DUMMYFUNCTION("""COMPUTED_VALUE"""),"Space")</f>
        <v/>
      </c>
      <c r="C311" s="6">
        <f>IFERROR(__xludf.DUMMYFUNCTION("""COMPUTED_VALUE"""),"Investigation")</f>
        <v/>
      </c>
      <c r="D311" s="7">
        <f>IFERROR(__xludf.DUMMYFUNCTION("""COMPUTED_VALUE"""),"No task description")</f>
        <v/>
      </c>
      <c r="E311" s="7">
        <f>IFERROR(__xludf.DUMMYFUNCTION("""COMPUTED_VALUE"""),"No artifact embedded")</f>
        <v/>
      </c>
      <c r="F311" s="7" t="n"/>
      <c r="G311" s="8" t="n">
        <v>0</v>
      </c>
      <c r="H311" s="8" t="n">
        <v>0</v>
      </c>
      <c r="I311" s="8" t="n">
        <v>0</v>
      </c>
      <c r="J311" s="8" t="n">
        <v>0</v>
      </c>
      <c r="K311" s="9" t="n">
        <v>0</v>
      </c>
      <c r="L311" s="9" t="n">
        <v>0</v>
      </c>
      <c r="M311" s="9" t="n">
        <v>0</v>
      </c>
      <c r="N311" s="9" t="n">
        <v>0</v>
      </c>
      <c r="O311" s="10" t="n">
        <v>0</v>
      </c>
      <c r="P311" s="10" t="n">
        <v>0</v>
      </c>
      <c r="Q311" s="10" t="n">
        <v>0</v>
      </c>
      <c r="R311" s="10" t="n">
        <v>0</v>
      </c>
      <c r="S311" s="10" t="n">
        <v>0</v>
      </c>
    </row>
    <row r="312" ht="285" customHeight="1">
      <c r="A312" s="6">
        <f>IFERROR(__xludf.DUMMYFUNCTION("""COMPUTED_VALUE"""),"How do light and temperature affect photosynthesis in plants? - Version A")</f>
        <v/>
      </c>
      <c r="B312" s="6">
        <f>IFERROR(__xludf.DUMMYFUNCTION("""COMPUTED_VALUE"""),"Resource")</f>
        <v/>
      </c>
      <c r="C312" s="6">
        <f>IFERROR(__xludf.DUMMYFUNCTION("""COMPUTED_VALUE"""),"Vaatluste selgitus.graasp")</f>
        <v/>
      </c>
      <c r="D312"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312" s="7">
        <f>IFERROR(__xludf.DUMMYFUNCTION("""COMPUTED_VALUE"""),"No artifact embedded")</f>
        <v/>
      </c>
      <c r="F312" s="7" t="n"/>
      <c r="G312" s="8" t="n">
        <v>0</v>
      </c>
      <c r="H312" s="8" t="n">
        <v>0</v>
      </c>
      <c r="I312" s="8" t="n">
        <v>1</v>
      </c>
      <c r="J312" s="8" t="n">
        <v>0</v>
      </c>
      <c r="K312" s="9" t="n">
        <v>0</v>
      </c>
      <c r="L312" s="9" t="n">
        <v>1</v>
      </c>
      <c r="M312" s="9" t="n">
        <v>0</v>
      </c>
      <c r="N312" s="9" t="n">
        <v>0</v>
      </c>
      <c r="O312" s="10" t="n">
        <v>0</v>
      </c>
      <c r="P312" s="10" t="n">
        <v>0</v>
      </c>
      <c r="Q312" s="10" t="n">
        <v>1</v>
      </c>
      <c r="R312" s="10" t="n">
        <v>0</v>
      </c>
      <c r="S312" s="10" t="n">
        <v>0</v>
      </c>
    </row>
    <row r="313" ht="351" customHeight="1">
      <c r="A313" s="6">
        <f>IFERROR(__xludf.DUMMYFUNCTION("""COMPUTED_VALUE"""),"How do light and temperature affect photosynthesis in plants? - Version A")</f>
        <v/>
      </c>
      <c r="B313" s="6">
        <f>IFERROR(__xludf.DUMMYFUNCTION("""COMPUTED_VALUE"""),"Application")</f>
        <v/>
      </c>
      <c r="C313" s="6">
        <f>IFERROR(__xludf.DUMMYFUNCTION("""COMPUTED_VALUE"""),"Viewer")</f>
        <v/>
      </c>
      <c r="D313" s="7">
        <f>IFERROR(__xludf.DUMMYFUNCTION("""COMPUTED_VALUE"""),"No task description")</f>
        <v/>
      </c>
      <c r="E313"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313" s="7" t="n"/>
      <c r="G313" s="8" t="n">
        <v>1</v>
      </c>
      <c r="H313" s="8" t="n">
        <v>0</v>
      </c>
      <c r="I313" s="8" t="n">
        <v>0</v>
      </c>
      <c r="J313" s="8" t="n">
        <v>0</v>
      </c>
      <c r="K313" s="9" t="n">
        <v>1</v>
      </c>
      <c r="L313" s="9" t="n">
        <v>0</v>
      </c>
      <c r="M313" s="9" t="n">
        <v>0</v>
      </c>
      <c r="N313" s="9" t="n">
        <v>0</v>
      </c>
      <c r="O313" s="10" t="n">
        <v>0</v>
      </c>
      <c r="P313" s="10" t="n">
        <v>0</v>
      </c>
      <c r="Q313" s="10" t="n">
        <v>0</v>
      </c>
      <c r="R313" s="10" t="n">
        <v>0</v>
      </c>
      <c r="S313" s="10" t="n">
        <v>0</v>
      </c>
    </row>
    <row r="314" ht="409.5" customHeight="1">
      <c r="A314" s="6">
        <f>IFERROR(__xludf.DUMMYFUNCTION("""COMPUTED_VALUE"""),"How do light and temperature affect photosynthesis in plants? - Version A")</f>
        <v/>
      </c>
      <c r="B314" s="6">
        <f>IFERROR(__xludf.DUMMYFUNCTION("""COMPUTED_VALUE"""),"Application")</f>
        <v/>
      </c>
      <c r="C314" s="6">
        <f>IFERROR(__xludf.DUMMYFUNCTION("""COMPUTED_VALUE"""),"Rate of Photosynthesis Lab (HTML5)")</f>
        <v/>
      </c>
      <c r="D314" s="7">
        <f>IFERROR(__xludf.DUMMYFUNCTION("""COMPUTED_VALUE"""),"No task description")</f>
        <v/>
      </c>
      <c r="E314"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314" s="7" t="n"/>
      <c r="G314" s="8" t="n">
        <v>0</v>
      </c>
      <c r="H314" s="8" t="n">
        <v>1</v>
      </c>
      <c r="I314" s="8" t="n">
        <v>0</v>
      </c>
      <c r="J314" s="8" t="n">
        <v>0</v>
      </c>
      <c r="K314" s="9" t="n">
        <v>1</v>
      </c>
      <c r="L314" s="9" t="n">
        <v>0</v>
      </c>
      <c r="M314" s="9" t="n">
        <v>0</v>
      </c>
      <c r="N314" s="9" t="n">
        <v>0</v>
      </c>
      <c r="O314" s="10" t="n">
        <v>0</v>
      </c>
      <c r="P314" s="10" t="n">
        <v>0</v>
      </c>
      <c r="Q314" s="10" t="n">
        <v>1</v>
      </c>
      <c r="R314" s="10" t="n">
        <v>0</v>
      </c>
      <c r="S314" s="10" t="n">
        <v>0</v>
      </c>
    </row>
    <row r="315" ht="263" customHeight="1">
      <c r="A315" s="6">
        <f>IFERROR(__xludf.DUMMYFUNCTION("""COMPUTED_VALUE"""),"How do light and temperature affect photosynthesis in plants? - Version A")</f>
        <v/>
      </c>
      <c r="B315" s="6">
        <f>IFERROR(__xludf.DUMMYFUNCTION("""COMPUTED_VALUE"""),"Resource")</f>
        <v/>
      </c>
      <c r="C315" s="6">
        <f>IFERROR(__xludf.DUMMYFUNCTION("""COMPUTED_VALUE"""),"Vaatluste selgitus 2.graasp")</f>
        <v/>
      </c>
      <c r="D315"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315" s="7">
        <f>IFERROR(__xludf.DUMMYFUNCTION("""COMPUTED_VALUE"""),"No artifact embedded")</f>
        <v/>
      </c>
      <c r="F315" s="7" t="n"/>
      <c r="G315" s="8" t="n">
        <v>0</v>
      </c>
      <c r="H315" s="8" t="n">
        <v>0</v>
      </c>
      <c r="I315" s="8" t="n">
        <v>1</v>
      </c>
      <c r="J315" s="8" t="n">
        <v>0</v>
      </c>
      <c r="K315" s="9" t="n">
        <v>0</v>
      </c>
      <c r="L315" s="9" t="n">
        <v>1</v>
      </c>
      <c r="M315" s="9" t="n">
        <v>0</v>
      </c>
      <c r="N315" s="9" t="n">
        <v>0</v>
      </c>
      <c r="O315" s="10" t="n">
        <v>0</v>
      </c>
      <c r="P315" s="10" t="n">
        <v>0</v>
      </c>
      <c r="Q315" s="10" t="n">
        <v>1</v>
      </c>
      <c r="R315" s="10" t="n">
        <v>1</v>
      </c>
      <c r="S315" s="10" t="n">
        <v>0</v>
      </c>
    </row>
    <row r="316" ht="395" customHeight="1">
      <c r="A316" s="6">
        <f>IFERROR(__xludf.DUMMYFUNCTION("""COMPUTED_VALUE"""),"How do light and temperature affect photosynthesis in plants? - Version A")</f>
        <v/>
      </c>
      <c r="B316" s="6">
        <f>IFERROR(__xludf.DUMMYFUNCTION("""COMPUTED_VALUE"""),"Application")</f>
        <v/>
      </c>
      <c r="C316" s="6">
        <f>IFERROR(__xludf.DUMMYFUNCTION("""COMPUTED_VALUE"""),"Observation Tool")</f>
        <v/>
      </c>
      <c r="D316" s="7">
        <f>IFERROR(__xludf.DUMMYFUNCTION("""COMPUTED_VALUE"""),"No task description")</f>
        <v/>
      </c>
      <c r="E316"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16" s="7" t="n"/>
      <c r="G316" s="8" t="n">
        <v>0</v>
      </c>
      <c r="H316" s="8" t="n">
        <v>0</v>
      </c>
      <c r="I316" s="8" t="n">
        <v>1</v>
      </c>
      <c r="J316" s="8" t="n">
        <v>0</v>
      </c>
      <c r="K316" s="9" t="n">
        <v>0</v>
      </c>
      <c r="L316" s="9" t="n">
        <v>1</v>
      </c>
      <c r="M316" s="9" t="n">
        <v>0</v>
      </c>
      <c r="N316" s="9" t="n">
        <v>0</v>
      </c>
      <c r="O316" s="10" t="n">
        <v>0</v>
      </c>
      <c r="P316" s="10" t="n">
        <v>0</v>
      </c>
      <c r="Q316" s="10" t="n">
        <v>1</v>
      </c>
      <c r="R316" s="10" t="n">
        <v>0</v>
      </c>
      <c r="S316" s="10" t="n">
        <v>0</v>
      </c>
    </row>
    <row r="317" ht="169" customHeight="1">
      <c r="A317" s="6">
        <f>IFERROR(__xludf.DUMMYFUNCTION("""COMPUTED_VALUE"""),"How do light and temperature affect photosynthesis in plants? - Version A")</f>
        <v/>
      </c>
      <c r="B317" s="6">
        <f>IFERROR(__xludf.DUMMYFUNCTION("""COMPUTED_VALUE"""),"Resource")</f>
        <v/>
      </c>
      <c r="C317" s="6">
        <f>IFERROR(__xludf.DUMMYFUNCTION("""COMPUTED_VALUE"""),"Vaatlused edasi.graasp")</f>
        <v/>
      </c>
      <c r="D317" s="7">
        <f>IFERROR(__xludf.DUMMYFUNCTION("""COMPUTED_VALUE"""),"&lt;p&gt;When you have collected enough information to address your hypothesis, click on the tab &lt;strong&gt;Conclusion&lt;/strong&gt; on the top of your screen.&lt;/p&gt;&lt;p&gt;&lt;br&gt;&lt;/p&gt;&lt;p&gt;&lt;br&gt;&lt;/p&gt;&lt;p&gt;&lt;br&gt;&lt;/p&gt;")</f>
        <v/>
      </c>
      <c r="E317" s="7">
        <f>IFERROR(__xludf.DUMMYFUNCTION("""COMPUTED_VALUE"""),"No artifact embedded")</f>
        <v/>
      </c>
      <c r="F317" s="7" t="n"/>
      <c r="G317" s="8" t="n">
        <v>0</v>
      </c>
      <c r="H317" s="8" t="n">
        <v>0</v>
      </c>
      <c r="I317" s="8" t="n">
        <v>0</v>
      </c>
      <c r="J317" s="8" t="n">
        <v>0</v>
      </c>
      <c r="K317" s="9" t="n">
        <v>0</v>
      </c>
      <c r="L317" s="9" t="n">
        <v>0</v>
      </c>
      <c r="M317" s="9" t="n">
        <v>0</v>
      </c>
      <c r="N317" s="9" t="n">
        <v>0</v>
      </c>
      <c r="O317" s="10" t="n">
        <v>0</v>
      </c>
      <c r="P317" s="10" t="n">
        <v>0</v>
      </c>
      <c r="Q317" s="10" t="n">
        <v>0</v>
      </c>
      <c r="R317" s="10" t="n">
        <v>0</v>
      </c>
      <c r="S317" s="10" t="n">
        <v>0</v>
      </c>
    </row>
    <row r="318" ht="25" customHeight="1">
      <c r="A318" s="6">
        <f>IFERROR(__xludf.DUMMYFUNCTION("""COMPUTED_VALUE"""),"How do light and temperature affect photosynthesis in plants? - Version A")</f>
        <v/>
      </c>
      <c r="B318" s="6">
        <f>IFERROR(__xludf.DUMMYFUNCTION("""COMPUTED_VALUE"""),"Space")</f>
        <v/>
      </c>
      <c r="C318" s="6">
        <f>IFERROR(__xludf.DUMMYFUNCTION("""COMPUTED_VALUE"""),"Conclusion")</f>
        <v/>
      </c>
      <c r="D318" s="7">
        <f>IFERROR(__xludf.DUMMYFUNCTION("""COMPUTED_VALUE"""),"No task description")</f>
        <v/>
      </c>
      <c r="E318" s="7">
        <f>IFERROR(__xludf.DUMMYFUNCTION("""COMPUTED_VALUE"""),"No artifact embedded")</f>
        <v/>
      </c>
      <c r="F318" s="7" t="n"/>
      <c r="G318" s="8" t="n">
        <v>0</v>
      </c>
      <c r="H318" s="8" t="n">
        <v>0</v>
      </c>
      <c r="I318" s="8" t="n">
        <v>0</v>
      </c>
      <c r="J318" s="8" t="n">
        <v>0</v>
      </c>
      <c r="K318" s="9" t="n">
        <v>0</v>
      </c>
      <c r="L318" s="9" t="n">
        <v>0</v>
      </c>
      <c r="M318" s="9" t="n">
        <v>0</v>
      </c>
      <c r="N318" s="9" t="n">
        <v>0</v>
      </c>
      <c r="O318" s="10" t="n">
        <v>0</v>
      </c>
      <c r="P318" s="10" t="n">
        <v>0</v>
      </c>
      <c r="Q318" s="10" t="n">
        <v>0</v>
      </c>
      <c r="R318" s="10" t="n">
        <v>0</v>
      </c>
      <c r="S318" s="10" t="n">
        <v>0</v>
      </c>
    </row>
    <row r="319" ht="373" customHeight="1">
      <c r="A319" s="6">
        <f>IFERROR(__xludf.DUMMYFUNCTION("""COMPUTED_VALUE"""),"How do light and temperature affect photosynthesis in plants? - Version A")</f>
        <v/>
      </c>
      <c r="B319" s="6">
        <f>IFERROR(__xludf.DUMMYFUNCTION("""COMPUTED_VALUE"""),"Resource")</f>
        <v/>
      </c>
      <c r="C319" s="6">
        <f>IFERROR(__xludf.DUMMYFUNCTION("""COMPUTED_VALUE"""),"tekst1.graasp")</f>
        <v/>
      </c>
      <c r="D319"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319" s="7">
        <f>IFERROR(__xludf.DUMMYFUNCTION("""COMPUTED_VALUE"""),"No artifact embedded")</f>
        <v/>
      </c>
      <c r="F319" s="7" t="n"/>
      <c r="G319" s="8" t="n">
        <v>0</v>
      </c>
      <c r="H319" s="8" t="n">
        <v>0</v>
      </c>
      <c r="I319" s="8" t="n">
        <v>1</v>
      </c>
      <c r="J319" s="8" t="n">
        <v>0</v>
      </c>
      <c r="K319" s="9" t="n">
        <v>0</v>
      </c>
      <c r="L319" s="9" t="n">
        <v>1</v>
      </c>
      <c r="M319" s="9" t="n">
        <v>0</v>
      </c>
      <c r="N319" s="9" t="n">
        <v>0</v>
      </c>
      <c r="O319" s="10" t="n">
        <v>0</v>
      </c>
      <c r="P319" s="10" t="n">
        <v>0</v>
      </c>
      <c r="Q319" s="10" t="n">
        <v>0</v>
      </c>
      <c r="R319" s="10" t="n">
        <v>1</v>
      </c>
      <c r="S319" s="10" t="n">
        <v>0</v>
      </c>
    </row>
    <row r="320" ht="409.5" customHeight="1">
      <c r="A320" s="6">
        <f>IFERROR(__xludf.DUMMYFUNCTION("""COMPUTED_VALUE"""),"How do light and temperature affect photosynthesis in plants? - Version A")</f>
        <v/>
      </c>
      <c r="B320" s="6">
        <f>IFERROR(__xludf.DUMMYFUNCTION("""COMPUTED_VALUE"""),"Application")</f>
        <v/>
      </c>
      <c r="C320" s="6">
        <f>IFERROR(__xludf.DUMMYFUNCTION("""COMPUTED_VALUE"""),"Conclusion Tool")</f>
        <v/>
      </c>
      <c r="D320" s="7">
        <f>IFERROR(__xludf.DUMMYFUNCTION("""COMPUTED_VALUE"""),"No task description")</f>
        <v/>
      </c>
      <c r="E32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320" s="7" t="n"/>
      <c r="G320" s="8" t="n">
        <v>0</v>
      </c>
      <c r="H320" s="8" t="n">
        <v>0</v>
      </c>
      <c r="I320" s="8" t="n">
        <v>1</v>
      </c>
      <c r="J320" s="8" t="n">
        <v>0</v>
      </c>
      <c r="K320" s="9" t="n">
        <v>0</v>
      </c>
      <c r="L320" s="9" t="n">
        <v>1</v>
      </c>
      <c r="M320" s="9" t="n">
        <v>0</v>
      </c>
      <c r="N320" s="9" t="n">
        <v>0</v>
      </c>
      <c r="O320" s="10" t="n">
        <v>0</v>
      </c>
      <c r="P320" s="10" t="n">
        <v>0</v>
      </c>
      <c r="Q320" s="10" t="n">
        <v>0</v>
      </c>
      <c r="R320" s="10" t="n">
        <v>1</v>
      </c>
      <c r="S320" s="10" t="n">
        <v>0</v>
      </c>
    </row>
    <row r="321" ht="145" customHeight="1">
      <c r="A321" s="6">
        <f>IFERROR(__xludf.DUMMYFUNCTION("""COMPUTED_VALUE"""),"How do light and temperature affect photosynthesis in plants? - Version A")</f>
        <v/>
      </c>
      <c r="B321" s="6">
        <f>IFERROR(__xludf.DUMMYFUNCTION("""COMPUTED_VALUE"""),"Resource")</f>
        <v/>
      </c>
      <c r="C321" s="6">
        <f>IFERROR(__xludf.DUMMYFUNCTION("""COMPUTED_VALUE"""),"tekst2.graasp")</f>
        <v/>
      </c>
      <c r="D321" s="7">
        <f>IFERROR(__xludf.DUMMYFUNCTION("""COMPUTED_VALUE"""),"&lt;p&gt;&lt;strong&gt;All done? Very good you have now finished with this assignment!&lt;/strong&gt;&lt;/p&gt;&lt;p&gt;&lt;strong&gt;&lt;br&gt;&lt;/strong&gt;&lt;/p&gt;&lt;p&gt;&lt;strong&gt;&lt;br&gt;&lt;/strong&gt;&lt;/p&gt;&lt;p&gt;&lt;strong&gt;&lt;br&gt;&lt;/strong&gt;&lt;/p&gt;")</f>
        <v/>
      </c>
      <c r="E321" s="7">
        <f>IFERROR(__xludf.DUMMYFUNCTION("""COMPUTED_VALUE"""),"No artifact embedded")</f>
        <v/>
      </c>
      <c r="F321" s="7" t="n"/>
      <c r="G321" s="8" t="n">
        <v>0</v>
      </c>
      <c r="H321" s="8" t="n">
        <v>0</v>
      </c>
      <c r="I321" s="8" t="n">
        <v>0</v>
      </c>
      <c r="J321" s="8" t="n">
        <v>0</v>
      </c>
      <c r="K321" s="9" t="n">
        <v>0</v>
      </c>
      <c r="L321" s="9" t="n">
        <v>0</v>
      </c>
      <c r="M321" s="9" t="n">
        <v>0</v>
      </c>
      <c r="N321" s="9" t="n">
        <v>0</v>
      </c>
      <c r="O321" s="10" t="n">
        <v>0</v>
      </c>
      <c r="P321" s="10" t="n">
        <v>0</v>
      </c>
      <c r="Q321" s="10" t="n">
        <v>0</v>
      </c>
      <c r="R321" s="10" t="n">
        <v>0</v>
      </c>
      <c r="S321" s="10" t="n">
        <v>0</v>
      </c>
    </row>
    <row r="322" ht="37" customHeight="1">
      <c r="A322" s="6">
        <f>IFERROR(__xludf.DUMMYFUNCTION("""COMPUTED_VALUE"""),"Transcription &amp; Translation")</f>
        <v/>
      </c>
      <c r="B322" s="6">
        <f>IFERROR(__xludf.DUMMYFUNCTION("""COMPUTED_VALUE"""),"Space")</f>
        <v/>
      </c>
      <c r="C322" s="6">
        <f>IFERROR(__xludf.DUMMYFUNCTION("""COMPUTED_VALUE"""),"Orientation")</f>
        <v/>
      </c>
      <c r="D322" s="7">
        <f>IFERROR(__xludf.DUMMYFUNCTION("""COMPUTED_VALUE"""),"This is the Orientation phase.")</f>
        <v/>
      </c>
      <c r="E322" s="7">
        <f>IFERROR(__xludf.DUMMYFUNCTION("""COMPUTED_VALUE"""),"No artifact embedded")</f>
        <v/>
      </c>
      <c r="F322" s="7" t="n"/>
      <c r="G322" s="8" t="n">
        <v>0</v>
      </c>
      <c r="H322" s="8" t="n">
        <v>0</v>
      </c>
      <c r="I322" s="8" t="n">
        <v>0</v>
      </c>
      <c r="J322" s="8" t="n">
        <v>0</v>
      </c>
      <c r="K322" s="9" t="n">
        <v>0</v>
      </c>
      <c r="L322" s="9" t="n">
        <v>0</v>
      </c>
      <c r="M322" s="9" t="n">
        <v>0</v>
      </c>
      <c r="N322" s="9" t="n">
        <v>0</v>
      </c>
      <c r="O322" s="10" t="n">
        <v>0</v>
      </c>
      <c r="P322" s="10" t="n">
        <v>0</v>
      </c>
      <c r="Q322" s="10" t="n">
        <v>0</v>
      </c>
      <c r="R322" s="10" t="n">
        <v>0</v>
      </c>
      <c r="S322" s="10" t="n">
        <v>0</v>
      </c>
    </row>
    <row r="323" ht="157" customHeight="1">
      <c r="A323" s="6">
        <f>IFERROR(__xludf.DUMMYFUNCTION("""COMPUTED_VALUE"""),"Transcription &amp; Translation")</f>
        <v/>
      </c>
      <c r="B323" s="6">
        <f>IFERROR(__xludf.DUMMYFUNCTION("""COMPUTED_VALUE"""),"Resource")</f>
        <v/>
      </c>
      <c r="C323" s="6">
        <f>IFERROR(__xludf.DUMMYFUNCTION("""COMPUTED_VALUE"""),"Introduction.graasp")</f>
        <v/>
      </c>
      <c r="D323" s="7">
        <f>IFERROR(__xludf.DUMMYFUNCTION("""COMPUTED_VALUE"""),"&lt;p&gt;This is a short investigation in how you deal with the concepts of transcription and translation.&lt;/p&gt;&lt;p&gt;&lt;br&gt;&lt;/p&gt;&lt;p&gt;Please watch the following YouTube video:&lt;/p&gt;")</f>
        <v/>
      </c>
      <c r="E323" s="7">
        <f>IFERROR(__xludf.DUMMYFUNCTION("""COMPUTED_VALUE"""),"No artifact embedded")</f>
        <v/>
      </c>
      <c r="F323" s="7" t="n"/>
      <c r="G323" s="8" t="n">
        <v>1</v>
      </c>
      <c r="H323" s="8" t="n">
        <v>0</v>
      </c>
      <c r="I323" s="8" t="n">
        <v>0</v>
      </c>
      <c r="J323" s="8" t="n">
        <v>0</v>
      </c>
      <c r="K323" s="9" t="n">
        <v>1</v>
      </c>
      <c r="L323" s="9" t="n">
        <v>0</v>
      </c>
      <c r="M323" s="9" t="n">
        <v>0</v>
      </c>
      <c r="N323" s="9" t="n">
        <v>0</v>
      </c>
      <c r="O323" s="10" t="n">
        <v>1</v>
      </c>
      <c r="P323" s="10" t="n">
        <v>0</v>
      </c>
      <c r="Q323" s="10" t="n">
        <v>0</v>
      </c>
      <c r="R323" s="10" t="n">
        <v>0</v>
      </c>
      <c r="S323" s="10" t="n">
        <v>0</v>
      </c>
    </row>
    <row r="324" ht="121" customHeight="1">
      <c r="A324" s="6">
        <f>IFERROR(__xludf.DUMMYFUNCTION("""COMPUTED_VALUE"""),"Transcription &amp; Translation")</f>
        <v/>
      </c>
      <c r="B324" s="6">
        <f>IFERROR(__xludf.DUMMYFUNCTION("""COMPUTED_VALUE"""),"Resource")</f>
        <v/>
      </c>
      <c r="C324" s="6">
        <f>IFERROR(__xludf.DUMMYFUNCTION("""COMPUTED_VALUE"""),"DNA translation and transcription [HD animation]")</f>
        <v/>
      </c>
      <c r="D324" s="7">
        <f>IFERROR(__xludf.DUMMYFUNCTION("""COMPUTED_VALUE"""),"No task description")</f>
        <v/>
      </c>
      <c r="E324" s="7">
        <f>IFERROR(__xludf.DUMMYFUNCTION("""COMPUTED_VALUE"""),"youtube.com: A widely known video-sharing platform where users can watch videos on a vast array of topics, including educational content.")</f>
        <v/>
      </c>
      <c r="F324" s="7" t="n"/>
      <c r="G324" s="8" t="n">
        <v>1</v>
      </c>
      <c r="H324" s="8" t="n">
        <v>0</v>
      </c>
      <c r="I324" s="8" t="n">
        <v>0</v>
      </c>
      <c r="J324" s="8" t="n">
        <v>0</v>
      </c>
      <c r="K324" s="9" t="n">
        <v>1</v>
      </c>
      <c r="L324" s="9" t="n">
        <v>0</v>
      </c>
      <c r="M324" s="9" t="n">
        <v>0</v>
      </c>
      <c r="N324" s="9" t="n">
        <v>0</v>
      </c>
      <c r="O324" s="10" t="n">
        <v>0</v>
      </c>
      <c r="P324" s="10" t="n">
        <v>0</v>
      </c>
      <c r="Q324" s="10" t="n">
        <v>0</v>
      </c>
      <c r="R324" s="10" t="n">
        <v>0</v>
      </c>
      <c r="S324" s="10" t="n">
        <v>0</v>
      </c>
    </row>
    <row r="325" ht="133" customHeight="1">
      <c r="A325" s="6">
        <f>IFERROR(__xludf.DUMMYFUNCTION("""COMPUTED_VALUE"""),"Transcription &amp; Translation")</f>
        <v/>
      </c>
      <c r="B325" s="6">
        <f>IFERROR(__xludf.DUMMYFUNCTION("""COMPUTED_VALUE"""),"Resource")</f>
        <v/>
      </c>
      <c r="C325" s="6">
        <f>IFERROR(__xludf.DUMMYFUNCTION("""COMPUTED_VALUE"""),"Question.graasp")</f>
        <v/>
      </c>
      <c r="D325" s="7">
        <f>IFERROR(__xludf.DUMMYFUNCTION("""COMPUTED_VALUE"""),"&lt;p&gt;In the box below give an explanation of why transcription and translation is so important for life and give a short overview of how these processes work.&lt;/p&gt;")</f>
        <v/>
      </c>
      <c r="E325" s="7">
        <f>IFERROR(__xludf.DUMMYFUNCTION("""COMPUTED_VALUE"""),"No artifact embedded")</f>
        <v/>
      </c>
      <c r="F325" s="7" t="n"/>
      <c r="G325" s="8" t="n">
        <v>0</v>
      </c>
      <c r="H325" s="8" t="n">
        <v>0</v>
      </c>
      <c r="I325" s="8" t="n">
        <v>1</v>
      </c>
      <c r="J325" s="8" t="n">
        <v>0</v>
      </c>
      <c r="K325" s="9" t="n">
        <v>0</v>
      </c>
      <c r="L325" s="9" t="n">
        <v>1</v>
      </c>
      <c r="M325" s="9" t="n">
        <v>0</v>
      </c>
      <c r="N325" s="9" t="n">
        <v>0</v>
      </c>
      <c r="O325" s="10" t="n">
        <v>1</v>
      </c>
      <c r="P325" s="10" t="n">
        <v>0</v>
      </c>
      <c r="Q325" s="10" t="n">
        <v>0</v>
      </c>
      <c r="R325" s="10" t="n">
        <v>0</v>
      </c>
      <c r="S325" s="10" t="n">
        <v>0</v>
      </c>
    </row>
    <row r="326" ht="329" customHeight="1">
      <c r="A326" s="6">
        <f>IFERROR(__xludf.DUMMYFUNCTION("""COMPUTED_VALUE"""),"Transcription &amp; Translation")</f>
        <v/>
      </c>
      <c r="B326" s="6">
        <f>IFERROR(__xludf.DUMMYFUNCTION("""COMPUTED_VALUE"""),"Application")</f>
        <v/>
      </c>
      <c r="C326" s="6">
        <f>IFERROR(__xludf.DUMMYFUNCTION("""COMPUTED_VALUE"""),"Input Box")</f>
        <v/>
      </c>
      <c r="D326" s="7">
        <f>IFERROR(__xludf.DUMMYFUNCTION("""COMPUTED_VALUE"""),"No task description")</f>
        <v/>
      </c>
      <c r="E3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26" s="7" t="n"/>
      <c r="G326" s="8" t="n">
        <v>0</v>
      </c>
      <c r="H326" s="8" t="n">
        <v>0</v>
      </c>
      <c r="I326" s="8" t="n">
        <v>1</v>
      </c>
      <c r="J326" s="8" t="n">
        <v>0</v>
      </c>
      <c r="K326" s="9" t="n">
        <v>0</v>
      </c>
      <c r="L326" s="9" t="n">
        <v>1</v>
      </c>
      <c r="M326" s="9" t="n">
        <v>0</v>
      </c>
      <c r="N326" s="9" t="n">
        <v>0</v>
      </c>
      <c r="O326" s="10" t="n">
        <v>0</v>
      </c>
      <c r="P326" s="10" t="n">
        <v>0</v>
      </c>
      <c r="Q326" s="10" t="n">
        <v>0</v>
      </c>
      <c r="R326" s="10" t="n">
        <v>0</v>
      </c>
      <c r="S326" s="10" t="n">
        <v>0</v>
      </c>
    </row>
    <row r="327" ht="73" customHeight="1">
      <c r="A327" s="6">
        <f>IFERROR(__xludf.DUMMYFUNCTION("""COMPUTED_VALUE"""),"Transcription &amp; Translation")</f>
        <v/>
      </c>
      <c r="B327" s="6">
        <f>IFERROR(__xludf.DUMMYFUNCTION("""COMPUTED_VALUE"""),"Application")</f>
        <v/>
      </c>
      <c r="C327" s="6">
        <f>IFERROR(__xludf.DUMMYFUNCTION("""COMPUTED_VALUE"""),"Teacher Feedback")</f>
        <v/>
      </c>
      <c r="D327" s="7">
        <f>IFERROR(__xludf.DUMMYFUNCTION("""COMPUTED_VALUE"""),"No task description")</f>
        <v/>
      </c>
      <c r="E327" s="7">
        <f>IFERROR(__xludf.DUMMYFUNCTION("""COMPUTED_VALUE"""),"Golabz app/lab: ""&lt;p&gt;A tool where teachers can provide feedback to students&lt;/p&gt;\r\n""")</f>
        <v/>
      </c>
      <c r="F327" s="7" t="n"/>
      <c r="G327" s="8" t="n">
        <v>1</v>
      </c>
      <c r="H327" s="8" t="n">
        <v>0</v>
      </c>
      <c r="I327" s="8" t="n">
        <v>0</v>
      </c>
      <c r="J327" s="8" t="n">
        <v>0</v>
      </c>
      <c r="K327" s="9" t="n">
        <v>1</v>
      </c>
      <c r="L327" s="9" t="n">
        <v>0</v>
      </c>
      <c r="M327" s="9" t="n">
        <v>0</v>
      </c>
      <c r="N327" s="9" t="n">
        <v>0</v>
      </c>
      <c r="O327" s="10" t="n">
        <v>0</v>
      </c>
      <c r="P327" s="10" t="n">
        <v>0</v>
      </c>
      <c r="Q327" s="10" t="n">
        <v>0</v>
      </c>
      <c r="R327" s="10" t="n">
        <v>0</v>
      </c>
      <c r="S327" s="10" t="n">
        <v>1</v>
      </c>
    </row>
    <row r="328" ht="25" customHeight="1">
      <c r="A328" s="6">
        <f>IFERROR(__xludf.DUMMYFUNCTION("""COMPUTED_VALUE"""),"Transcription &amp; Translation")</f>
        <v/>
      </c>
      <c r="B328" s="6">
        <f>IFERROR(__xludf.DUMMYFUNCTION("""COMPUTED_VALUE"""),"Space")</f>
        <v/>
      </c>
      <c r="C328" s="6">
        <f>IFERROR(__xludf.DUMMYFUNCTION("""COMPUTED_VALUE"""),"Learning Outcomes")</f>
        <v/>
      </c>
      <c r="D328" s="7">
        <f>IFERROR(__xludf.DUMMYFUNCTION("""COMPUTED_VALUE"""),"&lt;p&gt;Learning Outcomes.&lt;/p&gt;")</f>
        <v/>
      </c>
      <c r="E328" s="7">
        <f>IFERROR(__xludf.DUMMYFUNCTION("""COMPUTED_VALUE"""),"No artifact embedded")</f>
        <v/>
      </c>
      <c r="F328" s="7" t="n"/>
      <c r="G328" s="8" t="n">
        <v>0</v>
      </c>
      <c r="H328" s="8" t="n">
        <v>0</v>
      </c>
      <c r="I328" s="8" t="n">
        <v>0</v>
      </c>
      <c r="J328" s="8" t="n">
        <v>0</v>
      </c>
      <c r="K328" s="9" t="n">
        <v>0</v>
      </c>
      <c r="L328" s="9" t="n">
        <v>0</v>
      </c>
      <c r="M328" s="9" t="n">
        <v>0</v>
      </c>
      <c r="N328" s="9" t="n">
        <v>0</v>
      </c>
      <c r="O328" s="10" t="n">
        <v>0</v>
      </c>
      <c r="P328" s="10" t="n">
        <v>0</v>
      </c>
      <c r="Q328" s="10" t="n">
        <v>0</v>
      </c>
      <c r="R328" s="10" t="n">
        <v>0</v>
      </c>
      <c r="S328" s="10" t="n">
        <v>0</v>
      </c>
    </row>
    <row r="329" ht="229" customHeight="1">
      <c r="A329" s="6">
        <f>IFERROR(__xludf.DUMMYFUNCTION("""COMPUTED_VALUE"""),"Transcription &amp; Translation")</f>
        <v/>
      </c>
      <c r="B329" s="6">
        <f>IFERROR(__xludf.DUMMYFUNCTION("""COMPUTED_VALUE"""),"Resource")</f>
        <v/>
      </c>
      <c r="C329" s="6">
        <f>IFERROR(__xludf.DUMMYFUNCTION("""COMPUTED_VALUE"""),"Learning Outcomes.graasp")</f>
        <v/>
      </c>
      <c r="D329" s="7">
        <f>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
      </c>
      <c r="E329" s="7">
        <f>IFERROR(__xludf.DUMMYFUNCTION("""COMPUTED_VALUE"""),"No artifact embedded")</f>
        <v/>
      </c>
      <c r="F329" s="7" t="n"/>
      <c r="G329" s="8" t="n">
        <v>1</v>
      </c>
      <c r="H329" s="8" t="n">
        <v>0</v>
      </c>
      <c r="I329" s="8" t="n">
        <v>0</v>
      </c>
      <c r="J329" s="8" t="n">
        <v>0</v>
      </c>
      <c r="K329" s="9" t="n">
        <v>1</v>
      </c>
      <c r="L329" s="9" t="n">
        <v>0</v>
      </c>
      <c r="M329" s="9" t="n">
        <v>0</v>
      </c>
      <c r="N329" s="9" t="n">
        <v>0</v>
      </c>
      <c r="O329" s="10" t="n">
        <v>1</v>
      </c>
      <c r="P329" s="10" t="n">
        <v>0</v>
      </c>
      <c r="Q329" s="10" t="n">
        <v>0</v>
      </c>
      <c r="R329" s="10" t="n">
        <v>0</v>
      </c>
      <c r="S329" s="10" t="n">
        <v>0</v>
      </c>
    </row>
    <row r="330" ht="37" customHeight="1">
      <c r="A330" s="6">
        <f>IFERROR(__xludf.DUMMYFUNCTION("""COMPUTED_VALUE"""),"Transcription &amp; Translation")</f>
        <v/>
      </c>
      <c r="B330" s="6">
        <f>IFERROR(__xludf.DUMMYFUNCTION("""COMPUTED_VALUE"""),"Space")</f>
        <v/>
      </c>
      <c r="C330" s="6">
        <f>IFERROR(__xludf.DUMMYFUNCTION("""COMPUTED_VALUE"""),"Investigation")</f>
        <v/>
      </c>
      <c r="D330" s="7">
        <f>IFERROR(__xludf.DUMMYFUNCTION("""COMPUTED_VALUE"""),"This is the Investigation phase.")</f>
        <v/>
      </c>
      <c r="E330" s="7">
        <f>IFERROR(__xludf.DUMMYFUNCTION("""COMPUTED_VALUE"""),"No artifact embedded")</f>
        <v/>
      </c>
      <c r="F330" s="7" t="n"/>
      <c r="G330" s="8" t="n">
        <v>0</v>
      </c>
      <c r="H330" s="8" t="n">
        <v>0</v>
      </c>
      <c r="I330" s="8" t="n">
        <v>0</v>
      </c>
      <c r="J330" s="8" t="n">
        <v>0</v>
      </c>
      <c r="K330" s="9" t="n">
        <v>0</v>
      </c>
      <c r="L330" s="9" t="n">
        <v>0</v>
      </c>
      <c r="M330" s="9" t="n">
        <v>0</v>
      </c>
      <c r="N330" s="9" t="n">
        <v>0</v>
      </c>
      <c r="O330" s="10" t="n">
        <v>0</v>
      </c>
      <c r="P330" s="10" t="n">
        <v>0</v>
      </c>
      <c r="Q330" s="10" t="n">
        <v>0</v>
      </c>
      <c r="R330" s="10" t="n">
        <v>0</v>
      </c>
      <c r="S330" s="10" t="n">
        <v>0</v>
      </c>
    </row>
    <row r="331" ht="409.5" customHeight="1">
      <c r="A331" s="6">
        <f>IFERROR(__xludf.DUMMYFUNCTION("""COMPUTED_VALUE"""),"Transcription &amp; Translation")</f>
        <v/>
      </c>
      <c r="B331" s="6">
        <f>IFERROR(__xludf.DUMMYFUNCTION("""COMPUTED_VALUE"""),"Application")</f>
        <v/>
      </c>
      <c r="C331" s="6">
        <f>IFERROR(__xludf.DUMMYFUNCTION("""COMPUTED_VALUE"""),"DNA to Protein App")</f>
        <v/>
      </c>
      <c r="D331" s="7">
        <f>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
      </c>
      <c r="E331" s="7">
        <f>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
      </c>
      <c r="F331" s="7" t="n"/>
      <c r="G331" s="8" t="n">
        <v>0</v>
      </c>
      <c r="H331" s="8" t="n">
        <v>0</v>
      </c>
      <c r="I331" s="8" t="n">
        <v>1</v>
      </c>
      <c r="J331" s="8" t="n">
        <v>0</v>
      </c>
      <c r="K331" s="9" t="n">
        <v>0</v>
      </c>
      <c r="L331" s="9" t="n">
        <v>1</v>
      </c>
      <c r="M331" s="9" t="n">
        <v>0</v>
      </c>
      <c r="N331" s="9" t="n">
        <v>0</v>
      </c>
      <c r="O331" s="10" t="n">
        <v>0</v>
      </c>
      <c r="P331" s="10" t="n">
        <v>0</v>
      </c>
      <c r="Q331" s="10" t="n">
        <v>1</v>
      </c>
      <c r="R331" s="10" t="n">
        <v>0</v>
      </c>
      <c r="S331" s="10" t="n">
        <v>0</v>
      </c>
    </row>
    <row r="332" ht="97" customHeight="1">
      <c r="A332" s="6">
        <f>IFERROR(__xludf.DUMMYFUNCTION("""COMPUTED_VALUE"""),"Transcription &amp; Translation")</f>
        <v/>
      </c>
      <c r="B332" s="6">
        <f>IFERROR(__xludf.DUMMYFUNCTION("""COMPUTED_VALUE"""),"Resource")</f>
        <v/>
      </c>
      <c r="C332" s="6">
        <f>IFERROR(__xludf.DUMMYFUNCTION("""COMPUTED_VALUE"""),"question KS4.graasp")</f>
        <v/>
      </c>
      <c r="D332" s="7">
        <f>IFERROR(__xludf.DUMMYFUNCTION("""COMPUTED_VALUE"""),"&lt;p&gt;In the box below write 3 questions on transcription with answers for KS 4 students based on the animation above:&lt;/p&gt;")</f>
        <v/>
      </c>
      <c r="E332" s="7">
        <f>IFERROR(__xludf.DUMMYFUNCTION("""COMPUTED_VALUE"""),"No artifact embedded")</f>
        <v/>
      </c>
      <c r="F332" s="7" t="n"/>
      <c r="G332" s="8" t="n">
        <v>0</v>
      </c>
      <c r="H332" s="8" t="n">
        <v>0</v>
      </c>
      <c r="I332" s="8" t="n">
        <v>1</v>
      </c>
      <c r="J332" s="8" t="n">
        <v>0</v>
      </c>
      <c r="K332" s="9" t="n">
        <v>0</v>
      </c>
      <c r="L332" s="9" t="n">
        <v>1</v>
      </c>
      <c r="M332" s="9" t="n">
        <v>0</v>
      </c>
      <c r="N332" s="9" t="n">
        <v>0</v>
      </c>
      <c r="O332" s="10" t="n">
        <v>0</v>
      </c>
      <c r="P332" s="10" t="n">
        <v>0</v>
      </c>
      <c r="Q332" s="10" t="n">
        <v>0</v>
      </c>
      <c r="R332" s="10" t="n">
        <v>0</v>
      </c>
      <c r="S332" s="10" t="n">
        <v>0</v>
      </c>
    </row>
    <row r="333" ht="329" customHeight="1">
      <c r="A333" s="6">
        <f>IFERROR(__xludf.DUMMYFUNCTION("""COMPUTED_VALUE"""),"Transcription &amp; Translation")</f>
        <v/>
      </c>
      <c r="B333" s="6">
        <f>IFERROR(__xludf.DUMMYFUNCTION("""COMPUTED_VALUE"""),"Application")</f>
        <v/>
      </c>
      <c r="C333" s="6">
        <f>IFERROR(__xludf.DUMMYFUNCTION("""COMPUTED_VALUE"""),"Input Box")</f>
        <v/>
      </c>
      <c r="D333" s="7">
        <f>IFERROR(__xludf.DUMMYFUNCTION("""COMPUTED_VALUE"""),"No task description")</f>
        <v/>
      </c>
      <c r="E3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3" s="7" t="n"/>
      <c r="G333" s="8" t="n">
        <v>0</v>
      </c>
      <c r="H333" s="8" t="n">
        <v>0</v>
      </c>
      <c r="I333" s="8" t="n">
        <v>1</v>
      </c>
      <c r="J333" s="8" t="n">
        <v>0</v>
      </c>
      <c r="K333" s="9" t="n">
        <v>0</v>
      </c>
      <c r="L333" s="9" t="n">
        <v>1</v>
      </c>
      <c r="M333" s="9" t="n">
        <v>0</v>
      </c>
      <c r="N333" s="9" t="n">
        <v>0</v>
      </c>
      <c r="O333" s="10" t="n">
        <v>0</v>
      </c>
      <c r="P333" s="10" t="n">
        <v>0</v>
      </c>
      <c r="Q333" s="10" t="n">
        <v>0</v>
      </c>
      <c r="R333" s="10" t="n">
        <v>0</v>
      </c>
      <c r="S333" s="10" t="n">
        <v>0</v>
      </c>
    </row>
    <row r="334" ht="73" customHeight="1">
      <c r="A334" s="6">
        <f>IFERROR(__xludf.DUMMYFUNCTION("""COMPUTED_VALUE"""),"Transcription &amp; Translation")</f>
        <v/>
      </c>
      <c r="B334" s="6">
        <f>IFERROR(__xludf.DUMMYFUNCTION("""COMPUTED_VALUE"""),"Application")</f>
        <v/>
      </c>
      <c r="C334" s="6">
        <f>IFERROR(__xludf.DUMMYFUNCTION("""COMPUTED_VALUE"""),"Teacher Feedback (1)")</f>
        <v/>
      </c>
      <c r="D334" s="7">
        <f>IFERROR(__xludf.DUMMYFUNCTION("""COMPUTED_VALUE"""),"No task description")</f>
        <v/>
      </c>
      <c r="E334" s="7">
        <f>IFERROR(__xludf.DUMMYFUNCTION("""COMPUTED_VALUE"""),"Golabz app/lab: ""&lt;p&gt;A tool where teachers can provide feedback to students&lt;/p&gt;\r\n""")</f>
        <v/>
      </c>
      <c r="F334" s="7" t="n"/>
      <c r="G334" s="8" t="n">
        <v>1</v>
      </c>
      <c r="H334" s="8" t="n">
        <v>0</v>
      </c>
      <c r="I334" s="8" t="n">
        <v>0</v>
      </c>
      <c r="J334" s="8" t="n">
        <v>0</v>
      </c>
      <c r="K334" s="9" t="n">
        <v>1</v>
      </c>
      <c r="L334" s="9" t="n">
        <v>0</v>
      </c>
      <c r="M334" s="9" t="n">
        <v>0</v>
      </c>
      <c r="N334" s="9" t="n">
        <v>0</v>
      </c>
      <c r="O334" s="10" t="n">
        <v>0</v>
      </c>
      <c r="P334" s="10" t="n">
        <v>0</v>
      </c>
      <c r="Q334" s="10" t="n">
        <v>0</v>
      </c>
      <c r="R334" s="10" t="n">
        <v>0</v>
      </c>
      <c r="S334" s="10" t="n">
        <v>1</v>
      </c>
    </row>
    <row r="335" ht="109" customHeight="1">
      <c r="A335" s="6">
        <f>IFERROR(__xludf.DUMMYFUNCTION("""COMPUTED_VALUE"""),"Transcription &amp; Translation")</f>
        <v/>
      </c>
      <c r="B335" s="6">
        <f>IFERROR(__xludf.DUMMYFUNCTION("""COMPUTED_VALUE"""),"Resource")</f>
        <v/>
      </c>
      <c r="C335" s="6">
        <f>IFERROR(__xludf.DUMMYFUNCTION("""COMPUTED_VALUE"""),"Question KS5.graasp")</f>
        <v/>
      </c>
      <c r="D335" s="7">
        <f>IFERROR(__xludf.DUMMYFUNCTION("""COMPUTED_VALUE"""),"&lt;p&gt;In the box below describe what is missing in the animation that is needed for understanding the process of transcription at KS 5 level:&lt;/p&gt;")</f>
        <v/>
      </c>
      <c r="E335" s="7">
        <f>IFERROR(__xludf.DUMMYFUNCTION("""COMPUTED_VALUE"""),"No artifact embedded")</f>
        <v/>
      </c>
      <c r="F335" s="7" t="n"/>
      <c r="G335" s="8" t="n">
        <v>0</v>
      </c>
      <c r="H335" s="8" t="n">
        <v>0</v>
      </c>
      <c r="I335" s="8" t="n">
        <v>1</v>
      </c>
      <c r="J335" s="8" t="n">
        <v>0</v>
      </c>
      <c r="K335" s="9" t="n">
        <v>0</v>
      </c>
      <c r="L335" s="9" t="n">
        <v>1</v>
      </c>
      <c r="M335" s="9" t="n">
        <v>0</v>
      </c>
      <c r="N335" s="9" t="n">
        <v>0</v>
      </c>
      <c r="O335" s="10" t="n">
        <v>0</v>
      </c>
      <c r="P335" s="10" t="n">
        <v>1</v>
      </c>
      <c r="Q335" s="10" t="n">
        <v>0</v>
      </c>
      <c r="R335" s="10" t="n">
        <v>0</v>
      </c>
      <c r="S335" s="10" t="n">
        <v>0</v>
      </c>
    </row>
    <row r="336" ht="329" customHeight="1">
      <c r="A336" s="6">
        <f>IFERROR(__xludf.DUMMYFUNCTION("""COMPUTED_VALUE"""),"Transcription &amp; Translation")</f>
        <v/>
      </c>
      <c r="B336" s="6">
        <f>IFERROR(__xludf.DUMMYFUNCTION("""COMPUTED_VALUE"""),"Application")</f>
        <v/>
      </c>
      <c r="C336" s="6">
        <f>IFERROR(__xludf.DUMMYFUNCTION("""COMPUTED_VALUE"""),"Input Box (1)")</f>
        <v/>
      </c>
      <c r="D336" s="7">
        <f>IFERROR(__xludf.DUMMYFUNCTION("""COMPUTED_VALUE"""),"No task description")</f>
        <v/>
      </c>
      <c r="E3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6" s="7" t="n"/>
      <c r="G336" s="8" t="n">
        <v>0</v>
      </c>
      <c r="H336" s="8" t="n">
        <v>0</v>
      </c>
      <c r="I336" s="8" t="n">
        <v>1</v>
      </c>
      <c r="J336" s="8" t="n">
        <v>0</v>
      </c>
      <c r="K336" s="9" t="n">
        <v>0</v>
      </c>
      <c r="L336" s="9" t="n">
        <v>1</v>
      </c>
      <c r="M336" s="9" t="n">
        <v>0</v>
      </c>
      <c r="N336" s="9" t="n">
        <v>0</v>
      </c>
      <c r="O336" s="10" t="n">
        <v>0</v>
      </c>
      <c r="P336" s="10" t="n">
        <v>0</v>
      </c>
      <c r="Q336" s="10" t="n">
        <v>0</v>
      </c>
      <c r="R336" s="10" t="n">
        <v>0</v>
      </c>
      <c r="S336" s="10" t="n">
        <v>0</v>
      </c>
    </row>
    <row r="337" ht="73" customHeight="1">
      <c r="A337" s="6">
        <f>IFERROR(__xludf.DUMMYFUNCTION("""COMPUTED_VALUE"""),"Transcription &amp; Translation")</f>
        <v/>
      </c>
      <c r="B337" s="6">
        <f>IFERROR(__xludf.DUMMYFUNCTION("""COMPUTED_VALUE"""),"Application")</f>
        <v/>
      </c>
      <c r="C337" s="6">
        <f>IFERROR(__xludf.DUMMYFUNCTION("""COMPUTED_VALUE"""),"Teacher Feedback")</f>
        <v/>
      </c>
      <c r="D337" s="7">
        <f>IFERROR(__xludf.DUMMYFUNCTION("""COMPUTED_VALUE"""),"No task description")</f>
        <v/>
      </c>
      <c r="E337" s="7">
        <f>IFERROR(__xludf.DUMMYFUNCTION("""COMPUTED_VALUE"""),"Golabz app/lab: ""&lt;p&gt;A tool where teachers can provide feedback to students&lt;/p&gt;\r\n""")</f>
        <v/>
      </c>
      <c r="F337" s="7" t="n"/>
      <c r="G337" s="8" t="n">
        <v>1</v>
      </c>
      <c r="H337" s="8" t="n">
        <v>0</v>
      </c>
      <c r="I337" s="8" t="n">
        <v>0</v>
      </c>
      <c r="J337" s="8" t="n">
        <v>0</v>
      </c>
      <c r="K337" s="9" t="n">
        <v>1</v>
      </c>
      <c r="L337" s="9" t="n">
        <v>0</v>
      </c>
      <c r="M337" s="9" t="n">
        <v>0</v>
      </c>
      <c r="N337" s="9" t="n">
        <v>0</v>
      </c>
      <c r="O337" s="10" t="n">
        <v>0</v>
      </c>
      <c r="P337" s="10" t="n">
        <v>0</v>
      </c>
      <c r="Q337" s="10" t="n">
        <v>0</v>
      </c>
      <c r="R337" s="10" t="n">
        <v>0</v>
      </c>
      <c r="S337" s="10" t="n">
        <v>1</v>
      </c>
    </row>
    <row r="338" ht="97" customHeight="1">
      <c r="A338" s="6">
        <f>IFERROR(__xludf.DUMMYFUNCTION("""COMPUTED_VALUE"""),"Transcription &amp; Translation")</f>
        <v/>
      </c>
      <c r="B338" s="6">
        <f>IFERROR(__xludf.DUMMYFUNCTION("""COMPUTED_VALUE"""),"Resource")</f>
        <v/>
      </c>
      <c r="C338" s="6">
        <f>IFERROR(__xludf.DUMMYFUNCTION("""COMPUTED_VALUE"""),"question ks4 2.graasp")</f>
        <v/>
      </c>
      <c r="D338" s="7">
        <f>IFERROR(__xludf.DUMMYFUNCTION("""COMPUTED_VALUE"""),"&lt;p&gt;In the box below write 3 questions on translation with answers for KS 4 students based on the animation above:&lt;/p&gt;")</f>
        <v/>
      </c>
      <c r="E338" s="7">
        <f>IFERROR(__xludf.DUMMYFUNCTION("""COMPUTED_VALUE"""),"No artifact embedded")</f>
        <v/>
      </c>
      <c r="F338" s="7" t="n"/>
      <c r="G338" s="8" t="n">
        <v>0</v>
      </c>
      <c r="H338" s="8" t="n">
        <v>0</v>
      </c>
      <c r="I338" s="8" t="n">
        <v>1</v>
      </c>
      <c r="J338" s="8" t="n">
        <v>0</v>
      </c>
      <c r="K338" s="9" t="n">
        <v>0</v>
      </c>
      <c r="L338" s="9" t="n">
        <v>1</v>
      </c>
      <c r="M338" s="9" t="n">
        <v>0</v>
      </c>
      <c r="N338" s="9" t="n">
        <v>0</v>
      </c>
      <c r="O338" s="10" t="n">
        <v>0</v>
      </c>
      <c r="P338" s="10" t="n">
        <v>0</v>
      </c>
      <c r="Q338" s="10" t="n">
        <v>0</v>
      </c>
      <c r="R338" s="10" t="n">
        <v>0</v>
      </c>
      <c r="S338" s="10" t="n">
        <v>0</v>
      </c>
    </row>
    <row r="339" ht="329" customHeight="1">
      <c r="A339" s="6">
        <f>IFERROR(__xludf.DUMMYFUNCTION("""COMPUTED_VALUE"""),"Transcription &amp; Translation")</f>
        <v/>
      </c>
      <c r="B339" s="6">
        <f>IFERROR(__xludf.DUMMYFUNCTION("""COMPUTED_VALUE"""),"Application")</f>
        <v/>
      </c>
      <c r="C339" s="6">
        <f>IFERROR(__xludf.DUMMYFUNCTION("""COMPUTED_VALUE"""),"Input Box (2)")</f>
        <v/>
      </c>
      <c r="D339" s="7">
        <f>IFERROR(__xludf.DUMMYFUNCTION("""COMPUTED_VALUE"""),"No task description")</f>
        <v/>
      </c>
      <c r="E33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9" s="7" t="n"/>
      <c r="G339" s="8" t="n">
        <v>0</v>
      </c>
      <c r="H339" s="8" t="n">
        <v>0</v>
      </c>
      <c r="I339" s="8" t="n">
        <v>1</v>
      </c>
      <c r="J339" s="8" t="n">
        <v>0</v>
      </c>
      <c r="K339" s="9" t="n">
        <v>0</v>
      </c>
      <c r="L339" s="9" t="n">
        <v>1</v>
      </c>
      <c r="M339" s="9" t="n">
        <v>0</v>
      </c>
      <c r="N339" s="9" t="n">
        <v>0</v>
      </c>
      <c r="O339" s="10" t="n">
        <v>0</v>
      </c>
      <c r="P339" s="10" t="n">
        <v>0</v>
      </c>
      <c r="Q339" s="10" t="n">
        <v>0</v>
      </c>
      <c r="R339" s="10" t="n">
        <v>0</v>
      </c>
      <c r="S339" s="10" t="n">
        <v>0</v>
      </c>
    </row>
    <row r="340" ht="73" customHeight="1">
      <c r="A340" s="6">
        <f>IFERROR(__xludf.DUMMYFUNCTION("""COMPUTED_VALUE"""),"Transcription &amp; Translation")</f>
        <v/>
      </c>
      <c r="B340" s="6">
        <f>IFERROR(__xludf.DUMMYFUNCTION("""COMPUTED_VALUE"""),"Application")</f>
        <v/>
      </c>
      <c r="C340" s="6">
        <f>IFERROR(__xludf.DUMMYFUNCTION("""COMPUTED_VALUE"""),"Teacher Feedback (2)")</f>
        <v/>
      </c>
      <c r="D340" s="7">
        <f>IFERROR(__xludf.DUMMYFUNCTION("""COMPUTED_VALUE"""),"No task description")</f>
        <v/>
      </c>
      <c r="E340" s="7">
        <f>IFERROR(__xludf.DUMMYFUNCTION("""COMPUTED_VALUE"""),"Golabz app/lab: ""&lt;p&gt;A tool where teachers can provide feedback to students&lt;/p&gt;\r\n""")</f>
        <v/>
      </c>
      <c r="F340" s="7" t="n"/>
      <c r="G340" s="8" t="n">
        <v>1</v>
      </c>
      <c r="H340" s="8" t="n">
        <v>0</v>
      </c>
      <c r="I340" s="8" t="n">
        <v>0</v>
      </c>
      <c r="J340" s="8" t="n">
        <v>0</v>
      </c>
      <c r="K340" s="9" t="n">
        <v>1</v>
      </c>
      <c r="L340" s="9" t="n">
        <v>0</v>
      </c>
      <c r="M340" s="9" t="n">
        <v>0</v>
      </c>
      <c r="N340" s="9" t="n">
        <v>0</v>
      </c>
      <c r="O340" s="10" t="n">
        <v>0</v>
      </c>
      <c r="P340" s="10" t="n">
        <v>0</v>
      </c>
      <c r="Q340" s="10" t="n">
        <v>0</v>
      </c>
      <c r="R340" s="10" t="n">
        <v>0</v>
      </c>
      <c r="S340" s="10" t="n">
        <v>1</v>
      </c>
    </row>
    <row r="341" ht="109" customHeight="1">
      <c r="A341" s="6">
        <f>IFERROR(__xludf.DUMMYFUNCTION("""COMPUTED_VALUE"""),"Transcription &amp; Translation")</f>
        <v/>
      </c>
      <c r="B341" s="6">
        <f>IFERROR(__xludf.DUMMYFUNCTION("""COMPUTED_VALUE"""),"Resource")</f>
        <v/>
      </c>
      <c r="C341" s="6">
        <f>IFERROR(__xludf.DUMMYFUNCTION("""COMPUTED_VALUE"""),"question ks5 2.graasp")</f>
        <v/>
      </c>
      <c r="D341" s="7">
        <f>IFERROR(__xludf.DUMMYFUNCTION("""COMPUTED_VALUE"""),"&lt;p&gt;In the box below describe what is missing in the animation that is needed for understanding the process of translation at KS 5 level:&lt;/p&gt;")</f>
        <v/>
      </c>
      <c r="E341" s="7">
        <f>IFERROR(__xludf.DUMMYFUNCTION("""COMPUTED_VALUE"""),"No artifact embedded")</f>
        <v/>
      </c>
      <c r="F341" s="7" t="n"/>
      <c r="G341" s="8" t="n">
        <v>0</v>
      </c>
      <c r="H341" s="8" t="n">
        <v>0</v>
      </c>
      <c r="I341" s="8" t="n">
        <v>1</v>
      </c>
      <c r="J341" s="8" t="n">
        <v>0</v>
      </c>
      <c r="K341" s="9" t="n">
        <v>0</v>
      </c>
      <c r="L341" s="9" t="n">
        <v>1</v>
      </c>
      <c r="M341" s="9" t="n">
        <v>0</v>
      </c>
      <c r="N341" s="9" t="n">
        <v>0</v>
      </c>
      <c r="O341" s="10" t="n">
        <v>0</v>
      </c>
      <c r="P341" s="10" t="n">
        <v>1</v>
      </c>
      <c r="Q341" s="10" t="n">
        <v>0</v>
      </c>
      <c r="R341" s="10" t="n">
        <v>0</v>
      </c>
      <c r="S341" s="10" t="n">
        <v>0</v>
      </c>
    </row>
    <row r="342" ht="329" customHeight="1">
      <c r="A342" s="6">
        <f>IFERROR(__xludf.DUMMYFUNCTION("""COMPUTED_VALUE"""),"Transcription &amp; Translation")</f>
        <v/>
      </c>
      <c r="B342" s="6">
        <f>IFERROR(__xludf.DUMMYFUNCTION("""COMPUTED_VALUE"""),"Application")</f>
        <v/>
      </c>
      <c r="C342" s="6">
        <f>IFERROR(__xludf.DUMMYFUNCTION("""COMPUTED_VALUE"""),"Input Box (3)")</f>
        <v/>
      </c>
      <c r="D342" s="7">
        <f>IFERROR(__xludf.DUMMYFUNCTION("""COMPUTED_VALUE"""),"No task description")</f>
        <v/>
      </c>
      <c r="E34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2" s="7" t="n"/>
      <c r="G342" s="8" t="n">
        <v>0</v>
      </c>
      <c r="H342" s="8" t="n">
        <v>0</v>
      </c>
      <c r="I342" s="8" t="n">
        <v>1</v>
      </c>
      <c r="J342" s="8" t="n">
        <v>0</v>
      </c>
      <c r="K342" s="9" t="n">
        <v>0</v>
      </c>
      <c r="L342" s="9" t="n">
        <v>1</v>
      </c>
      <c r="M342" s="9" t="n">
        <v>0</v>
      </c>
      <c r="N342" s="9" t="n">
        <v>0</v>
      </c>
      <c r="O342" s="10" t="n">
        <v>0</v>
      </c>
      <c r="P342" s="10" t="n">
        <v>0</v>
      </c>
      <c r="Q342" s="10" t="n">
        <v>0</v>
      </c>
      <c r="R342" s="10" t="n">
        <v>0</v>
      </c>
      <c r="S342" s="10" t="n">
        <v>0</v>
      </c>
    </row>
    <row r="343" ht="73" customHeight="1">
      <c r="A343" s="6">
        <f>IFERROR(__xludf.DUMMYFUNCTION("""COMPUTED_VALUE"""),"Transcription &amp; Translation")</f>
        <v/>
      </c>
      <c r="B343" s="6">
        <f>IFERROR(__xludf.DUMMYFUNCTION("""COMPUTED_VALUE"""),"Application")</f>
        <v/>
      </c>
      <c r="C343" s="6">
        <f>IFERROR(__xludf.DUMMYFUNCTION("""COMPUTED_VALUE"""),"Teacher Feedback (3)")</f>
        <v/>
      </c>
      <c r="D343" s="7">
        <f>IFERROR(__xludf.DUMMYFUNCTION("""COMPUTED_VALUE"""),"No task description")</f>
        <v/>
      </c>
      <c r="E343" s="7">
        <f>IFERROR(__xludf.DUMMYFUNCTION("""COMPUTED_VALUE"""),"Golabz app/lab: ""&lt;p&gt;A tool where teachers can provide feedback to students&lt;/p&gt;\r\n""")</f>
        <v/>
      </c>
      <c r="F343" s="7" t="n"/>
      <c r="G343" s="8" t="n">
        <v>1</v>
      </c>
      <c r="H343" s="8" t="n">
        <v>0</v>
      </c>
      <c r="I343" s="8" t="n">
        <v>0</v>
      </c>
      <c r="J343" s="8" t="n">
        <v>0</v>
      </c>
      <c r="K343" s="9" t="n">
        <v>1</v>
      </c>
      <c r="L343" s="9" t="n">
        <v>0</v>
      </c>
      <c r="M343" s="9" t="n">
        <v>0</v>
      </c>
      <c r="N343" s="9" t="n">
        <v>0</v>
      </c>
      <c r="O343" s="10" t="n">
        <v>0</v>
      </c>
      <c r="P343" s="10" t="n">
        <v>0</v>
      </c>
      <c r="Q343" s="10" t="n">
        <v>0</v>
      </c>
      <c r="R343" s="10" t="n">
        <v>0</v>
      </c>
      <c r="S343" s="10" t="n">
        <v>1</v>
      </c>
    </row>
    <row r="344" ht="37" customHeight="1">
      <c r="A344" s="6">
        <f>IFERROR(__xludf.DUMMYFUNCTION("""COMPUTED_VALUE"""),"Transcription &amp; Translation")</f>
        <v/>
      </c>
      <c r="B344" s="6">
        <f>IFERROR(__xludf.DUMMYFUNCTION("""COMPUTED_VALUE"""),"Space")</f>
        <v/>
      </c>
      <c r="C344" s="6">
        <f>IFERROR(__xludf.DUMMYFUNCTION("""COMPUTED_VALUE"""),"Conclusion")</f>
        <v/>
      </c>
      <c r="D344" s="7">
        <f>IFERROR(__xludf.DUMMYFUNCTION("""COMPUTED_VALUE"""),"This is the Conclusion phase.")</f>
        <v/>
      </c>
      <c r="E344" s="7">
        <f>IFERROR(__xludf.DUMMYFUNCTION("""COMPUTED_VALUE"""),"No artifact embedded")</f>
        <v/>
      </c>
      <c r="F344" s="7" t="n"/>
      <c r="G344" s="8" t="n">
        <v>0</v>
      </c>
      <c r="H344" s="8" t="n">
        <v>0</v>
      </c>
      <c r="I344" s="8" t="n">
        <v>0</v>
      </c>
      <c r="J344" s="8" t="n">
        <v>0</v>
      </c>
      <c r="K344" s="9" t="n">
        <v>0</v>
      </c>
      <c r="L344" s="9" t="n">
        <v>0</v>
      </c>
      <c r="M344" s="9" t="n">
        <v>0</v>
      </c>
      <c r="N344" s="9" t="n">
        <v>0</v>
      </c>
      <c r="O344" s="10" t="n">
        <v>0</v>
      </c>
      <c r="P344" s="10" t="n">
        <v>0</v>
      </c>
      <c r="Q344" s="10" t="n">
        <v>0</v>
      </c>
      <c r="R344" s="10" t="n">
        <v>0</v>
      </c>
      <c r="S344" s="10" t="n">
        <v>0</v>
      </c>
    </row>
    <row r="345" ht="61" customHeight="1">
      <c r="A345" s="6">
        <f>IFERROR(__xludf.DUMMYFUNCTION("""COMPUTED_VALUE"""),"Transcription &amp; Translation")</f>
        <v/>
      </c>
      <c r="B345" s="6">
        <f>IFERROR(__xludf.DUMMYFUNCTION("""COMPUTED_VALUE"""),"Resource")</f>
        <v/>
      </c>
      <c r="C345" s="6">
        <f>IFERROR(__xludf.DUMMYFUNCTION("""COMPUTED_VALUE"""),"Conclusion 1.graasp")</f>
        <v/>
      </c>
      <c r="D345" s="7">
        <f>IFERROR(__xludf.DUMMYFUNCTION("""COMPUTED_VALUE"""),"&lt;p&gt;Write a short conclusion on the main things you have learned today&lt;/p&gt;")</f>
        <v/>
      </c>
      <c r="E345" s="7">
        <f>IFERROR(__xludf.DUMMYFUNCTION("""COMPUTED_VALUE"""),"No artifact embedded")</f>
        <v/>
      </c>
      <c r="F345" s="7" t="n"/>
      <c r="G345" s="8" t="n">
        <v>0</v>
      </c>
      <c r="H345" s="8" t="n">
        <v>0</v>
      </c>
      <c r="I345" s="8" t="n">
        <v>1</v>
      </c>
      <c r="J345" s="8" t="n">
        <v>0</v>
      </c>
      <c r="K345" s="9" t="n">
        <v>0</v>
      </c>
      <c r="L345" s="9" t="n">
        <v>1</v>
      </c>
      <c r="M345" s="9" t="n">
        <v>0</v>
      </c>
      <c r="N345" s="9" t="n">
        <v>0</v>
      </c>
      <c r="O345" s="10" t="n">
        <v>0</v>
      </c>
      <c r="P345" s="10" t="n">
        <v>0</v>
      </c>
      <c r="Q345" s="10" t="n">
        <v>0</v>
      </c>
      <c r="R345" s="10" t="n">
        <v>1</v>
      </c>
      <c r="S345" s="10" t="n">
        <v>0</v>
      </c>
    </row>
    <row r="346" ht="329" customHeight="1">
      <c r="A346" s="6">
        <f>IFERROR(__xludf.DUMMYFUNCTION("""COMPUTED_VALUE"""),"Transcription &amp; Translation")</f>
        <v/>
      </c>
      <c r="B346" s="6">
        <f>IFERROR(__xludf.DUMMYFUNCTION("""COMPUTED_VALUE"""),"Application")</f>
        <v/>
      </c>
      <c r="C346" s="6">
        <f>IFERROR(__xludf.DUMMYFUNCTION("""COMPUTED_VALUE"""),"Input Box")</f>
        <v/>
      </c>
      <c r="D346" s="7">
        <f>IFERROR(__xludf.DUMMYFUNCTION("""COMPUTED_VALUE"""),"No task description")</f>
        <v/>
      </c>
      <c r="E3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6" s="7" t="n"/>
      <c r="G346" s="8" t="n">
        <v>0</v>
      </c>
      <c r="H346" s="8" t="n">
        <v>0</v>
      </c>
      <c r="I346" s="8" t="n">
        <v>1</v>
      </c>
      <c r="J346" s="8" t="n">
        <v>0</v>
      </c>
      <c r="K346" s="9" t="n">
        <v>0</v>
      </c>
      <c r="L346" s="9" t="n">
        <v>1</v>
      </c>
      <c r="M346" s="9" t="n">
        <v>0</v>
      </c>
      <c r="N346" s="9" t="n">
        <v>0</v>
      </c>
      <c r="O346" s="10" t="n">
        <v>0</v>
      </c>
      <c r="P346" s="10" t="n">
        <v>0</v>
      </c>
      <c r="Q346" s="10" t="n">
        <v>0</v>
      </c>
      <c r="R346" s="10" t="n">
        <v>0</v>
      </c>
      <c r="S346" s="10" t="n">
        <v>0</v>
      </c>
    </row>
    <row r="347" ht="73" customHeight="1">
      <c r="A347" s="6">
        <f>IFERROR(__xludf.DUMMYFUNCTION("""COMPUTED_VALUE"""),"Transcription &amp; Translation")</f>
        <v/>
      </c>
      <c r="B347" s="6">
        <f>IFERROR(__xludf.DUMMYFUNCTION("""COMPUTED_VALUE"""),"Application")</f>
        <v/>
      </c>
      <c r="C347" s="6">
        <f>IFERROR(__xludf.DUMMYFUNCTION("""COMPUTED_VALUE"""),"Teacher Feedback")</f>
        <v/>
      </c>
      <c r="D347" s="7">
        <f>IFERROR(__xludf.DUMMYFUNCTION("""COMPUTED_VALUE"""),"No task description")</f>
        <v/>
      </c>
      <c r="E347" s="7">
        <f>IFERROR(__xludf.DUMMYFUNCTION("""COMPUTED_VALUE"""),"Golabz app/lab: ""&lt;p&gt;A tool where teachers can provide feedback to students&lt;/p&gt;\r\n""")</f>
        <v/>
      </c>
      <c r="F347" s="7" t="n"/>
      <c r="G347" s="8" t="n">
        <v>1</v>
      </c>
      <c r="H347" s="8" t="n">
        <v>0</v>
      </c>
      <c r="I347" s="8" t="n">
        <v>0</v>
      </c>
      <c r="J347" s="8" t="n">
        <v>0</v>
      </c>
      <c r="K347" s="9" t="n">
        <v>1</v>
      </c>
      <c r="L347" s="9" t="n">
        <v>0</v>
      </c>
      <c r="M347" s="9" t="n">
        <v>0</v>
      </c>
      <c r="N347" s="9" t="n">
        <v>0</v>
      </c>
      <c r="O347" s="10" t="n">
        <v>0</v>
      </c>
      <c r="P347" s="10" t="n">
        <v>0</v>
      </c>
      <c r="Q347" s="10" t="n">
        <v>0</v>
      </c>
      <c r="R347" s="10" t="n">
        <v>0</v>
      </c>
      <c r="S347" s="10" t="n">
        <v>1</v>
      </c>
    </row>
    <row r="348" ht="37" customHeight="1">
      <c r="A348" s="6">
        <f>IFERROR(__xludf.DUMMYFUNCTION("""COMPUTED_VALUE"""),"Transcription &amp; Translation")</f>
        <v/>
      </c>
      <c r="B348" s="6">
        <f>IFERROR(__xludf.DUMMYFUNCTION("""COMPUTED_VALUE"""),"Space")</f>
        <v/>
      </c>
      <c r="C348" s="6">
        <f>IFERROR(__xludf.DUMMYFUNCTION("""COMPUTED_VALUE"""),"Discussion")</f>
        <v/>
      </c>
      <c r="D348" s="7">
        <f>IFERROR(__xludf.DUMMYFUNCTION("""COMPUTED_VALUE"""),"This is the Discussion phase.")</f>
        <v/>
      </c>
      <c r="E348" s="7">
        <f>IFERROR(__xludf.DUMMYFUNCTION("""COMPUTED_VALUE"""),"No artifact embedded")</f>
        <v/>
      </c>
      <c r="F348" s="7" t="n"/>
      <c r="G348" s="8" t="n">
        <v>0</v>
      </c>
      <c r="H348" s="8" t="n">
        <v>0</v>
      </c>
      <c r="I348" s="8" t="n">
        <v>0</v>
      </c>
      <c r="J348" s="8" t="n">
        <v>0</v>
      </c>
      <c r="K348" s="9" t="n">
        <v>0</v>
      </c>
      <c r="L348" s="9" t="n">
        <v>0</v>
      </c>
      <c r="M348" s="9" t="n">
        <v>0</v>
      </c>
      <c r="N348" s="9" t="n">
        <v>0</v>
      </c>
      <c r="O348" s="10" t="n">
        <v>0</v>
      </c>
      <c r="P348" s="10" t="n">
        <v>0</v>
      </c>
      <c r="Q348" s="10" t="n">
        <v>0</v>
      </c>
      <c r="R348" s="10" t="n">
        <v>0</v>
      </c>
      <c r="S348" s="10" t="n">
        <v>0</v>
      </c>
    </row>
    <row r="349" ht="362" customHeight="1">
      <c r="A349" s="6">
        <f>IFERROR(__xludf.DUMMYFUNCTION("""COMPUTED_VALUE"""),"Transcription &amp; Translation")</f>
        <v/>
      </c>
      <c r="B349" s="6">
        <f>IFERROR(__xludf.DUMMYFUNCTION("""COMPUTED_VALUE"""),"Resource")</f>
        <v/>
      </c>
      <c r="C349" s="6">
        <f>IFERROR(__xludf.DUMMYFUNCTION("""COMPUTED_VALUE"""),"Discussion 1.graasp")</f>
        <v/>
      </c>
      <c r="D349" s="7">
        <f>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
      </c>
      <c r="E349" s="7">
        <f>IFERROR(__xludf.DUMMYFUNCTION("""COMPUTED_VALUE"""),"No artifact embedded")</f>
        <v/>
      </c>
      <c r="F349" s="7" t="n"/>
      <c r="G349" s="8" t="n">
        <v>0</v>
      </c>
      <c r="H349" s="8" t="n">
        <v>0</v>
      </c>
      <c r="I349" s="8" t="n">
        <v>1</v>
      </c>
      <c r="J349" s="8" t="n">
        <v>0</v>
      </c>
      <c r="K349" s="9" t="n">
        <v>0</v>
      </c>
      <c r="L349" s="9" t="n">
        <v>1</v>
      </c>
      <c r="M349" s="9" t="n">
        <v>0</v>
      </c>
      <c r="N349" s="9" t="n">
        <v>0</v>
      </c>
      <c r="O349" s="10" t="n">
        <v>0</v>
      </c>
      <c r="P349" s="10" t="n">
        <v>0</v>
      </c>
      <c r="Q349" s="10" t="n">
        <v>0</v>
      </c>
      <c r="R349" s="10" t="n">
        <v>0</v>
      </c>
      <c r="S349" s="10" t="n">
        <v>1</v>
      </c>
    </row>
    <row r="350" ht="121" customHeight="1">
      <c r="A350" s="6">
        <f>IFERROR(__xludf.DUMMYFUNCTION("""COMPUTED_VALUE"""),"Transcription &amp; Translation")</f>
        <v/>
      </c>
      <c r="B350" s="6">
        <f>IFERROR(__xludf.DUMMYFUNCTION("""COMPUTED_VALUE"""),"Resource")</f>
        <v/>
      </c>
      <c r="C350" s="6">
        <f>IFERROR(__xludf.DUMMYFUNCTION("""COMPUTED_VALUE"""),"Enzyme Function | University Of Surrey")</f>
        <v/>
      </c>
      <c r="D350" s="7">
        <f>IFERROR(__xludf.DUMMYFUNCTION("""COMPUTED_VALUE"""),"No task description")</f>
        <v/>
      </c>
      <c r="E350" s="7">
        <f>IFERROR(__xludf.DUMMYFUNCTION("""COMPUTED_VALUE"""),"youtube.com: A widely known video-sharing platform where users can watch videos on a vast array of topics, including educational content.")</f>
        <v/>
      </c>
      <c r="F350" s="7" t="n"/>
      <c r="G350" s="8" t="n">
        <v>1</v>
      </c>
      <c r="H350" s="8" t="n">
        <v>0</v>
      </c>
      <c r="I350" s="8" t="n">
        <v>0</v>
      </c>
      <c r="J350" s="8" t="n">
        <v>0</v>
      </c>
      <c r="K350" s="9" t="n">
        <v>1</v>
      </c>
      <c r="L350" s="9" t="n">
        <v>0</v>
      </c>
      <c r="M350" s="9" t="n">
        <v>0</v>
      </c>
      <c r="N350" s="9" t="n">
        <v>0</v>
      </c>
      <c r="O350" s="10" t="n">
        <v>0</v>
      </c>
      <c r="P350" s="10" t="n">
        <v>0</v>
      </c>
      <c r="Q350" s="10" t="n">
        <v>0</v>
      </c>
      <c r="R350" s="10" t="n">
        <v>0</v>
      </c>
      <c r="S350" s="10" t="n">
        <v>0</v>
      </c>
    </row>
    <row r="351" ht="329" customHeight="1">
      <c r="A351" s="6">
        <f>IFERROR(__xludf.DUMMYFUNCTION("""COMPUTED_VALUE"""),"Transcription &amp; Translation")</f>
        <v/>
      </c>
      <c r="B351" s="6">
        <f>IFERROR(__xludf.DUMMYFUNCTION("""COMPUTED_VALUE"""),"Application")</f>
        <v/>
      </c>
      <c r="C351" s="6">
        <f>IFERROR(__xludf.DUMMYFUNCTION("""COMPUTED_VALUE"""),"Input Box")</f>
        <v/>
      </c>
      <c r="D351" s="7">
        <f>IFERROR(__xludf.DUMMYFUNCTION("""COMPUTED_VALUE"""),"No task description")</f>
        <v/>
      </c>
      <c r="E3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1" s="7" t="n"/>
      <c r="G351" s="8" t="n">
        <v>0</v>
      </c>
      <c r="H351" s="8" t="n">
        <v>0</v>
      </c>
      <c r="I351" s="8" t="n">
        <v>1</v>
      </c>
      <c r="J351" s="8" t="n">
        <v>0</v>
      </c>
      <c r="K351" s="9" t="n">
        <v>0</v>
      </c>
      <c r="L351" s="9" t="n">
        <v>1</v>
      </c>
      <c r="M351" s="9" t="n">
        <v>0</v>
      </c>
      <c r="N351" s="9" t="n">
        <v>0</v>
      </c>
      <c r="O351" s="10" t="n">
        <v>0</v>
      </c>
      <c r="P351" s="10" t="n">
        <v>0</v>
      </c>
      <c r="Q351" s="10" t="n">
        <v>0</v>
      </c>
      <c r="R351" s="10" t="n">
        <v>0</v>
      </c>
      <c r="S351" s="10" t="n">
        <v>0</v>
      </c>
    </row>
    <row r="352" ht="73" customHeight="1">
      <c r="A352" s="6">
        <f>IFERROR(__xludf.DUMMYFUNCTION("""COMPUTED_VALUE"""),"Transcription &amp; Translation")</f>
        <v/>
      </c>
      <c r="B352" s="6">
        <f>IFERROR(__xludf.DUMMYFUNCTION("""COMPUTED_VALUE"""),"Application")</f>
        <v/>
      </c>
      <c r="C352" s="6">
        <f>IFERROR(__xludf.DUMMYFUNCTION("""COMPUTED_VALUE"""),"Teacher Feedback")</f>
        <v/>
      </c>
      <c r="D352" s="7">
        <f>IFERROR(__xludf.DUMMYFUNCTION("""COMPUTED_VALUE"""),"No task description")</f>
        <v/>
      </c>
      <c r="E352" s="7">
        <f>IFERROR(__xludf.DUMMYFUNCTION("""COMPUTED_VALUE"""),"Golabz app/lab: ""&lt;p&gt;A tool where teachers can provide feedback to students&lt;/p&gt;\r\n""")</f>
        <v/>
      </c>
      <c r="F352" s="7" t="n"/>
      <c r="G352" s="8" t="n">
        <v>1</v>
      </c>
      <c r="H352" s="8" t="n">
        <v>0</v>
      </c>
      <c r="I352" s="8" t="n">
        <v>0</v>
      </c>
      <c r="J352" s="8" t="n">
        <v>0</v>
      </c>
      <c r="K352" s="9" t="n">
        <v>1</v>
      </c>
      <c r="L352" s="9" t="n">
        <v>0</v>
      </c>
      <c r="M352" s="9" t="n">
        <v>0</v>
      </c>
      <c r="N352" s="9" t="n">
        <v>0</v>
      </c>
      <c r="O352" s="10" t="n">
        <v>0</v>
      </c>
      <c r="P352" s="10" t="n">
        <v>0</v>
      </c>
      <c r="Q352" s="10" t="n">
        <v>0</v>
      </c>
      <c r="R352" s="10" t="n">
        <v>0</v>
      </c>
      <c r="S352" s="10" t="n">
        <v>1</v>
      </c>
    </row>
    <row r="353" ht="109" customHeight="1">
      <c r="A353" s="6">
        <f>IFERROR(__xludf.DUMMYFUNCTION("""COMPUTED_VALUE"""),"Transcription &amp; Translation")</f>
        <v/>
      </c>
      <c r="B353" s="6">
        <f>IFERROR(__xludf.DUMMYFUNCTION("""COMPUTED_VALUE"""),"Resource")</f>
        <v/>
      </c>
      <c r="C353" s="6">
        <f>IFERROR(__xludf.DUMMYFUNCTION("""COMPUTED_VALUE"""),"Discussion 2.graasp")</f>
        <v/>
      </c>
      <c r="D353" s="7">
        <f>IFERROR(__xludf.DUMMYFUNCTION("""COMPUTED_VALUE"""),"&lt;p&gt;Discuss the role of transcription and translation in &lt;strong&gt;&lt;em&gt;two&lt;/em&gt;&lt;/strong&gt; other processes within a living organism.&lt;/p&gt;")</f>
        <v/>
      </c>
      <c r="E353" s="7">
        <f>IFERROR(__xludf.DUMMYFUNCTION("""COMPUTED_VALUE"""),"No artifact embedded")</f>
        <v/>
      </c>
      <c r="F353" s="7" t="n"/>
      <c r="G353" s="8" t="n">
        <v>0</v>
      </c>
      <c r="H353" s="8" t="n">
        <v>0</v>
      </c>
      <c r="I353" s="8" t="n">
        <v>1</v>
      </c>
      <c r="J353" s="8" t="n">
        <v>0</v>
      </c>
      <c r="K353" s="9" t="n">
        <v>0</v>
      </c>
      <c r="L353" s="9" t="n">
        <v>1</v>
      </c>
      <c r="M353" s="9" t="n">
        <v>0</v>
      </c>
      <c r="N353" s="9" t="n">
        <v>0</v>
      </c>
      <c r="O353" s="10" t="n">
        <v>0</v>
      </c>
      <c r="P353" s="10" t="n">
        <v>0</v>
      </c>
      <c r="Q353" s="10" t="n">
        <v>0</v>
      </c>
      <c r="R353" s="10" t="n">
        <v>0</v>
      </c>
      <c r="S353" s="10" t="n">
        <v>1</v>
      </c>
    </row>
    <row r="354" ht="329" customHeight="1">
      <c r="A354" s="6">
        <f>IFERROR(__xludf.DUMMYFUNCTION("""COMPUTED_VALUE"""),"Transcription &amp; Translation")</f>
        <v/>
      </c>
      <c r="B354" s="6">
        <f>IFERROR(__xludf.DUMMYFUNCTION("""COMPUTED_VALUE"""),"Application")</f>
        <v/>
      </c>
      <c r="C354" s="6">
        <f>IFERROR(__xludf.DUMMYFUNCTION("""COMPUTED_VALUE"""),"Input Box (1)")</f>
        <v/>
      </c>
      <c r="D354" s="7">
        <f>IFERROR(__xludf.DUMMYFUNCTION("""COMPUTED_VALUE"""),"No task description")</f>
        <v/>
      </c>
      <c r="E35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4" s="7" t="n"/>
      <c r="G354" s="8" t="n">
        <v>0</v>
      </c>
      <c r="H354" s="8" t="n">
        <v>0</v>
      </c>
      <c r="I354" s="8" t="n">
        <v>1</v>
      </c>
      <c r="J354" s="8" t="n">
        <v>0</v>
      </c>
      <c r="K354" s="9" t="n">
        <v>0</v>
      </c>
      <c r="L354" s="9" t="n">
        <v>1</v>
      </c>
      <c r="M354" s="9" t="n">
        <v>0</v>
      </c>
      <c r="N354" s="9" t="n">
        <v>0</v>
      </c>
      <c r="O354" s="10" t="n">
        <v>0</v>
      </c>
      <c r="P354" s="10" t="n">
        <v>0</v>
      </c>
      <c r="Q354" s="10" t="n">
        <v>0</v>
      </c>
      <c r="R354" s="10" t="n">
        <v>0</v>
      </c>
      <c r="S354" s="10" t="n">
        <v>0</v>
      </c>
    </row>
    <row r="355" ht="73" customHeight="1">
      <c r="A355" s="6">
        <f>IFERROR(__xludf.DUMMYFUNCTION("""COMPUTED_VALUE"""),"Transcription &amp; Translation")</f>
        <v/>
      </c>
      <c r="B355" s="6">
        <f>IFERROR(__xludf.DUMMYFUNCTION("""COMPUTED_VALUE"""),"Application")</f>
        <v/>
      </c>
      <c r="C355" s="6">
        <f>IFERROR(__xludf.DUMMYFUNCTION("""COMPUTED_VALUE"""),"Teacher Feedback (1)")</f>
        <v/>
      </c>
      <c r="D355" s="7">
        <f>IFERROR(__xludf.DUMMYFUNCTION("""COMPUTED_VALUE"""),"No task description")</f>
        <v/>
      </c>
      <c r="E355" s="7">
        <f>IFERROR(__xludf.DUMMYFUNCTION("""COMPUTED_VALUE"""),"Golabz app/lab: ""&lt;p&gt;A tool where teachers can provide feedback to students&lt;/p&gt;\r\n""")</f>
        <v/>
      </c>
      <c r="F355" s="7" t="n"/>
      <c r="G355" s="8" t="n">
        <v>1</v>
      </c>
      <c r="H355" s="8" t="n">
        <v>0</v>
      </c>
      <c r="I355" s="8" t="n">
        <v>0</v>
      </c>
      <c r="J355" s="8" t="n">
        <v>0</v>
      </c>
      <c r="K355" s="9" t="n">
        <v>1</v>
      </c>
      <c r="L355" s="9" t="n">
        <v>0</v>
      </c>
      <c r="M355" s="9" t="n">
        <v>0</v>
      </c>
      <c r="N355" s="9" t="n">
        <v>0</v>
      </c>
      <c r="O355" s="10" t="n">
        <v>0</v>
      </c>
      <c r="P355" s="10" t="n">
        <v>0</v>
      </c>
      <c r="Q355" s="10" t="n">
        <v>0</v>
      </c>
      <c r="R355" s="10" t="n">
        <v>0</v>
      </c>
      <c r="S355" s="10" t="n">
        <v>1</v>
      </c>
    </row>
    <row r="356" ht="85" customHeight="1">
      <c r="A356" s="6">
        <f>IFERROR(__xludf.DUMMYFUNCTION("""COMPUTED_VALUE"""),"Managing a Haber Process Plant")</f>
        <v/>
      </c>
      <c r="B356" s="6">
        <f>IFERROR(__xludf.DUMMYFUNCTION("""COMPUTED_VALUE"""),"Space")</f>
        <v/>
      </c>
      <c r="C356" s="6">
        <f>IFERROR(__xludf.DUMMYFUNCTION("""COMPUTED_VALUE"""),"Orientation")</f>
        <v/>
      </c>
      <c r="D356" s="7">
        <f>IFERROR(__xludf.DUMMYFUNCTION("""COMPUTED_VALUE"""),"&lt;p&gt;THE HABER PROCESS - the chemical reaction that feeds the world&lt;/p&gt;")</f>
        <v/>
      </c>
      <c r="E356" s="7">
        <f>IFERROR(__xludf.DUMMYFUNCTION("""COMPUTED_VALUE"""),"No artifact embedded")</f>
        <v/>
      </c>
      <c r="F356" s="7" t="n"/>
      <c r="G356" s="8" t="n">
        <v>0</v>
      </c>
      <c r="H356" s="8" t="n">
        <v>0</v>
      </c>
      <c r="I356" s="8" t="n">
        <v>0</v>
      </c>
      <c r="J356" s="8" t="n">
        <v>0</v>
      </c>
      <c r="K356" s="9" t="n">
        <v>0</v>
      </c>
      <c r="L356" s="9" t="n">
        <v>0</v>
      </c>
      <c r="M356" s="9" t="n">
        <v>0</v>
      </c>
      <c r="N356" s="9" t="n">
        <v>0</v>
      </c>
      <c r="O356" s="10" t="n">
        <v>0</v>
      </c>
      <c r="P356" s="10" t="n">
        <v>0</v>
      </c>
      <c r="Q356" s="10" t="n">
        <v>0</v>
      </c>
      <c r="R356" s="10" t="n">
        <v>0</v>
      </c>
      <c r="S356" s="10" t="n">
        <v>0</v>
      </c>
    </row>
    <row r="357" ht="121" customHeight="1">
      <c r="A357" s="6">
        <f>IFERROR(__xludf.DUMMYFUNCTION("""COMPUTED_VALUE"""),"Managing a Haber Process Plant")</f>
        <v/>
      </c>
      <c r="B357" s="6">
        <f>IFERROR(__xludf.DUMMYFUNCTION("""COMPUTED_VALUE"""),"Resource")</f>
        <v/>
      </c>
      <c r="C357" s="6">
        <f>IFERROR(__xludf.DUMMYFUNCTION("""COMPUTED_VALUE"""),"The chemical reaction that feeds the world - Daniel D. Dulek.mp4")</f>
        <v/>
      </c>
      <c r="D357" s="7">
        <f>IFERROR(__xludf.DUMMYFUNCTION("""COMPUTED_VALUE"""),"No task description")</f>
        <v/>
      </c>
      <c r="E357" s="7">
        <f>IFERROR(__xludf.DUMMYFUNCTION("""COMPUTED_VALUE"""),"video/mp4 – A video file containing moving images and possibly audio, suitable for playback on most modern devices and platforms.")</f>
        <v/>
      </c>
      <c r="F357" s="7" t="n"/>
      <c r="G357" s="8" t="n">
        <v>1</v>
      </c>
      <c r="H357" s="8" t="n">
        <v>0</v>
      </c>
      <c r="I357" s="8" t="n">
        <v>0</v>
      </c>
      <c r="J357" s="8" t="n">
        <v>0</v>
      </c>
      <c r="K357" s="9" t="n">
        <v>1</v>
      </c>
      <c r="L357" s="9" t="n">
        <v>0</v>
      </c>
      <c r="M357" s="9" t="n">
        <v>0</v>
      </c>
      <c r="N357" s="9" t="n">
        <v>0</v>
      </c>
      <c r="O357" s="10" t="n">
        <v>0</v>
      </c>
      <c r="P357" s="10" t="n">
        <v>0</v>
      </c>
      <c r="Q357" s="10" t="n">
        <v>0</v>
      </c>
      <c r="R357" s="10" t="n">
        <v>0</v>
      </c>
      <c r="S357" s="10" t="n">
        <v>0</v>
      </c>
    </row>
    <row r="358" ht="61" customHeight="1">
      <c r="A358" s="6">
        <f>IFERROR(__xludf.DUMMYFUNCTION("""COMPUTED_VALUE"""),"Managing a Haber Process Plant")</f>
        <v/>
      </c>
      <c r="B358" s="6">
        <f>IFERROR(__xludf.DUMMYFUNCTION("""COMPUTED_VALUE"""),"Space")</f>
        <v/>
      </c>
      <c r="C358" s="6">
        <f>IFERROR(__xludf.DUMMYFUNCTION("""COMPUTED_VALUE"""),"Conceptualisation")</f>
        <v/>
      </c>
      <c r="D358" s="7">
        <f>IFERROR(__xludf.DUMMYFUNCTION("""COMPUTED_VALUE"""),"&lt;p&gt;Manage the plant to produce as much ammonia as possible&lt;/p&gt;")</f>
        <v/>
      </c>
      <c r="E358" s="7">
        <f>IFERROR(__xludf.DUMMYFUNCTION("""COMPUTED_VALUE"""),"No artifact embedded")</f>
        <v/>
      </c>
      <c r="F358" s="7" t="n"/>
      <c r="G358" s="8" t="n">
        <v>0</v>
      </c>
      <c r="H358" s="8" t="n">
        <v>1</v>
      </c>
      <c r="I358" s="8" t="n">
        <v>0</v>
      </c>
      <c r="J358" s="8" t="n">
        <v>0</v>
      </c>
      <c r="K358" s="9" t="n">
        <v>1</v>
      </c>
      <c r="L358" s="9" t="n">
        <v>0</v>
      </c>
      <c r="M358" s="9" t="n">
        <v>0</v>
      </c>
      <c r="N358" s="9" t="n">
        <v>0</v>
      </c>
      <c r="O358" s="10" t="n">
        <v>0</v>
      </c>
      <c r="P358" s="10" t="n">
        <v>0</v>
      </c>
      <c r="Q358" s="10" t="n">
        <v>1</v>
      </c>
      <c r="R358" s="10" t="n">
        <v>0</v>
      </c>
      <c r="S358" s="10" t="n">
        <v>0</v>
      </c>
    </row>
    <row r="359" ht="409.5" customHeight="1">
      <c r="A359" s="6">
        <f>IFERROR(__xludf.DUMMYFUNCTION("""COMPUTED_VALUE"""),"Managing a Haber Process Plant")</f>
        <v/>
      </c>
      <c r="B359" s="6">
        <f>IFERROR(__xludf.DUMMYFUNCTION("""COMPUTED_VALUE"""),"Resource")</f>
        <v/>
      </c>
      <c r="C359" s="6">
        <f>IFERROR(__xludf.DUMMYFUNCTION("""COMPUTED_VALUE"""),"Managing the plant.graasp")</f>
        <v/>
      </c>
      <c r="D359" s="7">
        <f>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
      </c>
      <c r="E359" s="7">
        <f>IFERROR(__xludf.DUMMYFUNCTION("""COMPUTED_VALUE"""),"No artifact embedded")</f>
        <v/>
      </c>
      <c r="F359" s="7" t="n"/>
      <c r="G359" s="8" t="n">
        <v>0</v>
      </c>
      <c r="H359" s="8" t="n">
        <v>1</v>
      </c>
      <c r="I359" s="8" t="n">
        <v>0</v>
      </c>
      <c r="J359" s="8" t="n">
        <v>0</v>
      </c>
      <c r="K359" s="9" t="n">
        <v>1</v>
      </c>
      <c r="L359" s="9" t="n">
        <v>0</v>
      </c>
      <c r="M359" s="9" t="n">
        <v>0</v>
      </c>
      <c r="N359" s="9" t="n">
        <v>0</v>
      </c>
      <c r="O359" s="10" t="n">
        <v>0</v>
      </c>
      <c r="P359" s="10" t="n">
        <v>0</v>
      </c>
      <c r="Q359" s="10" t="n">
        <v>1</v>
      </c>
      <c r="R359" s="10" t="n">
        <v>0</v>
      </c>
      <c r="S359" s="10" t="n">
        <v>0</v>
      </c>
    </row>
    <row r="360" ht="61" customHeight="1">
      <c r="A360" s="6">
        <f>IFERROR(__xludf.DUMMYFUNCTION("""COMPUTED_VALUE"""),"Managing a Haber Process Plant")</f>
        <v/>
      </c>
      <c r="B360" s="6">
        <f>IFERROR(__xludf.DUMMYFUNCTION("""COMPUTED_VALUE"""),"Space")</f>
        <v/>
      </c>
      <c r="C360" s="6">
        <f>IFERROR(__xludf.DUMMYFUNCTION("""COMPUTED_VALUE"""),"Investigation")</f>
        <v/>
      </c>
      <c r="D360" s="7">
        <f>IFERROR(__xludf.DUMMYFUNCTION("""COMPUTED_VALUE"""),"&lt;p&gt;Write your hypothesis re the effect of pressure on the yield of ammonia&lt;/p&gt;")</f>
        <v/>
      </c>
      <c r="E360" s="7">
        <f>IFERROR(__xludf.DUMMYFUNCTION("""COMPUTED_VALUE"""),"No artifact embedded")</f>
        <v/>
      </c>
      <c r="F360" s="7" t="n"/>
      <c r="G360" s="8" t="n">
        <v>0</v>
      </c>
      <c r="H360" s="8" t="n">
        <v>0</v>
      </c>
      <c r="I360" s="8" t="n">
        <v>1</v>
      </c>
      <c r="J360" s="8" t="n">
        <v>0</v>
      </c>
      <c r="K360" s="9" t="n">
        <v>0</v>
      </c>
      <c r="L360" s="9" t="n">
        <v>1</v>
      </c>
      <c r="M360" s="9" t="n">
        <v>0</v>
      </c>
      <c r="N360" s="9" t="n">
        <v>0</v>
      </c>
      <c r="O360" s="10" t="n">
        <v>0</v>
      </c>
      <c r="P360" s="10" t="n">
        <v>1</v>
      </c>
      <c r="Q360" s="10" t="n">
        <v>0</v>
      </c>
      <c r="R360" s="10" t="n">
        <v>0</v>
      </c>
      <c r="S360" s="10" t="n">
        <v>0</v>
      </c>
    </row>
    <row r="361" ht="409.5" customHeight="1">
      <c r="A361" s="6">
        <f>IFERROR(__xludf.DUMMYFUNCTION("""COMPUTED_VALUE"""),"Managing a Haber Process Plant")</f>
        <v/>
      </c>
      <c r="B361" s="6">
        <f>IFERROR(__xludf.DUMMYFUNCTION("""COMPUTED_VALUE"""),"Application")</f>
        <v/>
      </c>
      <c r="C361" s="6">
        <f>IFERROR(__xludf.DUMMYFUNCTION("""COMPUTED_VALUE"""),"Hypothesis Scratchpad")</f>
        <v/>
      </c>
      <c r="D361" s="7">
        <f>IFERROR(__xludf.DUMMYFUNCTION("""COMPUTED_VALUE"""),"&lt;p&gt;Write your hypothesis re effect of temperature on the yield of ammonia&lt;/p&gt;")</f>
        <v/>
      </c>
      <c r="E361"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1" s="7" t="n"/>
      <c r="G361" s="8" t="n">
        <v>0</v>
      </c>
      <c r="H361" s="8" t="n">
        <v>0</v>
      </c>
      <c r="I361" s="8" t="n">
        <v>1</v>
      </c>
      <c r="J361" s="8" t="n">
        <v>0</v>
      </c>
      <c r="K361" s="9" t="n">
        <v>0</v>
      </c>
      <c r="L361" s="9" t="n">
        <v>1</v>
      </c>
      <c r="M361" s="9" t="n">
        <v>0</v>
      </c>
      <c r="N361" s="9" t="n">
        <v>0</v>
      </c>
      <c r="O361" s="10" t="n">
        <v>0</v>
      </c>
      <c r="P361" s="10" t="n">
        <v>1</v>
      </c>
      <c r="Q361" s="10" t="n">
        <v>0</v>
      </c>
      <c r="R361" s="10" t="n">
        <v>0</v>
      </c>
      <c r="S361" s="10" t="n">
        <v>0</v>
      </c>
    </row>
    <row r="362" ht="409.5" customHeight="1">
      <c r="A362" s="6">
        <f>IFERROR(__xludf.DUMMYFUNCTION("""COMPUTED_VALUE"""),"Managing a Haber Process Plant")</f>
        <v/>
      </c>
      <c r="B362" s="6">
        <f>IFERROR(__xludf.DUMMYFUNCTION("""COMPUTED_VALUE"""),"Application")</f>
        <v/>
      </c>
      <c r="C362" s="6">
        <f>IFERROR(__xludf.DUMMYFUNCTION("""COMPUTED_VALUE"""),"Hypothesis Scratchpad (1)")</f>
        <v/>
      </c>
      <c r="D362" s="7">
        <f>IFERROR(__xludf.DUMMYFUNCTION("""COMPUTED_VALUE"""),"No task description")</f>
        <v/>
      </c>
      <c r="E36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2" s="7" t="n"/>
      <c r="G362" s="8" t="n">
        <v>0</v>
      </c>
      <c r="H362" s="8" t="n">
        <v>0</v>
      </c>
      <c r="I362" s="8" t="n">
        <v>1</v>
      </c>
      <c r="J362" s="8" t="n">
        <v>0</v>
      </c>
      <c r="K362" s="9" t="n">
        <v>0</v>
      </c>
      <c r="L362" s="9" t="n">
        <v>1</v>
      </c>
      <c r="M362" s="9" t="n">
        <v>0</v>
      </c>
      <c r="N362" s="9" t="n">
        <v>0</v>
      </c>
      <c r="O362" s="10" t="n">
        <v>0</v>
      </c>
      <c r="P362" s="10" t="n">
        <v>1</v>
      </c>
      <c r="Q362" s="10" t="n">
        <v>0</v>
      </c>
      <c r="R362" s="10" t="n">
        <v>0</v>
      </c>
      <c r="S362" s="10" t="n">
        <v>0</v>
      </c>
    </row>
    <row r="363" ht="409.5" customHeight="1">
      <c r="A363" s="6">
        <f>IFERROR(__xludf.DUMMYFUNCTION("""COMPUTED_VALUE"""),"Managing a Haber Process Plant")</f>
        <v/>
      </c>
      <c r="B363" s="6">
        <f>IFERROR(__xludf.DUMMYFUNCTION("""COMPUTED_VALUE"""),"Resource")</f>
        <v/>
      </c>
      <c r="C363" s="6">
        <f>IFERROR(__xludf.DUMMYFUNCTION("""COMPUTED_VALUE"""),"Follow the following instructions to investigate the effect of varying pressure on the yield of ammonia and.graasp")</f>
        <v/>
      </c>
      <c r="D363" s="7">
        <f>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
      </c>
      <c r="E363" s="7">
        <f>IFERROR(__xludf.DUMMYFUNCTION("""COMPUTED_VALUE"""),"No artifact embedded")</f>
        <v/>
      </c>
      <c r="F363" s="7" t="n"/>
      <c r="G363" s="8" t="n">
        <v>0</v>
      </c>
      <c r="H363" s="8" t="n">
        <v>0</v>
      </c>
      <c r="I363" s="8" t="n">
        <v>1</v>
      </c>
      <c r="J363" s="8" t="n">
        <v>0</v>
      </c>
      <c r="K363" s="9" t="n">
        <v>0</v>
      </c>
      <c r="L363" s="9" t="n">
        <v>1</v>
      </c>
      <c r="M363" s="9" t="n">
        <v>0</v>
      </c>
      <c r="N363" s="9" t="n">
        <v>0</v>
      </c>
      <c r="O363" s="10" t="n">
        <v>0</v>
      </c>
      <c r="P363" s="10" t="n">
        <v>0</v>
      </c>
      <c r="Q363" s="10" t="n">
        <v>1</v>
      </c>
      <c r="R363" s="10" t="n">
        <v>0</v>
      </c>
      <c r="S363" s="10" t="n">
        <v>0</v>
      </c>
    </row>
    <row r="364" ht="121" customHeight="1">
      <c r="A364" s="6">
        <f>IFERROR(__xludf.DUMMYFUNCTION("""COMPUTED_VALUE"""),"Managing a Haber Process Plant")</f>
        <v/>
      </c>
      <c r="B364" s="6">
        <f>IFERROR(__xludf.DUMMYFUNCTION("""COMPUTED_VALUE"""),"Resource")</f>
        <v/>
      </c>
      <c r="C364" s="6">
        <f>IFERROR(__xludf.DUMMYFUNCTION("""COMPUTED_VALUE"""),"Haber: Control Panel")</f>
        <v/>
      </c>
      <c r="D364" s="7">
        <f>IFERROR(__xludf.DUMMYFUNCTION("""COMPUTED_VALUE"""),"No task description")</f>
        <v/>
      </c>
      <c r="E364" s="7">
        <f>IFERROR(__xludf.DUMMYFUNCTION("""COMPUTED_VALUE"""),"Artifact from learner.org: Annenberg Learner provides educational resources, such as information on the Haber process in chemistry.")</f>
        <v/>
      </c>
      <c r="F364" s="7" t="n"/>
      <c r="G364" s="8" t="n">
        <v>1</v>
      </c>
      <c r="H364" s="8" t="n">
        <v>0</v>
      </c>
      <c r="I364" s="8" t="n">
        <v>0</v>
      </c>
      <c r="J364" s="8" t="n">
        <v>0</v>
      </c>
      <c r="K364" s="9" t="n">
        <v>1</v>
      </c>
      <c r="L364" s="9" t="n">
        <v>0</v>
      </c>
      <c r="M364" s="9" t="n">
        <v>0</v>
      </c>
      <c r="N364" s="9" t="n">
        <v>0</v>
      </c>
      <c r="O364" s="10" t="n">
        <v>1</v>
      </c>
      <c r="P364" s="10" t="n">
        <v>0</v>
      </c>
      <c r="Q364" s="10" t="n">
        <v>0</v>
      </c>
      <c r="R364" s="10" t="n">
        <v>0</v>
      </c>
      <c r="S364" s="10" t="n">
        <v>0</v>
      </c>
    </row>
    <row r="365" ht="409.5" customHeight="1">
      <c r="A365" s="6">
        <f>IFERROR(__xludf.DUMMYFUNCTION("""COMPUTED_VALUE"""),"Managing a Haber Process Plant")</f>
        <v/>
      </c>
      <c r="B365" s="6">
        <f>IFERROR(__xludf.DUMMYFUNCTION("""COMPUTED_VALUE"""),"Application")</f>
        <v/>
      </c>
      <c r="C365" s="6">
        <f>IFERROR(__xludf.DUMMYFUNCTION("""COMPUTED_VALUE"""),"Table tool")</f>
        <v/>
      </c>
      <c r="D365" s="7">
        <f>IFERROR(__xludf.DUMMYFUNCTION("""COMPUTED_VALUE"""),"&lt;p&gt;Enter your observations re effect of pressure on the %yield of ammonia and time for system to equilibrate at 200, 400 and 600 deg Celsius in the Table below&lt;/p&gt;")</f>
        <v/>
      </c>
      <c r="E36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365" s="7" t="n"/>
      <c r="G365" s="8" t="n">
        <v>0</v>
      </c>
      <c r="H365" s="8" t="n">
        <v>0</v>
      </c>
      <c r="I365" s="8" t="n">
        <v>1</v>
      </c>
      <c r="J365" s="8" t="n">
        <v>0</v>
      </c>
      <c r="K365" s="9" t="n">
        <v>0</v>
      </c>
      <c r="L365" s="9" t="n">
        <v>1</v>
      </c>
      <c r="M365" s="9" t="n">
        <v>0</v>
      </c>
      <c r="N365" s="9" t="n">
        <v>0</v>
      </c>
      <c r="O365" s="10" t="n">
        <v>0</v>
      </c>
      <c r="P365" s="10" t="n">
        <v>0</v>
      </c>
      <c r="Q365" s="10" t="n">
        <v>1</v>
      </c>
      <c r="R365" s="10" t="n">
        <v>0</v>
      </c>
      <c r="S365" s="10" t="n">
        <v>0</v>
      </c>
    </row>
    <row r="366" ht="73" customHeight="1">
      <c r="A366" s="6">
        <f>IFERROR(__xludf.DUMMYFUNCTION("""COMPUTED_VALUE"""),"Managing a Haber Process Plant")</f>
        <v/>
      </c>
      <c r="B366" s="6">
        <f>IFERROR(__xludf.DUMMYFUNCTION("""COMPUTED_VALUE"""),"Space")</f>
        <v/>
      </c>
      <c r="C366" s="6">
        <f>IFERROR(__xludf.DUMMYFUNCTION("""COMPUTED_VALUE"""),"Conclusion")</f>
        <v/>
      </c>
      <c r="D366" s="7">
        <f>IFERROR(__xludf.DUMMYFUNCTION("""COMPUTED_VALUE"""),"&lt;p&gt;Once you have carried out the investigation, you need to analyse your results&lt;/p&gt;")</f>
        <v/>
      </c>
      <c r="E366" s="7">
        <f>IFERROR(__xludf.DUMMYFUNCTION("""COMPUTED_VALUE"""),"No artifact embedded")</f>
        <v/>
      </c>
      <c r="F366" s="7" t="n"/>
      <c r="G366" s="8" t="n">
        <v>0</v>
      </c>
      <c r="H366" s="8" t="n">
        <v>1</v>
      </c>
      <c r="I366" s="8" t="n">
        <v>0</v>
      </c>
      <c r="J366" s="8" t="n">
        <v>0</v>
      </c>
      <c r="K366" s="9" t="n">
        <v>1</v>
      </c>
      <c r="L366" s="9" t="n">
        <v>0</v>
      </c>
      <c r="M366" s="9" t="n">
        <v>0</v>
      </c>
      <c r="N366" s="9" t="n">
        <v>0</v>
      </c>
      <c r="O366" s="10" t="n">
        <v>0</v>
      </c>
      <c r="P366" s="10" t="n">
        <v>0</v>
      </c>
      <c r="Q366" s="10" t="n">
        <v>1</v>
      </c>
      <c r="R366" s="10" t="n">
        <v>0</v>
      </c>
      <c r="S366" s="10" t="n">
        <v>0</v>
      </c>
    </row>
    <row r="367" ht="169" customHeight="1">
      <c r="A367" s="6">
        <f>IFERROR(__xludf.DUMMYFUNCTION("""COMPUTED_VALUE"""),"Managing a Haber Process Plant")</f>
        <v/>
      </c>
      <c r="B367" s="6">
        <f>IFERROR(__xludf.DUMMYFUNCTION("""COMPUTED_VALUE"""),"Application")</f>
        <v/>
      </c>
      <c r="C367" s="6">
        <f>IFERROR(__xludf.DUMMYFUNCTION("""COMPUTED_VALUE"""),"File Drop")</f>
        <v/>
      </c>
      <c r="D367" s="7">
        <f>IFERROR(__xludf.DUMMYFUNCTION("""COMPUTED_VALUE"""),"&lt;p&gt;Analyse your results by plotting a graph of % yield against pressure for the different temperatures investigated. You may either plot your graph freehand or use any computer software of your choice&lt;/p&gt;")</f>
        <v/>
      </c>
      <c r="E367" s="7">
        <f>IFERROR(__xludf.DUMMYFUNCTION("""COMPUTED_VALUE"""),"Golabz app/lab: ""&lt;p&gt;This app allows students to upload files, e.g., assignment and reports, to the Inquiry learning Space. The app also allows teachers to download the uploaded files.&lt;/p&gt;\r\n""")</f>
        <v/>
      </c>
      <c r="F367" s="7" t="n"/>
      <c r="G367" s="8" t="n">
        <v>0</v>
      </c>
      <c r="H367" s="8" t="n">
        <v>0</v>
      </c>
      <c r="I367" s="8" t="n">
        <v>1</v>
      </c>
      <c r="J367" s="8" t="n">
        <v>0</v>
      </c>
      <c r="K367" s="9" t="n">
        <v>0</v>
      </c>
      <c r="L367" s="9" t="n">
        <v>1</v>
      </c>
      <c r="M367" s="9" t="n">
        <v>0</v>
      </c>
      <c r="N367" s="9" t="n">
        <v>0</v>
      </c>
      <c r="O367" s="10" t="n">
        <v>0</v>
      </c>
      <c r="P367" s="10" t="n">
        <v>0</v>
      </c>
      <c r="Q367" s="10" t="n">
        <v>1</v>
      </c>
      <c r="R367" s="10" t="n">
        <v>0</v>
      </c>
      <c r="S367" s="10" t="n">
        <v>0</v>
      </c>
    </row>
    <row r="368" ht="329" customHeight="1">
      <c r="A368" s="6">
        <f>IFERROR(__xludf.DUMMYFUNCTION("""COMPUTED_VALUE"""),"Managing a Haber Process Plant")</f>
        <v/>
      </c>
      <c r="B368" s="6">
        <f>IFERROR(__xludf.DUMMYFUNCTION("""COMPUTED_VALUE"""),"Application")</f>
        <v/>
      </c>
      <c r="C368" s="6">
        <f>IFERROR(__xludf.DUMMYFUNCTION("""COMPUTED_VALUE"""),"Input Box")</f>
        <v/>
      </c>
      <c r="D368" s="7">
        <f>IFERROR(__xludf.DUMMYFUNCTION("""COMPUTED_VALUE"""),"&lt;p&gt;Consult your graph and state which conditions of temperature and pressure give the highest yield of ammonia.&lt;/p&gt;")</f>
        <v/>
      </c>
      <c r="E36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8" s="7" t="n"/>
      <c r="G368" s="8" t="n">
        <v>0</v>
      </c>
      <c r="H368" s="8" t="n">
        <v>0</v>
      </c>
      <c r="I368" s="8" t="n">
        <v>1</v>
      </c>
      <c r="J368" s="8" t="n">
        <v>0</v>
      </c>
      <c r="K368" s="9" t="n">
        <v>0</v>
      </c>
      <c r="L368" s="9" t="n">
        <v>1</v>
      </c>
      <c r="M368" s="9" t="n">
        <v>0</v>
      </c>
      <c r="N368" s="9" t="n">
        <v>0</v>
      </c>
      <c r="O368" s="10" t="n">
        <v>0</v>
      </c>
      <c r="P368" s="10" t="n">
        <v>0</v>
      </c>
      <c r="Q368" s="10" t="n">
        <v>0</v>
      </c>
      <c r="R368" s="10" t="n">
        <v>1</v>
      </c>
      <c r="S368" s="10" t="n">
        <v>0</v>
      </c>
    </row>
    <row r="369" ht="351" customHeight="1">
      <c r="A369" s="6">
        <f>IFERROR(__xludf.DUMMYFUNCTION("""COMPUTED_VALUE"""),"Managing a Haber Process Plant")</f>
        <v/>
      </c>
      <c r="B369" s="6">
        <f>IFERROR(__xludf.DUMMYFUNCTION("""COMPUTED_VALUE"""),"Application")</f>
        <v/>
      </c>
      <c r="C369" s="6">
        <f>IFERROR(__xludf.DUMMYFUNCTION("""COMPUTED_VALUE"""),"Input Box (1)")</f>
        <v/>
      </c>
      <c r="D369" s="7">
        <f>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
      </c>
      <c r="E36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9" s="7" t="n"/>
      <c r="G369" s="8" t="n">
        <v>0</v>
      </c>
      <c r="H369" s="8" t="n">
        <v>0</v>
      </c>
      <c r="I369" s="8" t="n">
        <v>1</v>
      </c>
      <c r="J369" s="8" t="n">
        <v>0</v>
      </c>
      <c r="K369" s="9" t="n">
        <v>0</v>
      </c>
      <c r="L369" s="9" t="n">
        <v>1</v>
      </c>
      <c r="M369" s="9" t="n">
        <v>0</v>
      </c>
      <c r="N369" s="9" t="n">
        <v>0</v>
      </c>
      <c r="O369" s="10" t="n">
        <v>0</v>
      </c>
      <c r="P369" s="10" t="n">
        <v>0</v>
      </c>
      <c r="Q369" s="10" t="n">
        <v>0</v>
      </c>
      <c r="R369" s="10" t="n">
        <v>1</v>
      </c>
      <c r="S369" s="10" t="n">
        <v>0</v>
      </c>
    </row>
    <row r="370" ht="73" customHeight="1">
      <c r="A370" s="6">
        <f>IFERROR(__xludf.DUMMYFUNCTION("""COMPUTED_VALUE"""),"Managing a Haber Process Plant")</f>
        <v/>
      </c>
      <c r="B370" s="6">
        <f>IFERROR(__xludf.DUMMYFUNCTION("""COMPUTED_VALUE"""),"Application")</f>
        <v/>
      </c>
      <c r="C370" s="6">
        <f>IFERROR(__xludf.DUMMYFUNCTION("""COMPUTED_VALUE"""),"Teacher Feedback")</f>
        <v/>
      </c>
      <c r="D370" s="7">
        <f>IFERROR(__xludf.DUMMYFUNCTION("""COMPUTED_VALUE"""),"No task description")</f>
        <v/>
      </c>
      <c r="E370" s="7">
        <f>IFERROR(__xludf.DUMMYFUNCTION("""COMPUTED_VALUE"""),"Golabz app/lab: ""&lt;p&gt;A tool where teachers can provide feedback to students&lt;/p&gt;\r\n""")</f>
        <v/>
      </c>
      <c r="F370" s="7" t="n"/>
      <c r="G370" s="8" t="n">
        <v>1</v>
      </c>
      <c r="H370" s="8" t="n">
        <v>0</v>
      </c>
      <c r="I370" s="8" t="n">
        <v>0</v>
      </c>
      <c r="J370" s="8" t="n">
        <v>0</v>
      </c>
      <c r="K370" s="9" t="n">
        <v>1</v>
      </c>
      <c r="L370" s="9" t="n">
        <v>0</v>
      </c>
      <c r="M370" s="9" t="n">
        <v>0</v>
      </c>
      <c r="N370" s="9" t="n">
        <v>0</v>
      </c>
      <c r="O370" s="10" t="n">
        <v>0</v>
      </c>
      <c r="P370" s="10" t="n">
        <v>0</v>
      </c>
      <c r="Q370" s="10" t="n">
        <v>0</v>
      </c>
      <c r="R370" s="10" t="n">
        <v>0</v>
      </c>
      <c r="S370" s="10" t="n">
        <v>1</v>
      </c>
    </row>
    <row r="371" ht="25" customHeight="1">
      <c r="A371" s="6">
        <f>IFERROR(__xludf.DUMMYFUNCTION("""COMPUTED_VALUE"""),"function of human eye")</f>
        <v/>
      </c>
      <c r="B371" s="6">
        <f>IFERROR(__xludf.DUMMYFUNCTION("""COMPUTED_VALUE"""),"Space")</f>
        <v/>
      </c>
      <c r="C371" s="6">
        <f>IFERROR(__xludf.DUMMYFUNCTION("""COMPUTED_VALUE"""),"engage")</f>
        <v/>
      </c>
      <c r="D371" s="7">
        <f>IFERROR(__xludf.DUMMYFUNCTION("""COMPUTED_VALUE"""),"No task description")</f>
        <v/>
      </c>
      <c r="E371" s="7">
        <f>IFERROR(__xludf.DUMMYFUNCTION("""COMPUTED_VALUE"""),"No artifact embedded")</f>
        <v/>
      </c>
      <c r="F371" s="7" t="n"/>
      <c r="G371" s="8" t="n">
        <v>0</v>
      </c>
      <c r="H371" s="8" t="n">
        <v>0</v>
      </c>
      <c r="I371" s="8" t="n">
        <v>0</v>
      </c>
      <c r="J371" s="8" t="n">
        <v>0</v>
      </c>
      <c r="K371" s="9" t="n">
        <v>0</v>
      </c>
      <c r="L371" s="9" t="n">
        <v>0</v>
      </c>
      <c r="M371" s="9" t="n">
        <v>0</v>
      </c>
      <c r="N371" s="9" t="n">
        <v>0</v>
      </c>
      <c r="O371" s="10" t="n">
        <v>0</v>
      </c>
      <c r="P371" s="10" t="n">
        <v>0</v>
      </c>
      <c r="Q371" s="10" t="n">
        <v>0</v>
      </c>
      <c r="R371" s="10" t="n">
        <v>0</v>
      </c>
      <c r="S371" s="10" t="n">
        <v>0</v>
      </c>
    </row>
    <row r="372" ht="229" customHeight="1">
      <c r="A372" s="6">
        <f>IFERROR(__xludf.DUMMYFUNCTION("""COMPUTED_VALUE"""),"function of human eye")</f>
        <v/>
      </c>
      <c r="B372" s="6">
        <f>IFERROR(__xludf.DUMMYFUNCTION("""COMPUTED_VALUE"""),"Resource")</f>
        <v/>
      </c>
      <c r="C372" s="6">
        <f>IFERROR(__xludf.DUMMYFUNCTION("""COMPUTED_VALUE"""),"human eye.PNG")</f>
        <v/>
      </c>
      <c r="D372" s="7">
        <f>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
      </c>
      <c r="E372" s="7">
        <f>IFERROR(__xludf.DUMMYFUNCTION("""COMPUTED_VALUE"""),"image/png – A high-quality image with support for transparency, often used in design and web applications.")</f>
        <v/>
      </c>
      <c r="F372" s="7" t="n"/>
      <c r="G372" s="8" t="n">
        <v>1</v>
      </c>
      <c r="H372" s="8" t="n">
        <v>0</v>
      </c>
      <c r="I372" s="8" t="n">
        <v>0</v>
      </c>
      <c r="J372" s="8" t="n">
        <v>0</v>
      </c>
      <c r="K372" s="9" t="n">
        <v>1</v>
      </c>
      <c r="L372" s="9" t="n">
        <v>0</v>
      </c>
      <c r="M372" s="9" t="n">
        <v>0</v>
      </c>
      <c r="N372" s="9" t="n">
        <v>0</v>
      </c>
      <c r="O372" s="10" t="n">
        <v>1</v>
      </c>
      <c r="P372" s="10" t="n">
        <v>0</v>
      </c>
      <c r="Q372" s="10" t="n">
        <v>0</v>
      </c>
      <c r="R372" s="10" t="n">
        <v>0</v>
      </c>
      <c r="S372" s="10" t="n">
        <v>0</v>
      </c>
    </row>
    <row r="373" ht="252" customHeight="1">
      <c r="A373" s="6">
        <f>IFERROR(__xludf.DUMMYFUNCTION("""COMPUTED_VALUE"""),"function of human eye")</f>
        <v/>
      </c>
      <c r="B373" s="6">
        <f>IFERROR(__xludf.DUMMYFUNCTION("""COMPUTED_VALUE"""),"Application")</f>
        <v/>
      </c>
      <c r="C373" s="6">
        <f>IFERROR(__xludf.DUMMYFUNCTION("""COMPUTED_VALUE"""),"Quest")</f>
        <v/>
      </c>
      <c r="D373" s="7">
        <f>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
      </c>
      <c r="E373"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373" s="7" t="n"/>
      <c r="G373" s="8" t="n">
        <v>0</v>
      </c>
      <c r="H373" s="8" t="n">
        <v>0</v>
      </c>
      <c r="I373" s="8" t="n">
        <v>1</v>
      </c>
      <c r="J373" s="8" t="n">
        <v>0</v>
      </c>
      <c r="K373" s="9" t="n">
        <v>0</v>
      </c>
      <c r="L373" s="9" t="n">
        <v>1</v>
      </c>
      <c r="M373" s="9" t="n">
        <v>0</v>
      </c>
      <c r="N373" s="9" t="n">
        <v>0</v>
      </c>
      <c r="O373" s="10" t="n">
        <v>1</v>
      </c>
      <c r="P373" s="10" t="n">
        <v>0</v>
      </c>
      <c r="Q373" s="10" t="n">
        <v>0</v>
      </c>
      <c r="R373" s="10" t="n">
        <v>0</v>
      </c>
      <c r="S373" s="10" t="n">
        <v>0</v>
      </c>
    </row>
    <row r="374" ht="329" customHeight="1">
      <c r="A374" s="6">
        <f>IFERROR(__xludf.DUMMYFUNCTION("""COMPUTED_VALUE"""),"function of human eye")</f>
        <v/>
      </c>
      <c r="B374" s="6">
        <f>IFERROR(__xludf.DUMMYFUNCTION("""COMPUTED_VALUE"""),"Application")</f>
        <v/>
      </c>
      <c r="C374" s="6">
        <f>IFERROR(__xludf.DUMMYFUNCTION("""COMPUTED_VALUE"""),"Input Box")</f>
        <v/>
      </c>
      <c r="D374" s="7">
        <f>IFERROR(__xludf.DUMMYFUNCTION("""COMPUTED_VALUE"""),"No task description")</f>
        <v/>
      </c>
      <c r="E37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74" s="7" t="n"/>
      <c r="G374" s="8" t="n">
        <v>0</v>
      </c>
      <c r="H374" s="8" t="n">
        <v>0</v>
      </c>
      <c r="I374" s="8" t="n">
        <v>1</v>
      </c>
      <c r="J374" s="8" t="n">
        <v>0</v>
      </c>
      <c r="K374" s="9" t="n">
        <v>0</v>
      </c>
      <c r="L374" s="9" t="n">
        <v>1</v>
      </c>
      <c r="M374" s="9" t="n">
        <v>0</v>
      </c>
      <c r="N374" s="9" t="n">
        <v>0</v>
      </c>
      <c r="O374" s="10" t="n">
        <v>0</v>
      </c>
      <c r="P374" s="10" t="n">
        <v>0</v>
      </c>
      <c r="Q374" s="10" t="n">
        <v>0</v>
      </c>
      <c r="R374" s="10" t="n">
        <v>0</v>
      </c>
      <c r="S374" s="10" t="n">
        <v>0</v>
      </c>
    </row>
    <row r="375" ht="285" customHeight="1">
      <c r="A375" s="6">
        <f>IFERROR(__xludf.DUMMYFUNCTION("""COMPUTED_VALUE"""),"function of human eye")</f>
        <v/>
      </c>
      <c r="B375" s="6">
        <f>IFERROR(__xludf.DUMMYFUNCTION("""COMPUTED_VALUE"""),"Space")</f>
        <v/>
      </c>
      <c r="C375" s="6">
        <f>IFERROR(__xludf.DUMMYFUNCTION("""COMPUTED_VALUE"""),"explore")</f>
        <v/>
      </c>
      <c r="D375" s="7">
        <f>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
      </c>
      <c r="E375" s="7">
        <f>IFERROR(__xludf.DUMMYFUNCTION("""COMPUTED_VALUE"""),"No artifact embedded")</f>
        <v/>
      </c>
      <c r="F375" s="7" t="n"/>
      <c r="G375" s="8" t="n">
        <v>0</v>
      </c>
      <c r="H375" s="8" t="n">
        <v>1</v>
      </c>
      <c r="I375" s="8" t="n">
        <v>0</v>
      </c>
      <c r="J375" s="8" t="n">
        <v>0</v>
      </c>
      <c r="K375" s="9" t="n">
        <v>1</v>
      </c>
      <c r="L375" s="9" t="n">
        <v>0</v>
      </c>
      <c r="M375" s="9" t="n">
        <v>0</v>
      </c>
      <c r="N375" s="9" t="n">
        <v>0</v>
      </c>
      <c r="O375" s="10" t="n">
        <v>0</v>
      </c>
      <c r="P375" s="10" t="n">
        <v>0</v>
      </c>
      <c r="Q375" s="10" t="n">
        <v>1</v>
      </c>
      <c r="R375" s="10" t="n">
        <v>0</v>
      </c>
      <c r="S375" s="10" t="n">
        <v>0</v>
      </c>
    </row>
    <row r="376" ht="409.5" customHeight="1">
      <c r="A376" s="6">
        <f>IFERROR(__xludf.DUMMYFUNCTION("""COMPUTED_VALUE"""),"function of human eye")</f>
        <v/>
      </c>
      <c r="B376" s="6">
        <f>IFERROR(__xludf.DUMMYFUNCTION("""COMPUTED_VALUE"""),"Resource")</f>
        <v/>
      </c>
      <c r="C376" s="6">
        <f>IFERROR(__xludf.DUMMYFUNCTION("""COMPUTED_VALUE"""),"lab instructions.graasp")</f>
        <v/>
      </c>
      <c r="D376" s="7">
        <f>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
      </c>
      <c r="E376" s="7">
        <f>IFERROR(__xludf.DUMMYFUNCTION("""COMPUTED_VALUE"""),"No artifact embedded")</f>
        <v/>
      </c>
      <c r="F376" s="7" t="n"/>
      <c r="G376" s="8" t="n">
        <v>0</v>
      </c>
      <c r="H376" s="8" t="n">
        <v>0</v>
      </c>
      <c r="I376" s="8" t="n">
        <v>1</v>
      </c>
      <c r="J376" s="8" t="n">
        <v>0</v>
      </c>
      <c r="K376" s="9" t="n">
        <v>0</v>
      </c>
      <c r="L376" s="9" t="n">
        <v>1</v>
      </c>
      <c r="M376" s="9" t="n">
        <v>0</v>
      </c>
      <c r="N376" s="9" t="n">
        <v>0</v>
      </c>
      <c r="O376" s="10" t="n">
        <v>0</v>
      </c>
      <c r="P376" s="10" t="n">
        <v>0</v>
      </c>
      <c r="Q376" s="10" t="n">
        <v>1</v>
      </c>
      <c r="R376" s="10" t="n">
        <v>0</v>
      </c>
      <c r="S376" s="10" t="n">
        <v>0</v>
      </c>
    </row>
    <row r="377" ht="133" customHeight="1">
      <c r="A377" s="6">
        <f>IFERROR(__xludf.DUMMYFUNCTION("""COMPUTED_VALUE"""),"function of human eye")</f>
        <v/>
      </c>
      <c r="B377" s="6">
        <f>IFERROR(__xludf.DUMMYFUNCTION("""COMPUTED_VALUE"""),"Resource")</f>
        <v/>
      </c>
      <c r="C377" s="6">
        <f>IFERROR(__xludf.DUMMYFUNCTION("""COMPUTED_VALUE"""),"KScience - Animations")</f>
        <v/>
      </c>
      <c r="D377" s="7">
        <f>IFERROR(__xludf.DUMMYFUNCTION("""COMPUTED_VALUE"""),"No task description")</f>
        <v/>
      </c>
      <c r="E377" s="7">
        <f>IFERROR(__xludf.DUMMYFUNCTION("""COMPUTED_VALUE"""),"Artifact from kscience.co.uk: A UK-based educational site offering animations and interactive content related to science topics, such as eye function.")</f>
        <v/>
      </c>
      <c r="F377" s="7" t="n"/>
      <c r="G377" s="8" t="n">
        <v>0</v>
      </c>
      <c r="H377" s="8" t="n">
        <v>1</v>
      </c>
      <c r="I377" s="8" t="n">
        <v>0</v>
      </c>
      <c r="J377" s="8" t="n">
        <v>0</v>
      </c>
      <c r="K377" s="9" t="n">
        <v>1</v>
      </c>
      <c r="L377" s="9" t="n">
        <v>0</v>
      </c>
      <c r="M377" s="9" t="n">
        <v>0</v>
      </c>
      <c r="N377" s="9" t="n">
        <v>0</v>
      </c>
      <c r="O377" s="10" t="n">
        <v>0</v>
      </c>
      <c r="P377" s="10" t="n">
        <v>0</v>
      </c>
      <c r="Q377" s="10" t="n">
        <v>0</v>
      </c>
      <c r="R377" s="10" t="n">
        <v>0</v>
      </c>
      <c r="S377" s="10" t="n">
        <v>0</v>
      </c>
    </row>
    <row r="378" ht="395" customHeight="1">
      <c r="A378" s="6">
        <f>IFERROR(__xludf.DUMMYFUNCTION("""COMPUTED_VALUE"""),"function of human eye")</f>
        <v/>
      </c>
      <c r="B378" s="6">
        <f>IFERROR(__xludf.DUMMYFUNCTION("""COMPUTED_VALUE"""),"Application")</f>
        <v/>
      </c>
      <c r="C378" s="6">
        <f>IFERROR(__xludf.DUMMYFUNCTION("""COMPUTED_VALUE"""),"Observation Tool")</f>
        <v/>
      </c>
      <c r="D378" s="7">
        <f>IFERROR(__xludf.DUMMYFUNCTION("""COMPUTED_VALUE"""),"&lt;p&gt;Record your observation &lt;/p&gt;")</f>
        <v/>
      </c>
      <c r="E37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78" s="7" t="n"/>
      <c r="G378" s="8" t="n">
        <v>0</v>
      </c>
      <c r="H378" s="8" t="n">
        <v>0</v>
      </c>
      <c r="I378" s="8" t="n">
        <v>1</v>
      </c>
      <c r="J378" s="8" t="n">
        <v>0</v>
      </c>
      <c r="K378" s="9" t="n">
        <v>0</v>
      </c>
      <c r="L378" s="9" t="n">
        <v>1</v>
      </c>
      <c r="M378" s="9" t="n">
        <v>0</v>
      </c>
      <c r="N378" s="9" t="n">
        <v>0</v>
      </c>
      <c r="O378" s="10" t="n">
        <v>0</v>
      </c>
      <c r="P378" s="10" t="n">
        <v>0</v>
      </c>
      <c r="Q378" s="10" t="n">
        <v>1</v>
      </c>
      <c r="R378" s="10" t="n">
        <v>0</v>
      </c>
      <c r="S378" s="10" t="n">
        <v>0</v>
      </c>
    </row>
    <row r="379" ht="25" customHeight="1">
      <c r="A379" s="6">
        <f>IFERROR(__xludf.DUMMYFUNCTION("""COMPUTED_VALUE"""),"function of human eye")</f>
        <v/>
      </c>
      <c r="B379" s="6">
        <f>IFERROR(__xludf.DUMMYFUNCTION("""COMPUTED_VALUE"""),"Space")</f>
        <v/>
      </c>
      <c r="C379" s="6">
        <f>IFERROR(__xludf.DUMMYFUNCTION("""COMPUTED_VALUE"""),"explain")</f>
        <v/>
      </c>
      <c r="D379" s="7">
        <f>IFERROR(__xludf.DUMMYFUNCTION("""COMPUTED_VALUE"""),"No task description")</f>
        <v/>
      </c>
      <c r="E379" s="7">
        <f>IFERROR(__xludf.DUMMYFUNCTION("""COMPUTED_VALUE"""),"No artifact embedded")</f>
        <v/>
      </c>
      <c r="F379" s="7" t="n"/>
      <c r="G379" s="8" t="n">
        <v>0</v>
      </c>
      <c r="H379" s="8" t="n">
        <v>0</v>
      </c>
      <c r="I379" s="8" t="n">
        <v>0</v>
      </c>
      <c r="J379" s="8" t="n">
        <v>0</v>
      </c>
      <c r="K379" s="9" t="n">
        <v>0</v>
      </c>
      <c r="L379" s="9" t="n">
        <v>0</v>
      </c>
      <c r="M379" s="9" t="n">
        <v>0</v>
      </c>
      <c r="N379" s="9" t="n">
        <v>0</v>
      </c>
      <c r="O379" s="10" t="n">
        <v>0</v>
      </c>
      <c r="P379" s="10" t="n">
        <v>0</v>
      </c>
      <c r="Q379" s="10" t="n">
        <v>0</v>
      </c>
      <c r="R379" s="10" t="n">
        <v>0</v>
      </c>
      <c r="S379" s="10" t="n">
        <v>0</v>
      </c>
    </row>
    <row r="380" ht="229" customHeight="1">
      <c r="A380" s="6">
        <f>IFERROR(__xludf.DUMMYFUNCTION("""COMPUTED_VALUE"""),"function of human eye")</f>
        <v/>
      </c>
      <c r="B380" s="6">
        <f>IFERROR(__xludf.DUMMYFUNCTION("""COMPUTED_VALUE"""),"Resource")</f>
        <v/>
      </c>
      <c r="C380" s="6">
        <f>IFERROR(__xludf.DUMMYFUNCTION("""COMPUTED_VALUE"""),"function of human eye.graasp")</f>
        <v/>
      </c>
      <c r="D380" s="7">
        <f>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
      </c>
      <c r="E380" s="7">
        <f>IFERROR(__xludf.DUMMYFUNCTION("""COMPUTED_VALUE"""),"No artifact embedded")</f>
        <v/>
      </c>
      <c r="F380" s="7" t="n"/>
      <c r="G380" s="8" t="n">
        <v>0</v>
      </c>
      <c r="H380" s="8" t="n">
        <v>0</v>
      </c>
      <c r="I380" s="8" t="n">
        <v>1</v>
      </c>
      <c r="J380" s="8" t="n">
        <v>0</v>
      </c>
      <c r="K380" s="9" t="n">
        <v>0</v>
      </c>
      <c r="L380" s="9" t="n">
        <v>1</v>
      </c>
      <c r="M380" s="9" t="n">
        <v>0</v>
      </c>
      <c r="N380" s="9" t="n">
        <v>0</v>
      </c>
      <c r="O380" s="10" t="n">
        <v>0</v>
      </c>
      <c r="P380" s="10" t="n">
        <v>0</v>
      </c>
      <c r="Q380" s="10" t="n">
        <v>0</v>
      </c>
      <c r="R380" s="10" t="n">
        <v>1</v>
      </c>
      <c r="S380" s="10" t="n">
        <v>0</v>
      </c>
    </row>
    <row r="381" ht="329" customHeight="1">
      <c r="A381" s="6">
        <f>IFERROR(__xludf.DUMMYFUNCTION("""COMPUTED_VALUE"""),"function of human eye")</f>
        <v/>
      </c>
      <c r="B381" s="6">
        <f>IFERROR(__xludf.DUMMYFUNCTION("""COMPUTED_VALUE"""),"Application")</f>
        <v/>
      </c>
      <c r="C381" s="6">
        <f>IFERROR(__xludf.DUMMYFUNCTION("""COMPUTED_VALUE"""),"Input Box")</f>
        <v/>
      </c>
      <c r="D381" s="7">
        <f>IFERROR(__xludf.DUMMYFUNCTION("""COMPUTED_VALUE"""),"No task description")</f>
        <v/>
      </c>
      <c r="E3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81" s="7" t="n"/>
      <c r="G381" s="8" t="n">
        <v>0</v>
      </c>
      <c r="H381" s="8" t="n">
        <v>0</v>
      </c>
      <c r="I381" s="8" t="n">
        <v>1</v>
      </c>
      <c r="J381" s="8" t="n">
        <v>0</v>
      </c>
      <c r="K381" s="9" t="n">
        <v>0</v>
      </c>
      <c r="L381" s="9" t="n">
        <v>1</v>
      </c>
      <c r="M381" s="9" t="n">
        <v>0</v>
      </c>
      <c r="N381" s="9" t="n">
        <v>0</v>
      </c>
      <c r="O381" s="10" t="n">
        <v>0</v>
      </c>
      <c r="P381" s="10" t="n">
        <v>0</v>
      </c>
      <c r="Q381" s="10" t="n">
        <v>0</v>
      </c>
      <c r="R381" s="10" t="n">
        <v>0</v>
      </c>
      <c r="S381" s="10" t="n">
        <v>0</v>
      </c>
    </row>
    <row r="382" ht="25" customHeight="1">
      <c r="A382" s="6">
        <f>IFERROR(__xludf.DUMMYFUNCTION("""COMPUTED_VALUE"""),"function of human eye")</f>
        <v/>
      </c>
      <c r="B382" s="6">
        <f>IFERROR(__xludf.DUMMYFUNCTION("""COMPUTED_VALUE"""),"Space")</f>
        <v/>
      </c>
      <c r="C382" s="6">
        <f>IFERROR(__xludf.DUMMYFUNCTION("""COMPUTED_VALUE"""),"elaborate")</f>
        <v/>
      </c>
      <c r="D382" s="7">
        <f>IFERROR(__xludf.DUMMYFUNCTION("""COMPUTED_VALUE"""),"No task description")</f>
        <v/>
      </c>
      <c r="E382" s="7">
        <f>IFERROR(__xludf.DUMMYFUNCTION("""COMPUTED_VALUE"""),"No artifact embedded")</f>
        <v/>
      </c>
      <c r="F382" s="7" t="n"/>
      <c r="G382" s="8" t="n">
        <v>0</v>
      </c>
      <c r="H382" s="8" t="n">
        <v>0</v>
      </c>
      <c r="I382" s="8" t="n">
        <v>0</v>
      </c>
      <c r="J382" s="8" t="n">
        <v>0</v>
      </c>
      <c r="K382" s="9" t="n">
        <v>0</v>
      </c>
      <c r="L382" s="9" t="n">
        <v>0</v>
      </c>
      <c r="M382" s="9" t="n">
        <v>0</v>
      </c>
      <c r="N382" s="9" t="n">
        <v>0</v>
      </c>
      <c r="O382" s="10" t="n">
        <v>0</v>
      </c>
      <c r="P382" s="10" t="n">
        <v>0</v>
      </c>
      <c r="Q382" s="10" t="n">
        <v>0</v>
      </c>
      <c r="R382" s="10" t="n">
        <v>0</v>
      </c>
      <c r="S382" s="10" t="n">
        <v>0</v>
      </c>
    </row>
    <row r="383" ht="229" customHeight="1">
      <c r="A383" s="6">
        <f>IFERROR(__xludf.DUMMYFUNCTION("""COMPUTED_VALUE"""),"function of human eye")</f>
        <v/>
      </c>
      <c r="B383" s="6">
        <f>IFERROR(__xludf.DUMMYFUNCTION("""COMPUTED_VALUE"""),"Resource")</f>
        <v/>
      </c>
      <c r="C383" s="6">
        <f>IFERROR(__xludf.DUMMYFUNCTION("""COMPUTED_VALUE"""),"How human eye functions.graasp")</f>
        <v/>
      </c>
      <c r="D383" s="7">
        <f>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
      </c>
      <c r="E383" s="7">
        <f>IFERROR(__xludf.DUMMYFUNCTION("""COMPUTED_VALUE"""),"No artifact embedded")</f>
        <v/>
      </c>
      <c r="F383" s="7" t="n"/>
      <c r="G383" s="8" t="n">
        <v>1</v>
      </c>
      <c r="H383" s="8" t="n">
        <v>0</v>
      </c>
      <c r="I383" s="8" t="n">
        <v>0</v>
      </c>
      <c r="J383" s="8" t="n">
        <v>0</v>
      </c>
      <c r="K383" s="9" t="n">
        <v>1</v>
      </c>
      <c r="L383" s="9" t="n">
        <v>0</v>
      </c>
      <c r="M383" s="9" t="n">
        <v>0</v>
      </c>
      <c r="N383" s="9" t="n">
        <v>0</v>
      </c>
      <c r="O383" s="10" t="n">
        <v>1</v>
      </c>
      <c r="P383" s="10" t="n">
        <v>0</v>
      </c>
      <c r="Q383" s="10" t="n">
        <v>0</v>
      </c>
      <c r="R383" s="10" t="n">
        <v>0</v>
      </c>
      <c r="S383" s="10" t="n">
        <v>0</v>
      </c>
    </row>
    <row r="384" ht="121" customHeight="1">
      <c r="A384" s="6">
        <f>IFERROR(__xludf.DUMMYFUNCTION("""COMPUTED_VALUE"""),"function of human eye")</f>
        <v/>
      </c>
      <c r="B384" s="6">
        <f>IFERROR(__xludf.DUMMYFUNCTION("""COMPUTED_VALUE"""),"Resource")</f>
        <v/>
      </c>
      <c r="C384" s="6">
        <f>IFERROR(__xludf.DUMMYFUNCTION("""COMPUTED_VALUE"""),"human  eye structure.PNG")</f>
        <v/>
      </c>
      <c r="D384" s="7">
        <f>IFERROR(__xludf.DUMMYFUNCTION("""COMPUTED_VALUE"""),"Vmeous Humor Aqueous Humor Clliary Muscxe Eprtnelrum Cornea 'Pun Iris EYElashes Kenna Fovea Lens Optic Nerve Eyelid Orbital Muscles")</f>
        <v/>
      </c>
      <c r="E384" s="7">
        <f>IFERROR(__xludf.DUMMYFUNCTION("""COMPUTED_VALUE"""),"image/png – A high-quality image with support for transparency, often used in design and web applications.")</f>
        <v/>
      </c>
      <c r="F384" s="7" t="n"/>
      <c r="G384" s="8" t="n">
        <v>1</v>
      </c>
      <c r="H384" s="8" t="n">
        <v>0</v>
      </c>
      <c r="I384" s="8" t="n">
        <v>0</v>
      </c>
      <c r="J384" s="8" t="n">
        <v>0</v>
      </c>
      <c r="K384" s="9" t="n">
        <v>1</v>
      </c>
      <c r="L384" s="9" t="n">
        <v>0</v>
      </c>
      <c r="M384" s="9" t="n">
        <v>0</v>
      </c>
      <c r="N384" s="9" t="n">
        <v>0</v>
      </c>
      <c r="O384" s="10" t="n">
        <v>0</v>
      </c>
      <c r="P384" s="10" t="n">
        <v>0</v>
      </c>
      <c r="Q384" s="10" t="n">
        <v>0</v>
      </c>
      <c r="R384" s="10" t="n">
        <v>0</v>
      </c>
      <c r="S384" s="10" t="n">
        <v>0</v>
      </c>
    </row>
    <row r="385" ht="362" customHeight="1">
      <c r="A385" s="6">
        <f>IFERROR(__xludf.DUMMYFUNCTION("""COMPUTED_VALUE"""),"function of human eye")</f>
        <v/>
      </c>
      <c r="B385" s="6">
        <f>IFERROR(__xludf.DUMMYFUNCTION("""COMPUTED_VALUE"""),"Resource")</f>
        <v/>
      </c>
      <c r="C385" s="6">
        <f>IFERROR(__xludf.DUMMYFUNCTION("""COMPUTED_VALUE"""),"human eye is like a camera.graasp")</f>
        <v/>
      </c>
      <c r="D385" s="7">
        <f>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
      </c>
      <c r="E385" s="7">
        <f>IFERROR(__xludf.DUMMYFUNCTION("""COMPUTED_VALUE"""),"No artifact embedded")</f>
        <v/>
      </c>
      <c r="F385" s="7" t="n"/>
      <c r="G385" s="8" t="n">
        <v>1</v>
      </c>
      <c r="H385" s="8" t="n">
        <v>0</v>
      </c>
      <c r="I385" s="8" t="n">
        <v>0</v>
      </c>
      <c r="J385" s="8" t="n">
        <v>0</v>
      </c>
      <c r="K385" s="9" t="n">
        <v>1</v>
      </c>
      <c r="L385" s="9" t="n">
        <v>0</v>
      </c>
      <c r="M385" s="9" t="n">
        <v>0</v>
      </c>
      <c r="N385" s="9" t="n">
        <v>0</v>
      </c>
      <c r="O385" s="10" t="n">
        <v>1</v>
      </c>
      <c r="P385" s="10" t="n">
        <v>0</v>
      </c>
      <c r="Q385" s="10" t="n">
        <v>0</v>
      </c>
      <c r="R385" s="10" t="n">
        <v>0</v>
      </c>
      <c r="S385" s="10" t="n">
        <v>0</v>
      </c>
    </row>
    <row r="386" ht="97" customHeight="1">
      <c r="A386" s="6">
        <f>IFERROR(__xludf.DUMMYFUNCTION("""COMPUTED_VALUE"""),"function of human eye")</f>
        <v/>
      </c>
      <c r="B386" s="6">
        <f>IFERROR(__xludf.DUMMYFUNCTION("""COMPUTED_VALUE"""),"Resource")</f>
        <v/>
      </c>
      <c r="C386" s="6">
        <f>IFERROR(__xludf.DUMMYFUNCTION("""COMPUTED_VALUE"""),"Camera.PNG")</f>
        <v/>
      </c>
      <c r="D386" s="7">
        <f>IFERROR(__xludf.DUMMYFUNCTION("""COMPUTED_VALUE"""),", rsznurz _ '\ Lem _ 7 7 7 Slick mm!")</f>
        <v/>
      </c>
      <c r="E386" s="7">
        <f>IFERROR(__xludf.DUMMYFUNCTION("""COMPUTED_VALUE"""),"image/png – A high-quality image with support for transparency, often used in design and web applications.")</f>
        <v/>
      </c>
      <c r="F386" s="7" t="n"/>
      <c r="G386" s="8" t="n">
        <v>1</v>
      </c>
      <c r="H386" s="8" t="n">
        <v>0</v>
      </c>
      <c r="I386" s="8" t="n">
        <v>0</v>
      </c>
      <c r="J386" s="8" t="n">
        <v>0</v>
      </c>
      <c r="K386" s="9" t="n">
        <v>1</v>
      </c>
      <c r="L386" s="9" t="n">
        <v>0</v>
      </c>
      <c r="M386" s="9" t="n">
        <v>0</v>
      </c>
      <c r="N386" s="9" t="n">
        <v>0</v>
      </c>
      <c r="O386" s="10" t="n">
        <v>0</v>
      </c>
      <c r="P386" s="10" t="n">
        <v>0</v>
      </c>
      <c r="Q386" s="10" t="n">
        <v>0</v>
      </c>
      <c r="R386" s="10" t="n">
        <v>0</v>
      </c>
      <c r="S386" s="10" t="n">
        <v>0</v>
      </c>
    </row>
    <row r="387" ht="409.5" customHeight="1">
      <c r="A387" s="6">
        <f>IFERROR(__xludf.DUMMYFUNCTION("""COMPUTED_VALUE"""),"function of human eye")</f>
        <v/>
      </c>
      <c r="B387" s="6">
        <f>IFERROR(__xludf.DUMMYFUNCTION("""COMPUTED_VALUE"""),"Resource")</f>
        <v/>
      </c>
      <c r="C387" s="6">
        <f>IFERROR(__xludf.DUMMYFUNCTION("""COMPUTED_VALUE"""),"human eye is like the camera.graasp")</f>
        <v/>
      </c>
      <c r="D387" s="7">
        <f>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
      </c>
      <c r="E387" s="7">
        <f>IFERROR(__xludf.DUMMYFUNCTION("""COMPUTED_VALUE"""),"No artifact embedded")</f>
        <v/>
      </c>
      <c r="F387" s="7" t="n"/>
      <c r="G387" s="8" t="n">
        <v>1</v>
      </c>
      <c r="H387" s="8" t="n">
        <v>0</v>
      </c>
      <c r="I387" s="8" t="n">
        <v>0</v>
      </c>
      <c r="J387" s="8" t="n">
        <v>0</v>
      </c>
      <c r="K387" s="9" t="n">
        <v>1</v>
      </c>
      <c r="L387" s="9" t="n">
        <v>0</v>
      </c>
      <c r="M387" s="9" t="n">
        <v>0</v>
      </c>
      <c r="N387" s="9" t="n">
        <v>0</v>
      </c>
      <c r="O387" s="10" t="n">
        <v>1</v>
      </c>
      <c r="P387" s="10" t="n">
        <v>0</v>
      </c>
      <c r="Q387" s="10" t="n">
        <v>0</v>
      </c>
      <c r="R387" s="10" t="n">
        <v>0</v>
      </c>
      <c r="S387" s="10" t="n">
        <v>0</v>
      </c>
    </row>
    <row r="388" ht="37" customHeight="1">
      <c r="A388" s="6">
        <f>IFERROR(__xludf.DUMMYFUNCTION("""COMPUTED_VALUE"""),"function of human eye")</f>
        <v/>
      </c>
      <c r="B388" s="6">
        <f>IFERROR(__xludf.DUMMYFUNCTION("""COMPUTED_VALUE"""),"Space")</f>
        <v/>
      </c>
      <c r="C388" s="6">
        <f>IFERROR(__xludf.DUMMYFUNCTION("""COMPUTED_VALUE"""),"evaluate")</f>
        <v/>
      </c>
      <c r="D388" s="7">
        <f>IFERROR(__xludf.DUMMYFUNCTION("""COMPUTED_VALUE"""),"&lt;p&gt;Evaluate your self after learning&lt;/p&gt;")</f>
        <v/>
      </c>
      <c r="E388" s="7">
        <f>IFERROR(__xludf.DUMMYFUNCTION("""COMPUTED_VALUE"""),"No artifact embedded")</f>
        <v/>
      </c>
      <c r="F388" s="7" t="n"/>
      <c r="G388" s="8" t="n">
        <v>0</v>
      </c>
      <c r="H388" s="8" t="n">
        <v>1</v>
      </c>
      <c r="I388" s="8" t="n">
        <v>0</v>
      </c>
      <c r="J388" s="8" t="n">
        <v>0</v>
      </c>
      <c r="K388" s="9" t="n">
        <v>1</v>
      </c>
      <c r="L388" s="9" t="n">
        <v>0</v>
      </c>
      <c r="M388" s="9" t="n">
        <v>0</v>
      </c>
      <c r="N388" s="9" t="n">
        <v>0</v>
      </c>
      <c r="O388" s="10" t="n">
        <v>0</v>
      </c>
      <c r="P388" s="10" t="n">
        <v>0</v>
      </c>
      <c r="Q388" s="10" t="n">
        <v>0</v>
      </c>
      <c r="R388" s="10" t="n">
        <v>0</v>
      </c>
      <c r="S388" s="10" t="n">
        <v>1</v>
      </c>
    </row>
    <row r="389" ht="121" customHeight="1">
      <c r="A389" s="6">
        <f>IFERROR(__xludf.DUMMYFUNCTION("""COMPUTED_VALUE"""),"function of human eye")</f>
        <v/>
      </c>
      <c r="B389" s="6">
        <f>IFERROR(__xludf.DUMMYFUNCTION("""COMPUTED_VALUE"""),"Resource")</f>
        <v/>
      </c>
      <c r="C389" s="6">
        <f>IFERROR(__xludf.DUMMYFUNCTION("""COMPUTED_VALUE"""),"KScience - Animations")</f>
        <v/>
      </c>
      <c r="D389" s="7">
        <f>IFERROR(__xludf.DUMMYFUNCTION("""COMPUTED_VALUE"""),"No task description")</f>
        <v/>
      </c>
      <c r="E389" s="7">
        <f>IFERROR(__xludf.DUMMYFUNCTION("""COMPUTED_VALUE"""),"kscience.co.uk: A UK-based educational site offering animations and interactive content related to science topics, such as eye function.")</f>
        <v/>
      </c>
      <c r="F389" s="7" t="n"/>
      <c r="G389" s="8" t="n">
        <v>0</v>
      </c>
      <c r="H389" s="8" t="n">
        <v>1</v>
      </c>
      <c r="I389" s="8" t="n">
        <v>0</v>
      </c>
      <c r="J389" s="8" t="n">
        <v>0</v>
      </c>
      <c r="K389" s="9" t="n">
        <v>1</v>
      </c>
      <c r="L389" s="9" t="n">
        <v>0</v>
      </c>
      <c r="M389" s="9" t="n">
        <v>0</v>
      </c>
      <c r="N389" s="9" t="n">
        <v>0</v>
      </c>
      <c r="O389" s="10" t="n">
        <v>0</v>
      </c>
      <c r="P389" s="10" t="n">
        <v>0</v>
      </c>
      <c r="Q389" s="10" t="n">
        <v>0</v>
      </c>
      <c r="R389" s="10" t="n">
        <v>0</v>
      </c>
      <c r="S389" s="10" t="n">
        <v>0</v>
      </c>
    </row>
    <row r="390" ht="109" customHeight="1">
      <c r="A390" s="6">
        <f>IFERROR(__xludf.DUMMYFUNCTION("""COMPUTED_VALUE"""),"function of human eye")</f>
        <v/>
      </c>
      <c r="B390" s="6">
        <f>IFERROR(__xludf.DUMMYFUNCTION("""COMPUTED_VALUE"""),"Resource")</f>
        <v/>
      </c>
      <c r="C390" s="6">
        <f>IFERROR(__xludf.DUMMYFUNCTION("""COMPUTED_VALUE"""),"Quiz: Eyes")</f>
        <v/>
      </c>
      <c r="D390" s="7">
        <f>IFERROR(__xludf.DUMMYFUNCTION("""COMPUTED_VALUE"""),"Take this quiz about your eyes.")</f>
        <v/>
      </c>
      <c r="E390" s="7">
        <f>IFERROR(__xludf.DUMMYFUNCTION("""COMPUTED_VALUE"""),"Artifact from kidshealth.org: Offers health-related information and quizzes designed for children, such as eye health quizzes.")</f>
        <v/>
      </c>
      <c r="F390" s="7" t="n"/>
      <c r="G390" s="8" t="n">
        <v>0</v>
      </c>
      <c r="H390" s="8" t="n">
        <v>0</v>
      </c>
      <c r="I390" s="8" t="n">
        <v>1</v>
      </c>
      <c r="J390" s="8" t="n">
        <v>0</v>
      </c>
      <c r="K390" s="9" t="n">
        <v>0</v>
      </c>
      <c r="L390" s="9" t="n">
        <v>1</v>
      </c>
      <c r="M390" s="9" t="n">
        <v>0</v>
      </c>
      <c r="N390" s="9" t="n">
        <v>0</v>
      </c>
      <c r="O390" s="10" t="n">
        <v>0</v>
      </c>
      <c r="P390" s="10" t="n">
        <v>0</v>
      </c>
      <c r="Q390" s="10" t="n">
        <v>0</v>
      </c>
      <c r="R390" s="10" t="n">
        <v>0</v>
      </c>
      <c r="S390" s="10" t="n">
        <v>0</v>
      </c>
    </row>
    <row r="391" ht="25" customHeight="1">
      <c r="A391" s="6">
        <f>IFERROR(__xludf.DUMMYFUNCTION("""COMPUTED_VALUE"""),"molarity")</f>
        <v/>
      </c>
      <c r="B391" s="6">
        <f>IFERROR(__xludf.DUMMYFUNCTION("""COMPUTED_VALUE"""),"Space")</f>
        <v/>
      </c>
      <c r="C391" s="6">
        <f>IFERROR(__xludf.DUMMYFUNCTION("""COMPUTED_VALUE"""),"Engage")</f>
        <v/>
      </c>
      <c r="D391" s="7">
        <f>IFERROR(__xludf.DUMMYFUNCTION("""COMPUTED_VALUE"""),"No task description")</f>
        <v/>
      </c>
      <c r="E391" s="7">
        <f>IFERROR(__xludf.DUMMYFUNCTION("""COMPUTED_VALUE"""),"No artifact embedded")</f>
        <v/>
      </c>
      <c r="F391" s="7" t="n"/>
      <c r="G391" s="8" t="n">
        <v>0</v>
      </c>
      <c r="H391" s="8" t="n">
        <v>0</v>
      </c>
      <c r="I391" s="8" t="n">
        <v>0</v>
      </c>
      <c r="J391" s="8" t="n">
        <v>0</v>
      </c>
      <c r="K391" s="9" t="n">
        <v>0</v>
      </c>
      <c r="L391" s="9" t="n">
        <v>0</v>
      </c>
      <c r="M391" s="9" t="n">
        <v>0</v>
      </c>
      <c r="N391" s="9" t="n">
        <v>0</v>
      </c>
      <c r="O391" s="10" t="n">
        <v>0</v>
      </c>
      <c r="P391" s="10" t="n">
        <v>0</v>
      </c>
      <c r="Q391" s="10" t="n">
        <v>0</v>
      </c>
      <c r="R391" s="10" t="n">
        <v>0</v>
      </c>
      <c r="S391" s="10" t="n">
        <v>0</v>
      </c>
    </row>
    <row r="392" ht="109" customHeight="1">
      <c r="A392" s="6">
        <f>IFERROR(__xludf.DUMMYFUNCTION("""COMPUTED_VALUE"""),"molarity")</f>
        <v/>
      </c>
      <c r="B392" s="6">
        <f>IFERROR(__xludf.DUMMYFUNCTION("""COMPUTED_VALUE"""),"Resource")</f>
        <v/>
      </c>
      <c r="C392" s="6">
        <f>IFERROR(__xludf.DUMMYFUNCTION("""COMPUTED_VALUE"""),"proc 1.graasp")</f>
        <v/>
      </c>
      <c r="D392" s="7">
        <f>IFERROR(__xludf.DUMMYFUNCTION("""COMPUTED_VALUE"""),"&lt;ol&gt;&lt;li&gt;study the image below and make observation&lt;/li&gt;&lt;li&gt;compare the concentration of those four solutions&lt;/li&gt;&lt;/ol&gt;")</f>
        <v/>
      </c>
      <c r="E392" s="7">
        <f>IFERROR(__xludf.DUMMYFUNCTION("""COMPUTED_VALUE"""),"No artifact embedded")</f>
        <v/>
      </c>
      <c r="F392" s="7" t="n"/>
      <c r="G392" s="8" t="n">
        <v>0</v>
      </c>
      <c r="H392" s="8" t="n">
        <v>0</v>
      </c>
      <c r="I392" s="8" t="n">
        <v>1</v>
      </c>
      <c r="J392" s="8" t="n">
        <v>0</v>
      </c>
      <c r="K392" s="9" t="n">
        <v>0</v>
      </c>
      <c r="L392" s="9" t="n">
        <v>1</v>
      </c>
      <c r="M392" s="9" t="n">
        <v>0</v>
      </c>
      <c r="N392" s="9" t="n">
        <v>0</v>
      </c>
      <c r="O392" s="10" t="n">
        <v>1</v>
      </c>
      <c r="P392" s="10" t="n">
        <v>0</v>
      </c>
      <c r="Q392" s="10" t="n">
        <v>0</v>
      </c>
      <c r="R392" s="10" t="n">
        <v>0</v>
      </c>
      <c r="S392" s="10" t="n">
        <v>0</v>
      </c>
    </row>
    <row r="393" ht="121" customHeight="1">
      <c r="A393" s="6">
        <f>IFERROR(__xludf.DUMMYFUNCTION("""COMPUTED_VALUE"""),"molarity")</f>
        <v/>
      </c>
      <c r="B393" s="6">
        <f>IFERROR(__xludf.DUMMYFUNCTION("""COMPUTED_VALUE"""),"Resource")</f>
        <v/>
      </c>
      <c r="C393" s="6">
        <f>IFERROR(__xludf.DUMMYFUNCTION("""COMPUTED_VALUE"""),"dilution.JPG")</f>
        <v/>
      </c>
      <c r="D393" s="7">
        <f>IFERROR(__xludf.DUMMYFUNCTION("""COMPUTED_VALUE"""),"rnmxmmr + 9m] + 9m + 9m] + 9ml Ml IIdIIli Ml undid Col-Int!""")</f>
        <v/>
      </c>
      <c r="E393" s="7">
        <f>IFERROR(__xludf.DUMMYFUNCTION("""COMPUTED_VALUE"""),"image/jpeg – A digital photograph or web image stored in a compressed format, often used for photography and web graphics.")</f>
        <v/>
      </c>
      <c r="F393" s="7" t="n"/>
      <c r="G393" s="8" t="n">
        <v>1</v>
      </c>
      <c r="H393" s="8" t="n">
        <v>0</v>
      </c>
      <c r="I393" s="8" t="n">
        <v>0</v>
      </c>
      <c r="J393" s="8" t="n">
        <v>0</v>
      </c>
      <c r="K393" s="9" t="n">
        <v>1</v>
      </c>
      <c r="L393" s="9" t="n">
        <v>0</v>
      </c>
      <c r="M393" s="9" t="n">
        <v>0</v>
      </c>
      <c r="N393" s="9" t="n">
        <v>0</v>
      </c>
      <c r="O393" s="10" t="n">
        <v>0</v>
      </c>
      <c r="P393" s="10" t="n">
        <v>0</v>
      </c>
      <c r="Q393" s="10" t="n">
        <v>0</v>
      </c>
      <c r="R393" s="10" t="n">
        <v>0</v>
      </c>
      <c r="S393" s="10" t="n">
        <v>0</v>
      </c>
    </row>
    <row r="394" ht="329" customHeight="1">
      <c r="A394" s="6">
        <f>IFERROR(__xludf.DUMMYFUNCTION("""COMPUTED_VALUE"""),"molarity")</f>
        <v/>
      </c>
      <c r="B394" s="6">
        <f>IFERROR(__xludf.DUMMYFUNCTION("""COMPUTED_VALUE"""),"Application")</f>
        <v/>
      </c>
      <c r="C394" s="6">
        <f>IFERROR(__xludf.DUMMYFUNCTION("""COMPUTED_VALUE"""),"Input Box")</f>
        <v/>
      </c>
      <c r="D394" s="7">
        <f>IFERROR(__xludf.DUMMYFUNCTION("""COMPUTED_VALUE"""),"No task description")</f>
        <v/>
      </c>
      <c r="E39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94" s="7" t="n"/>
      <c r="G394" s="8" t="n">
        <v>0</v>
      </c>
      <c r="H394" s="8" t="n">
        <v>0</v>
      </c>
      <c r="I394" s="8" t="n">
        <v>1</v>
      </c>
      <c r="J394" s="8" t="n">
        <v>0</v>
      </c>
      <c r="K394" s="9" t="n">
        <v>0</v>
      </c>
      <c r="L394" s="9" t="n">
        <v>1</v>
      </c>
      <c r="M394" s="9" t="n">
        <v>0</v>
      </c>
      <c r="N394" s="9" t="n">
        <v>0</v>
      </c>
      <c r="O394" s="10" t="n">
        <v>0</v>
      </c>
      <c r="P394" s="10" t="n">
        <v>0</v>
      </c>
      <c r="Q394" s="10" t="n">
        <v>0</v>
      </c>
      <c r="R394" s="10" t="n">
        <v>0</v>
      </c>
      <c r="S394" s="10" t="n">
        <v>0</v>
      </c>
    </row>
    <row r="395" ht="121" customHeight="1">
      <c r="A395" s="6">
        <f>IFERROR(__xludf.DUMMYFUNCTION("""COMPUTED_VALUE"""),"molarity")</f>
        <v/>
      </c>
      <c r="B395" s="6">
        <f>IFERROR(__xludf.DUMMYFUNCTION("""COMPUTED_VALUE"""),"Resource")</f>
        <v/>
      </c>
      <c r="C395" s="6">
        <f>IFERROR(__xludf.DUMMYFUNCTION("""COMPUTED_VALUE"""),"Concentration of Solutions.mp4")</f>
        <v/>
      </c>
      <c r="D395" s="7">
        <f>IFERROR(__xludf.DUMMYFUNCTION("""COMPUTED_VALUE"""),"No task description")</f>
        <v/>
      </c>
      <c r="E395" s="7">
        <f>IFERROR(__xludf.DUMMYFUNCTION("""COMPUTED_VALUE"""),"video/mp4 – A video file containing moving images and possibly audio, suitable for playback on most modern devices and platforms.")</f>
        <v/>
      </c>
      <c r="F395" s="7" t="n"/>
      <c r="G395" s="8" t="n">
        <v>1</v>
      </c>
      <c r="H395" s="8" t="n">
        <v>0</v>
      </c>
      <c r="I395" s="8" t="n">
        <v>0</v>
      </c>
      <c r="J395" s="8" t="n">
        <v>0</v>
      </c>
      <c r="K395" s="9" t="n">
        <v>1</v>
      </c>
      <c r="L395" s="9" t="n">
        <v>0</v>
      </c>
      <c r="M395" s="9" t="n">
        <v>0</v>
      </c>
      <c r="N395" s="9" t="n">
        <v>0</v>
      </c>
      <c r="O395" s="10" t="n">
        <v>0</v>
      </c>
      <c r="P395" s="10" t="n">
        <v>0</v>
      </c>
      <c r="Q395" s="10" t="n">
        <v>0</v>
      </c>
      <c r="R395" s="10" t="n">
        <v>0</v>
      </c>
      <c r="S395" s="10" t="n">
        <v>0</v>
      </c>
    </row>
    <row r="396" ht="25" customHeight="1">
      <c r="A396" s="6">
        <f>IFERROR(__xludf.DUMMYFUNCTION("""COMPUTED_VALUE"""),"molarity")</f>
        <v/>
      </c>
      <c r="B396" s="6">
        <f>IFERROR(__xludf.DUMMYFUNCTION("""COMPUTED_VALUE"""),"Resource")</f>
        <v/>
      </c>
      <c r="C396" s="6">
        <f>IFERROR(__xludf.DUMMYFUNCTION("""COMPUTED_VALUE"""),"proc 2.graasp")</f>
        <v/>
      </c>
      <c r="D396" s="7">
        <f>IFERROR(__xludf.DUMMYFUNCTION("""COMPUTED_VALUE"""),"No task description")</f>
        <v/>
      </c>
      <c r="E396" s="7">
        <f>IFERROR(__xludf.DUMMYFUNCTION("""COMPUTED_VALUE"""),"No artifact embedded")</f>
        <v/>
      </c>
      <c r="F396" s="7" t="n"/>
      <c r="G396" s="8" t="n">
        <v>0</v>
      </c>
      <c r="H396" s="8" t="n">
        <v>0</v>
      </c>
      <c r="I396" s="8" t="n">
        <v>0</v>
      </c>
      <c r="J396" s="8" t="n">
        <v>0</v>
      </c>
      <c r="K396" s="9" t="n">
        <v>0</v>
      </c>
      <c r="L396" s="9" t="n">
        <v>0</v>
      </c>
      <c r="M396" s="9" t="n">
        <v>0</v>
      </c>
      <c r="N396" s="9" t="n">
        <v>0</v>
      </c>
      <c r="O396" s="10" t="n">
        <v>0</v>
      </c>
      <c r="P396" s="10" t="n">
        <v>0</v>
      </c>
      <c r="Q396" s="10" t="n">
        <v>0</v>
      </c>
      <c r="R396" s="10" t="n">
        <v>0</v>
      </c>
      <c r="S396" s="10" t="n">
        <v>0</v>
      </c>
    </row>
    <row r="397" ht="25" customHeight="1">
      <c r="A397" s="6">
        <f>IFERROR(__xludf.DUMMYFUNCTION("""COMPUTED_VALUE"""),"molarity")</f>
        <v/>
      </c>
      <c r="B397" s="6">
        <f>IFERROR(__xludf.DUMMYFUNCTION("""COMPUTED_VALUE"""),"Space")</f>
        <v/>
      </c>
      <c r="C397" s="6">
        <f>IFERROR(__xludf.DUMMYFUNCTION("""COMPUTED_VALUE"""),"Explore")</f>
        <v/>
      </c>
      <c r="D397" s="7">
        <f>IFERROR(__xludf.DUMMYFUNCTION("""COMPUTED_VALUE"""),"No task description")</f>
        <v/>
      </c>
      <c r="E397" s="7">
        <f>IFERROR(__xludf.DUMMYFUNCTION("""COMPUTED_VALUE"""),"No artifact embedded")</f>
        <v/>
      </c>
      <c r="F397" s="7" t="n"/>
      <c r="G397" s="8" t="n">
        <v>0</v>
      </c>
      <c r="H397" s="8" t="n">
        <v>0</v>
      </c>
      <c r="I397" s="8" t="n">
        <v>0</v>
      </c>
      <c r="J397" s="8" t="n">
        <v>0</v>
      </c>
      <c r="K397" s="9" t="n">
        <v>0</v>
      </c>
      <c r="L397" s="9" t="n">
        <v>0</v>
      </c>
      <c r="M397" s="9" t="n">
        <v>0</v>
      </c>
      <c r="N397" s="9" t="n">
        <v>0</v>
      </c>
      <c r="O397" s="10" t="n">
        <v>0</v>
      </c>
      <c r="P397" s="10" t="n">
        <v>0</v>
      </c>
      <c r="Q397" s="10" t="n">
        <v>0</v>
      </c>
      <c r="R397" s="10" t="n">
        <v>0</v>
      </c>
      <c r="S397" s="10" t="n">
        <v>0</v>
      </c>
    </row>
    <row r="398" ht="25" customHeight="1">
      <c r="A398" s="6">
        <f>IFERROR(__xludf.DUMMYFUNCTION("""COMPUTED_VALUE"""),"molarity")</f>
        <v/>
      </c>
      <c r="B398" s="6">
        <f>IFERROR(__xludf.DUMMYFUNCTION("""COMPUTED_VALUE"""),"Resource")</f>
        <v/>
      </c>
      <c r="C398" s="6">
        <f>IFERROR(__xludf.DUMMYFUNCTION("""COMPUTED_VALUE"""),"procedure.graasp")</f>
        <v/>
      </c>
      <c r="D398" s="7">
        <f>IFERROR(__xludf.DUMMYFUNCTION("""COMPUTED_VALUE"""),"No task description")</f>
        <v/>
      </c>
      <c r="E398" s="7">
        <f>IFERROR(__xludf.DUMMYFUNCTION("""COMPUTED_VALUE"""),"No artifact embedded")</f>
        <v/>
      </c>
      <c r="F398" s="7" t="n"/>
      <c r="G398" s="8" t="n">
        <v>0</v>
      </c>
      <c r="H398" s="8" t="n">
        <v>0</v>
      </c>
      <c r="I398" s="8" t="n">
        <v>0</v>
      </c>
      <c r="J398" s="8" t="n">
        <v>0</v>
      </c>
      <c r="K398" s="9" t="n">
        <v>0</v>
      </c>
      <c r="L398" s="9" t="n">
        <v>0</v>
      </c>
      <c r="M398" s="9" t="n">
        <v>0</v>
      </c>
      <c r="N398" s="9" t="n">
        <v>0</v>
      </c>
      <c r="O398" s="10" t="n">
        <v>0</v>
      </c>
      <c r="P398" s="10" t="n">
        <v>0</v>
      </c>
      <c r="Q398" s="10" t="n">
        <v>0</v>
      </c>
      <c r="R398" s="10" t="n">
        <v>0</v>
      </c>
      <c r="S398" s="10" t="n">
        <v>0</v>
      </c>
    </row>
    <row r="399" ht="241" customHeight="1">
      <c r="A399" s="6">
        <f>IFERROR(__xludf.DUMMYFUNCTION("""COMPUTED_VALUE"""),"molarity")</f>
        <v/>
      </c>
      <c r="B399" s="6">
        <f>IFERROR(__xludf.DUMMYFUNCTION("""COMPUTED_VALUE"""),"Application")</f>
        <v/>
      </c>
      <c r="C399" s="6">
        <f>IFERROR(__xludf.DUMMYFUNCTION("""COMPUTED_VALUE"""),"Molarity app")</f>
        <v/>
      </c>
      <c r="D399" s="7">
        <f>IFERROR(__xludf.DUMMYFUNCTION("""COMPUTED_VALUE"""),"No task description")</f>
        <v/>
      </c>
      <c r="E399" s="7">
        <f>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
      </c>
      <c r="F399" s="7" t="n"/>
      <c r="G399" s="8" t="n">
        <v>0</v>
      </c>
      <c r="H399" s="8" t="n">
        <v>1</v>
      </c>
      <c r="I399" s="8" t="n">
        <v>0</v>
      </c>
      <c r="J399" s="8" t="n">
        <v>0</v>
      </c>
      <c r="K399" s="9" t="n">
        <v>1</v>
      </c>
      <c r="L399" s="9" t="n">
        <v>0</v>
      </c>
      <c r="M399" s="9" t="n">
        <v>0</v>
      </c>
      <c r="N399" s="9" t="n">
        <v>0</v>
      </c>
      <c r="O399" s="10" t="n">
        <v>0</v>
      </c>
      <c r="P399" s="10" t="n">
        <v>0</v>
      </c>
      <c r="Q399" s="10" t="n">
        <v>1</v>
      </c>
      <c r="R399" s="10" t="n">
        <v>0</v>
      </c>
      <c r="S399" s="10" t="n">
        <v>0</v>
      </c>
    </row>
    <row r="400" ht="409.5" customHeight="1">
      <c r="A400" s="6">
        <f>IFERROR(__xludf.DUMMYFUNCTION("""COMPUTED_VALUE"""),"molarity")</f>
        <v/>
      </c>
      <c r="B400" s="6">
        <f>IFERROR(__xludf.DUMMYFUNCTION("""COMPUTED_VALUE"""),"Application")</f>
        <v/>
      </c>
      <c r="C400" s="6">
        <f>IFERROR(__xludf.DUMMYFUNCTION("""COMPUTED_VALUE"""),"Table Tool")</f>
        <v/>
      </c>
      <c r="D400" s="7">
        <f>IFERROR(__xludf.DUMMYFUNCTION("""COMPUTED_VALUE"""),"No task description")</f>
        <v/>
      </c>
      <c r="E400"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00" s="7" t="n"/>
      <c r="G400" s="8" t="n">
        <v>0</v>
      </c>
      <c r="H400" s="8" t="n">
        <v>0</v>
      </c>
      <c r="I400" s="8" t="n">
        <v>0</v>
      </c>
      <c r="J400" s="8" t="n">
        <v>0</v>
      </c>
      <c r="K400" s="9" t="n">
        <v>0</v>
      </c>
      <c r="L400" s="9" t="n">
        <v>0</v>
      </c>
      <c r="M400" s="9" t="n">
        <v>0</v>
      </c>
      <c r="N400" s="9" t="n">
        <v>0</v>
      </c>
      <c r="O400" s="10" t="n">
        <v>0</v>
      </c>
      <c r="P400" s="10" t="n">
        <v>0</v>
      </c>
      <c r="Q400" s="10" t="n">
        <v>0</v>
      </c>
      <c r="R400" s="10" t="n">
        <v>0</v>
      </c>
      <c r="S400" s="10" t="n">
        <v>0</v>
      </c>
    </row>
    <row r="401" ht="25" customHeight="1">
      <c r="A401" s="6">
        <f>IFERROR(__xludf.DUMMYFUNCTION("""COMPUTED_VALUE"""),"molarity")</f>
        <v/>
      </c>
      <c r="B401" s="6">
        <f>IFERROR(__xludf.DUMMYFUNCTION("""COMPUTED_VALUE"""),"Space")</f>
        <v/>
      </c>
      <c r="C401" s="6">
        <f>IFERROR(__xludf.DUMMYFUNCTION("""COMPUTED_VALUE"""),"Explain")</f>
        <v/>
      </c>
      <c r="D401" s="7">
        <f>IFERROR(__xludf.DUMMYFUNCTION("""COMPUTED_VALUE"""),"No task description")</f>
        <v/>
      </c>
      <c r="E401" s="7">
        <f>IFERROR(__xludf.DUMMYFUNCTION("""COMPUTED_VALUE"""),"No artifact embedded")</f>
        <v/>
      </c>
      <c r="F401" s="7" t="n"/>
      <c r="G401" s="8" t="n">
        <v>0</v>
      </c>
      <c r="H401" s="8" t="n">
        <v>0</v>
      </c>
      <c r="I401" s="8" t="n">
        <v>0</v>
      </c>
      <c r="J401" s="8" t="n">
        <v>0</v>
      </c>
      <c r="K401" s="9" t="n">
        <v>0</v>
      </c>
      <c r="L401" s="9" t="n">
        <v>0</v>
      </c>
      <c r="M401" s="9" t="n">
        <v>0</v>
      </c>
      <c r="N401" s="9" t="n">
        <v>0</v>
      </c>
      <c r="O401" s="10" t="n">
        <v>0</v>
      </c>
      <c r="P401" s="10" t="n">
        <v>0</v>
      </c>
      <c r="Q401" s="10" t="n">
        <v>0</v>
      </c>
      <c r="R401" s="10" t="n">
        <v>0</v>
      </c>
      <c r="S401" s="10" t="n">
        <v>0</v>
      </c>
    </row>
    <row r="402" ht="25" customHeight="1">
      <c r="A402" s="6">
        <f>IFERROR(__xludf.DUMMYFUNCTION("""COMPUTED_VALUE"""),"molarity")</f>
        <v/>
      </c>
      <c r="B402" s="6">
        <f>IFERROR(__xludf.DUMMYFUNCTION("""COMPUTED_VALUE"""),"Space")</f>
        <v/>
      </c>
      <c r="C402" s="6">
        <f>IFERROR(__xludf.DUMMYFUNCTION("""COMPUTED_VALUE"""),"Elaborate")</f>
        <v/>
      </c>
      <c r="D402" s="7">
        <f>IFERROR(__xludf.DUMMYFUNCTION("""COMPUTED_VALUE"""),"No task description")</f>
        <v/>
      </c>
      <c r="E402" s="7">
        <f>IFERROR(__xludf.DUMMYFUNCTION("""COMPUTED_VALUE"""),"No artifact embedded")</f>
        <v/>
      </c>
      <c r="F402" s="7" t="n"/>
      <c r="G402" s="8" t="n">
        <v>0</v>
      </c>
      <c r="H402" s="8" t="n">
        <v>0</v>
      </c>
      <c r="I402" s="8" t="n">
        <v>0</v>
      </c>
      <c r="J402" s="8" t="n">
        <v>0</v>
      </c>
      <c r="K402" s="9" t="n">
        <v>0</v>
      </c>
      <c r="L402" s="9" t="n">
        <v>0</v>
      </c>
      <c r="M402" s="9" t="n">
        <v>0</v>
      </c>
      <c r="N402" s="9" t="n">
        <v>0</v>
      </c>
      <c r="O402" s="10" t="n">
        <v>0</v>
      </c>
      <c r="P402" s="10" t="n">
        <v>0</v>
      </c>
      <c r="Q402" s="10" t="n">
        <v>0</v>
      </c>
      <c r="R402" s="10" t="n">
        <v>0</v>
      </c>
      <c r="S402" s="10" t="n">
        <v>0</v>
      </c>
    </row>
    <row r="403" ht="109" customHeight="1">
      <c r="A403" s="6">
        <f>IFERROR(__xludf.DUMMYFUNCTION("""COMPUTED_VALUE"""),"molarity")</f>
        <v/>
      </c>
      <c r="B403" s="6">
        <f>IFERROR(__xludf.DUMMYFUNCTION("""COMPUTED_VALUE"""),"Resource")</f>
        <v/>
      </c>
      <c r="C403" s="6">
        <f>IFERROR(__xludf.DUMMYFUNCTION("""COMPUTED_VALUE"""),"instr 1.graasp")</f>
        <v/>
      </c>
      <c r="D403" s="7">
        <f>IFERROR(__xludf.DUMMYFUNCTION("""COMPUTED_VALUE"""),"&lt;ul&gt;&lt;li&gt;Concentrated refers to chemical solutions that have high concentrations of a large amount of solute in the solution&lt;/li&gt;&lt;/ul&gt;")</f>
        <v/>
      </c>
      <c r="E403" s="7">
        <f>IFERROR(__xludf.DUMMYFUNCTION("""COMPUTED_VALUE"""),"No artifact embedded")</f>
        <v/>
      </c>
      <c r="F403" s="7" t="n"/>
      <c r="G403" s="8" t="n">
        <v>1</v>
      </c>
      <c r="H403" s="8" t="n">
        <v>0</v>
      </c>
      <c r="I403" s="8" t="n">
        <v>0</v>
      </c>
      <c r="J403" s="8" t="n">
        <v>0</v>
      </c>
      <c r="K403" s="9" t="n">
        <v>1</v>
      </c>
      <c r="L403" s="9" t="n">
        <v>0</v>
      </c>
      <c r="M403" s="9" t="n">
        <v>0</v>
      </c>
      <c r="N403" s="9" t="n">
        <v>0</v>
      </c>
      <c r="O403" s="10" t="n">
        <v>1</v>
      </c>
      <c r="P403" s="10" t="n">
        <v>0</v>
      </c>
      <c r="Q403" s="10" t="n">
        <v>0</v>
      </c>
      <c r="R403" s="10" t="n">
        <v>0</v>
      </c>
      <c r="S403" s="10" t="n">
        <v>0</v>
      </c>
    </row>
    <row r="404" ht="109" customHeight="1">
      <c r="A404" s="6">
        <f>IFERROR(__xludf.DUMMYFUNCTION("""COMPUTED_VALUE"""),"molarity")</f>
        <v/>
      </c>
      <c r="B404" s="6">
        <f>IFERROR(__xludf.DUMMYFUNCTION("""COMPUTED_VALUE"""),"Resource")</f>
        <v/>
      </c>
      <c r="C404" s="6">
        <f>IFERROR(__xludf.DUMMYFUNCTION("""COMPUTED_VALUE"""),"dilute solutions.graasp")</f>
        <v/>
      </c>
      <c r="D404" s="7">
        <f>IFERROR(__xludf.DUMMYFUNCTION("""COMPUTED_VALUE"""),"&lt;em&gt;&lt;/em&gt;&lt;strong&gt;&lt;/strong&gt;Dilute solutions contains a small amount of solvent compared with the amount of solvent")</f>
        <v/>
      </c>
      <c r="E404" s="7">
        <f>IFERROR(__xludf.DUMMYFUNCTION("""COMPUTED_VALUE"""),"No artifact embedded")</f>
        <v/>
      </c>
      <c r="F404" s="7" t="n"/>
      <c r="G404" s="8" t="n">
        <v>1</v>
      </c>
      <c r="H404" s="8" t="n">
        <v>0</v>
      </c>
      <c r="I404" s="8" t="n">
        <v>0</v>
      </c>
      <c r="J404" s="8" t="n">
        <v>0</v>
      </c>
      <c r="K404" s="9" t="n">
        <v>1</v>
      </c>
      <c r="L404" s="9" t="n">
        <v>0</v>
      </c>
      <c r="M404" s="9" t="n">
        <v>0</v>
      </c>
      <c r="N404" s="9" t="n">
        <v>0</v>
      </c>
      <c r="O404" s="10" t="n">
        <v>1</v>
      </c>
      <c r="P404" s="10" t="n">
        <v>0</v>
      </c>
      <c r="Q404" s="10" t="n">
        <v>0</v>
      </c>
      <c r="R404" s="10" t="n">
        <v>0</v>
      </c>
      <c r="S404" s="10" t="n">
        <v>0</v>
      </c>
    </row>
    <row r="405" ht="25" customHeight="1">
      <c r="A405" s="6">
        <f>IFERROR(__xludf.DUMMYFUNCTION("""COMPUTED_VALUE"""),"molarity")</f>
        <v/>
      </c>
      <c r="B405" s="6">
        <f>IFERROR(__xludf.DUMMYFUNCTION("""COMPUTED_VALUE"""),"Space")</f>
        <v/>
      </c>
      <c r="C405" s="6">
        <f>IFERROR(__xludf.DUMMYFUNCTION("""COMPUTED_VALUE"""),"Evaluate")</f>
        <v/>
      </c>
      <c r="D405" s="7">
        <f>IFERROR(__xludf.DUMMYFUNCTION("""COMPUTED_VALUE"""),"No task description")</f>
        <v/>
      </c>
      <c r="E405" s="7">
        <f>IFERROR(__xludf.DUMMYFUNCTION("""COMPUTED_VALUE"""),"No artifact embedded")</f>
        <v/>
      </c>
      <c r="F405" s="7" t="n"/>
      <c r="G405" s="8" t="n">
        <v>0</v>
      </c>
      <c r="H405" s="8" t="n">
        <v>0</v>
      </c>
      <c r="I405" s="8" t="n">
        <v>0</v>
      </c>
      <c r="J405" s="8" t="n">
        <v>0</v>
      </c>
      <c r="K405" s="9" t="n">
        <v>0</v>
      </c>
      <c r="L405" s="9" t="n">
        <v>0</v>
      </c>
      <c r="M405" s="9" t="n">
        <v>0</v>
      </c>
      <c r="N405" s="9" t="n">
        <v>0</v>
      </c>
      <c r="O405" s="10" t="n">
        <v>0</v>
      </c>
      <c r="P405" s="10" t="n">
        <v>0</v>
      </c>
      <c r="Q405" s="10" t="n">
        <v>0</v>
      </c>
      <c r="R405" s="10" t="n">
        <v>0</v>
      </c>
      <c r="S405" s="10" t="n">
        <v>0</v>
      </c>
    </row>
    <row r="406" ht="157" customHeight="1">
      <c r="A406" s="6">
        <f>IFERROR(__xludf.DUMMYFUNCTION("""COMPUTED_VALUE"""),"molarity")</f>
        <v/>
      </c>
      <c r="B406" s="6">
        <f>IFERROR(__xludf.DUMMYFUNCTION("""COMPUTED_VALUE"""),"Application")</f>
        <v/>
      </c>
      <c r="C406" s="6">
        <f>IFERROR(__xludf.DUMMYFUNCTION("""COMPUTED_VALUE"""),"File Drop")</f>
        <v/>
      </c>
      <c r="D406" s="7">
        <f>IFERROR(__xludf.DUMMYFUNCTION("""COMPUTED_VALUE"""),"&lt;p&gt;click here to upload file to answer the following question.what is the differences between molarity and concentration &lt;/p&gt;")</f>
        <v/>
      </c>
      <c r="E406" s="7">
        <f>IFERROR(__xludf.DUMMYFUNCTION("""COMPUTED_VALUE"""),"Golabz app/lab: ""&lt;p&gt;This app allows students to upload files, e.g., assignment and reports, to the Inquiry learning Space. The app also allows teachers to download the uploaded files.&lt;/p&gt;\r\n""")</f>
        <v/>
      </c>
      <c r="F406" s="7" t="n"/>
      <c r="G406" s="8" t="n">
        <v>0</v>
      </c>
      <c r="H406" s="8" t="n">
        <v>0</v>
      </c>
      <c r="I406" s="8" t="n">
        <v>1</v>
      </c>
      <c r="J406" s="8" t="n">
        <v>0</v>
      </c>
      <c r="K406" s="9" t="n">
        <v>0</v>
      </c>
      <c r="L406" s="9" t="n">
        <v>1</v>
      </c>
      <c r="M406" s="9" t="n">
        <v>0</v>
      </c>
      <c r="N406" s="9" t="n">
        <v>0</v>
      </c>
      <c r="O406" s="10" t="n">
        <v>0</v>
      </c>
      <c r="P406" s="10" t="n">
        <v>0</v>
      </c>
      <c r="Q406" s="10" t="n">
        <v>0</v>
      </c>
      <c r="R406" s="10" t="n">
        <v>1</v>
      </c>
      <c r="S406" s="10" t="n">
        <v>0</v>
      </c>
    </row>
    <row r="407" ht="296" customHeight="1">
      <c r="A407" s="6">
        <f>IFERROR(__xludf.DUMMYFUNCTION("""COMPUTED_VALUE"""),"molarity")</f>
        <v/>
      </c>
      <c r="B407" s="6">
        <f>IFERROR(__xludf.DUMMYFUNCTION("""COMPUTED_VALUE"""),"Application")</f>
        <v/>
      </c>
      <c r="C407" s="6">
        <f>IFERROR(__xludf.DUMMYFUNCTION("""COMPUTED_VALUE"""),"Quiz Tool")</f>
        <v/>
      </c>
      <c r="D407" s="7">
        <f>IFERROR(__xludf.DUMMYFUNCTION("""COMPUTED_VALUE"""),"No task description")</f>
        <v/>
      </c>
      <c r="E4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07" s="7" t="n"/>
      <c r="G407" s="8" t="n">
        <v>0</v>
      </c>
      <c r="H407" s="8" t="n">
        <v>0</v>
      </c>
      <c r="I407" s="8" t="n">
        <v>0</v>
      </c>
      <c r="J407" s="8" t="n">
        <v>1</v>
      </c>
      <c r="K407" s="9" t="n">
        <v>0</v>
      </c>
      <c r="L407" s="9" t="n">
        <v>1</v>
      </c>
      <c r="M407" s="9" t="n">
        <v>0</v>
      </c>
      <c r="N407" s="9" t="n">
        <v>0</v>
      </c>
      <c r="O407" s="10" t="n">
        <v>0</v>
      </c>
      <c r="P407" s="10" t="n">
        <v>0</v>
      </c>
      <c r="Q407" s="10" t="n">
        <v>0</v>
      </c>
      <c r="R407" s="10" t="n">
        <v>0</v>
      </c>
      <c r="S407" s="10" t="n">
        <v>1</v>
      </c>
    </row>
    <row r="408" ht="61" customHeight="1">
      <c r="A408" s="6">
        <f>IFERROR(__xludf.DUMMYFUNCTION("""COMPUTED_VALUE"""),"Transcription and translation of DNA")</f>
        <v/>
      </c>
      <c r="B408" s="6">
        <f>IFERROR(__xludf.DUMMYFUNCTION("""COMPUTED_VALUE"""),"Space")</f>
        <v/>
      </c>
      <c r="C408" s="6">
        <f>IFERROR(__xludf.DUMMYFUNCTION("""COMPUTED_VALUE"""),"Do you look like your parents?")</f>
        <v/>
      </c>
      <c r="D408" s="7">
        <f>IFERROR(__xludf.DUMMYFUNCTION("""COMPUTED_VALUE"""),"&lt;p&gt;Welcome to the first phase of the course, the Orientation phase.&lt;/p&gt;")</f>
        <v/>
      </c>
      <c r="E408" s="7">
        <f>IFERROR(__xludf.DUMMYFUNCTION("""COMPUTED_VALUE"""),"No artifact embedded")</f>
        <v/>
      </c>
      <c r="F408" s="7" t="n"/>
      <c r="G408" s="8" t="n">
        <v>0</v>
      </c>
      <c r="H408" s="8" t="n">
        <v>0</v>
      </c>
      <c r="I408" s="8" t="n">
        <v>0</v>
      </c>
      <c r="J408" s="8" t="n">
        <v>0</v>
      </c>
      <c r="K408" s="9" t="n">
        <v>0</v>
      </c>
      <c r="L408" s="9" t="n">
        <v>0</v>
      </c>
      <c r="M408" s="9" t="n">
        <v>0</v>
      </c>
      <c r="N408" s="9" t="n">
        <v>0</v>
      </c>
      <c r="O408" s="10" t="n">
        <v>0</v>
      </c>
      <c r="P408" s="10" t="n">
        <v>0</v>
      </c>
      <c r="Q408" s="10" t="n">
        <v>0</v>
      </c>
      <c r="R408" s="10" t="n">
        <v>0</v>
      </c>
      <c r="S408" s="10" t="n">
        <v>0</v>
      </c>
    </row>
    <row r="409" ht="351" customHeight="1">
      <c r="A409" s="6">
        <f>IFERROR(__xludf.DUMMYFUNCTION("""COMPUTED_VALUE"""),"Transcription and translation of DNA")</f>
        <v/>
      </c>
      <c r="B409" s="6">
        <f>IFERROR(__xludf.DUMMYFUNCTION("""COMPUTED_VALUE"""),"Resource")</f>
        <v/>
      </c>
      <c r="C409" s="6">
        <f>IFERROR(__xludf.DUMMYFUNCTION("""COMPUTED_VALUE"""),"Orientation.graasp")</f>
        <v/>
      </c>
      <c r="D409" s="7">
        <f>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
      </c>
      <c r="E409" s="7">
        <f>IFERROR(__xludf.DUMMYFUNCTION("""COMPUTED_VALUE"""),"No artifact embedded")</f>
        <v/>
      </c>
      <c r="F409" s="7" t="n"/>
      <c r="G409" s="8" t="n">
        <v>0</v>
      </c>
      <c r="H409" s="8" t="n">
        <v>0</v>
      </c>
      <c r="I409" s="8" t="n">
        <v>0</v>
      </c>
      <c r="J409" s="8" t="n">
        <v>1</v>
      </c>
      <c r="K409" s="9" t="n">
        <v>0</v>
      </c>
      <c r="L409" s="9" t="n">
        <v>1</v>
      </c>
      <c r="M409" s="9" t="n">
        <v>1</v>
      </c>
      <c r="N409" s="9" t="n">
        <v>0</v>
      </c>
      <c r="O409" s="10" t="n">
        <v>1</v>
      </c>
      <c r="P409" s="10" t="n">
        <v>0</v>
      </c>
      <c r="Q409" s="10" t="n">
        <v>0</v>
      </c>
      <c r="R409" s="10" t="n">
        <v>0</v>
      </c>
      <c r="S409" s="10" t="n">
        <v>1</v>
      </c>
    </row>
    <row r="410" ht="121" customHeight="1">
      <c r="A410" s="6">
        <f>IFERROR(__xludf.DUMMYFUNCTION("""COMPUTED_VALUE"""),"Transcription and translation of DNA")</f>
        <v/>
      </c>
      <c r="B410" s="6">
        <f>IFERROR(__xludf.DUMMYFUNCTION("""COMPUTED_VALUE"""),"Resource")</f>
        <v/>
      </c>
      <c r="C410" s="6">
        <f>IFERROR(__xludf.DUMMYFUNCTION("""COMPUTED_VALUE"""),"What is DNA and How Does it Work?")</f>
        <v/>
      </c>
      <c r="D410" s="7">
        <f>IFERROR(__xludf.DUMMYFUNCTION("""COMPUTED_VALUE"""),"No task description")</f>
        <v/>
      </c>
      <c r="E410" s="7">
        <f>IFERROR(__xludf.DUMMYFUNCTION("""COMPUTED_VALUE"""),"youtube.com: A widely known video-sharing platform where users can watch videos on a vast array of topics, including educational content.")</f>
        <v/>
      </c>
      <c r="F410" s="7" t="n"/>
      <c r="G410" s="8" t="n">
        <v>1</v>
      </c>
      <c r="H410" s="8" t="n">
        <v>0</v>
      </c>
      <c r="I410" s="8" t="n">
        <v>0</v>
      </c>
      <c r="J410" s="8" t="n">
        <v>0</v>
      </c>
      <c r="K410" s="9" t="n">
        <v>1</v>
      </c>
      <c r="L410" s="9" t="n">
        <v>0</v>
      </c>
      <c r="M410" s="9" t="n">
        <v>0</v>
      </c>
      <c r="N410" s="9" t="n">
        <v>0</v>
      </c>
      <c r="O410" s="10" t="n">
        <v>0</v>
      </c>
      <c r="P410" s="10" t="n">
        <v>0</v>
      </c>
      <c r="Q410" s="10" t="n">
        <v>0</v>
      </c>
      <c r="R410" s="10" t="n">
        <v>0</v>
      </c>
      <c r="S410" s="10" t="n">
        <v>0</v>
      </c>
    </row>
    <row r="411" ht="49" customHeight="1">
      <c r="A411" s="6">
        <f>IFERROR(__xludf.DUMMYFUNCTION("""COMPUTED_VALUE"""),"Transcription and translation of DNA")</f>
        <v/>
      </c>
      <c r="B411" s="6">
        <f>IFERROR(__xludf.DUMMYFUNCTION("""COMPUTED_VALUE"""),"Application")</f>
        <v/>
      </c>
      <c r="C411" s="6">
        <f>IFERROR(__xludf.DUMMYFUNCTION("""COMPUTED_VALUE"""),"Padlet")</f>
        <v/>
      </c>
      <c r="D411" s="7">
        <f>IFERROR(__xludf.DUMMYFUNCTION("""COMPUTED_VALUE"""),"No task description")</f>
        <v/>
      </c>
      <c r="E411" s="7">
        <f>IFERROR(__xludf.DUMMYFUNCTION("""COMPUTED_VALUE"""),"Golabz app/lab: Wrong URL. Impossible to access it")</f>
        <v/>
      </c>
      <c r="F411" s="7" t="n"/>
      <c r="G411" s="8" t="n">
        <v>0</v>
      </c>
      <c r="H411" s="8" t="n">
        <v>0</v>
      </c>
      <c r="I411" s="8" t="n">
        <v>0</v>
      </c>
      <c r="J411" s="8" t="n">
        <v>0</v>
      </c>
      <c r="K411" s="9" t="n">
        <v>0</v>
      </c>
      <c r="L411" s="9" t="n">
        <v>0</v>
      </c>
      <c r="M411" s="9" t="n">
        <v>0</v>
      </c>
      <c r="N411" s="9" t="n">
        <v>0</v>
      </c>
      <c r="O411" s="10" t="n">
        <v>0</v>
      </c>
      <c r="P411" s="10" t="n">
        <v>0</v>
      </c>
      <c r="Q411" s="10" t="n">
        <v>0</v>
      </c>
      <c r="R411" s="10" t="n">
        <v>0</v>
      </c>
      <c r="S411" s="10" t="n">
        <v>0</v>
      </c>
    </row>
    <row r="412" ht="406" customHeight="1">
      <c r="A412" s="6">
        <f>IFERROR(__xludf.DUMMYFUNCTION("""COMPUTED_VALUE"""),"Transcription and translation of DNA")</f>
        <v/>
      </c>
      <c r="B412" s="6">
        <f>IFERROR(__xludf.DUMMYFUNCTION("""COMPUTED_VALUE"""),"Resource")</f>
        <v/>
      </c>
      <c r="C412" s="6">
        <f>IFERROR(__xludf.DUMMYFUNCTION("""COMPUTED_VALUE"""),"Orientation 2.graasp")</f>
        <v/>
      </c>
      <c r="D412" s="7">
        <f>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
      </c>
      <c r="E412" s="7">
        <f>IFERROR(__xludf.DUMMYFUNCTION("""COMPUTED_VALUE"""),"No artifact embedded")</f>
        <v/>
      </c>
      <c r="F412" s="7" t="n"/>
      <c r="G412" s="8" t="n">
        <v>0</v>
      </c>
      <c r="H412" s="8" t="n">
        <v>0</v>
      </c>
      <c r="I412" s="8" t="n">
        <v>1</v>
      </c>
      <c r="J412" s="8" t="n">
        <v>0</v>
      </c>
      <c r="K412" s="9" t="n">
        <v>0</v>
      </c>
      <c r="L412" s="9" t="n">
        <v>1</v>
      </c>
      <c r="M412" s="9" t="n">
        <v>0</v>
      </c>
      <c r="N412" s="9" t="n">
        <v>0</v>
      </c>
      <c r="O412" s="10" t="n">
        <v>1</v>
      </c>
      <c r="P412" s="10" t="n">
        <v>0</v>
      </c>
      <c r="Q412" s="10" t="n">
        <v>0</v>
      </c>
      <c r="R412" s="10" t="n">
        <v>0</v>
      </c>
      <c r="S412" s="10" t="n">
        <v>0</v>
      </c>
    </row>
    <row r="413" ht="296" customHeight="1">
      <c r="A413" s="6">
        <f>IFERROR(__xludf.DUMMYFUNCTION("""COMPUTED_VALUE"""),"Transcription and translation of DNA")</f>
        <v/>
      </c>
      <c r="B413" s="6">
        <f>IFERROR(__xludf.DUMMYFUNCTION("""COMPUTED_VALUE"""),"Application")</f>
        <v/>
      </c>
      <c r="C413" s="6">
        <f>IFERROR(__xludf.DUMMYFUNCTION("""COMPUTED_VALUE"""),"Quiz tool")</f>
        <v/>
      </c>
      <c r="D413" s="7">
        <f>IFERROR(__xludf.DUMMYFUNCTION("""COMPUTED_VALUE"""),"No task description")</f>
        <v/>
      </c>
      <c r="E41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13" s="7" t="n"/>
      <c r="G413" s="8" t="n">
        <v>0</v>
      </c>
      <c r="H413" s="8" t="n">
        <v>0</v>
      </c>
      <c r="I413" s="8" t="n">
        <v>0</v>
      </c>
      <c r="J413" s="8" t="n">
        <v>1</v>
      </c>
      <c r="K413" s="9" t="n">
        <v>0</v>
      </c>
      <c r="L413" s="9" t="n">
        <v>1</v>
      </c>
      <c r="M413" s="9" t="n">
        <v>0</v>
      </c>
      <c r="N413" s="9" t="n">
        <v>0</v>
      </c>
      <c r="O413" s="10" t="n">
        <v>0</v>
      </c>
      <c r="P413" s="10" t="n">
        <v>0</v>
      </c>
      <c r="Q413" s="10" t="n">
        <v>0</v>
      </c>
      <c r="R413" s="10" t="n">
        <v>0</v>
      </c>
      <c r="S413" s="10" t="n">
        <v>1</v>
      </c>
    </row>
    <row r="414" ht="121" customHeight="1">
      <c r="A414" s="6">
        <f>IFERROR(__xludf.DUMMYFUNCTION("""COMPUTED_VALUE"""),"Transcription and translation of DNA")</f>
        <v/>
      </c>
      <c r="B414" s="6">
        <f>IFERROR(__xludf.DUMMYFUNCTION("""COMPUTED_VALUE"""),"Resource")</f>
        <v/>
      </c>
      <c r="C414" s="6">
        <f>IFERROR(__xludf.DUMMYFUNCTION("""COMPUTED_VALUE"""),"dna1.jpg")</f>
        <v/>
      </c>
      <c r="D414" s="7">
        <f>IFERROR(__xludf.DUMMYFUNCTION("""COMPUTED_VALUE"""),"&lt;p&gt;Congratulations! Having answered the questions above, let's remember the structure of DNA and nucleotides again:&lt;/p&gt;")</f>
        <v/>
      </c>
      <c r="E414" s="7">
        <f>IFERROR(__xludf.DUMMYFUNCTION("""COMPUTED_VALUE"""),"image/jpeg – A digital photograph or web image stored in a compressed format, often used for photography and web graphics.")</f>
        <v/>
      </c>
      <c r="F414" s="7" t="n"/>
      <c r="G414" s="8" t="n">
        <v>1</v>
      </c>
      <c r="H414" s="8" t="n">
        <v>0</v>
      </c>
      <c r="I414" s="8" t="n">
        <v>0</v>
      </c>
      <c r="J414" s="8" t="n">
        <v>0</v>
      </c>
      <c r="K414" s="9" t="n">
        <v>1</v>
      </c>
      <c r="L414" s="9" t="n">
        <v>0</v>
      </c>
      <c r="M414" s="9" t="n">
        <v>0</v>
      </c>
      <c r="N414" s="9" t="n">
        <v>0</v>
      </c>
      <c r="O414" s="10" t="n">
        <v>1</v>
      </c>
      <c r="P414" s="10" t="n">
        <v>0</v>
      </c>
      <c r="Q414" s="10" t="n">
        <v>0</v>
      </c>
      <c r="R414" s="10" t="n">
        <v>0</v>
      </c>
      <c r="S414" s="10" t="n">
        <v>0</v>
      </c>
    </row>
    <row r="415" ht="409.5" customHeight="1">
      <c r="A415" s="6">
        <f>IFERROR(__xludf.DUMMYFUNCTION("""COMPUTED_VALUE"""),"Transcription and translation of DNA")</f>
        <v/>
      </c>
      <c r="B415" s="6">
        <f>IFERROR(__xludf.DUMMYFUNCTION("""COMPUTED_VALUE"""),"Resource")</f>
        <v/>
      </c>
      <c r="C415" s="6">
        <f>IFERROR(__xludf.DUMMYFUNCTION("""COMPUTED_VALUE"""),"Προσανατολισμός 3.graasp")</f>
        <v/>
      </c>
      <c r="D415" s="7">
        <f>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
      </c>
      <c r="E415" s="7">
        <f>IFERROR(__xludf.DUMMYFUNCTION("""COMPUTED_VALUE"""),"No artifact embedded")</f>
        <v/>
      </c>
      <c r="F415" s="7" t="n"/>
      <c r="G415" s="8" t="n">
        <v>1</v>
      </c>
      <c r="H415" s="8" t="n">
        <v>0</v>
      </c>
      <c r="I415" s="8" t="n">
        <v>0</v>
      </c>
      <c r="J415" s="8" t="n">
        <v>0</v>
      </c>
      <c r="K415" s="9" t="n">
        <v>1</v>
      </c>
      <c r="L415" s="9" t="n">
        <v>0</v>
      </c>
      <c r="M415" s="9" t="n">
        <v>0</v>
      </c>
      <c r="N415" s="9" t="n">
        <v>0</v>
      </c>
      <c r="O415" s="10" t="n">
        <v>1</v>
      </c>
      <c r="P415" s="10" t="n">
        <v>0</v>
      </c>
      <c r="Q415" s="10" t="n">
        <v>0</v>
      </c>
      <c r="R415" s="10" t="n">
        <v>0</v>
      </c>
      <c r="S415" s="10" t="n">
        <v>0</v>
      </c>
    </row>
    <row r="416" ht="181" customHeight="1">
      <c r="A416" s="6">
        <f>IFERROR(__xludf.DUMMYFUNCTION("""COMPUTED_VALUE"""),"Transcription and translation of DNA")</f>
        <v/>
      </c>
      <c r="B416" s="6">
        <f>IFERROR(__xludf.DUMMYFUNCTION("""COMPUTED_VALUE"""),"Space")</f>
        <v/>
      </c>
      <c r="C416" s="6">
        <f>IFERROR(__xludf.DUMMYFUNCTION("""COMPUTED_VALUE"""),"Will the mountain come to Muhammad?")</f>
        <v/>
      </c>
      <c r="D416" s="7">
        <f>IFERROR(__xludf.DUMMYFUNCTION("""COMPUTED_VALUE"""),"&lt;p&gt;Do you know the old proverb: 'If the mountain will not come to Muhammad, then Muhammad must go to the mountain'? You might find it useful during the second phase of the lesson, the phase of Conceptualization!&lt;/p&gt;")</f>
        <v/>
      </c>
      <c r="E416" s="7">
        <f>IFERROR(__xludf.DUMMYFUNCTION("""COMPUTED_VALUE"""),"No artifact embedded")</f>
        <v/>
      </c>
      <c r="F416" s="7" t="n"/>
      <c r="G416" s="8" t="n">
        <v>1</v>
      </c>
      <c r="H416" s="8" t="n">
        <v>0</v>
      </c>
      <c r="I416" s="8" t="n">
        <v>0</v>
      </c>
      <c r="J416" s="8" t="n">
        <v>0</v>
      </c>
      <c r="K416" s="9" t="n">
        <v>1</v>
      </c>
      <c r="L416" s="9" t="n">
        <v>0</v>
      </c>
      <c r="M416" s="9" t="n">
        <v>0</v>
      </c>
      <c r="N416" s="9" t="n">
        <v>0</v>
      </c>
      <c r="O416" s="10" t="n">
        <v>1</v>
      </c>
      <c r="P416" s="10" t="n">
        <v>0</v>
      </c>
      <c r="Q416" s="10" t="n">
        <v>0</v>
      </c>
      <c r="R416" s="10" t="n">
        <v>0</v>
      </c>
      <c r="S416" s="10" t="n">
        <v>0</v>
      </c>
    </row>
    <row r="417" ht="169" customHeight="1">
      <c r="A417" s="6">
        <f>IFERROR(__xludf.DUMMYFUNCTION("""COMPUTED_VALUE"""),"Transcription and translation of DNA")</f>
        <v/>
      </c>
      <c r="B417" s="6">
        <f>IFERROR(__xludf.DUMMYFUNCTION("""COMPUTED_VALUE"""),"Resource")</f>
        <v/>
      </c>
      <c r="C417" s="6">
        <f>IFERROR(__xludf.DUMMYFUNCTION("""COMPUTED_VALUE"""),"Conceptualization.graasp")</f>
        <v/>
      </c>
      <c r="D417" s="7">
        <f>IFERROR(__xludf.DUMMYFUNCTION("""COMPUTED_VALUE"""),"&lt;table class=""table table-bordered""&gt;&lt;tbody&gt;&lt;tr&gt;&lt;td&gt;&lt;p&gt;Watch the rest of the video to remember what we have learned about proteins and amino acids.&lt;/p&gt;&lt;/td&gt;&lt;/tr&gt;&lt;/tbody&gt;&lt;/table&gt;")</f>
        <v/>
      </c>
      <c r="E417" s="7">
        <f>IFERROR(__xludf.DUMMYFUNCTION("""COMPUTED_VALUE"""),"No artifact embedded")</f>
        <v/>
      </c>
      <c r="F417" s="7" t="n"/>
      <c r="G417" s="8" t="n">
        <v>1</v>
      </c>
      <c r="H417" s="8" t="n">
        <v>0</v>
      </c>
      <c r="I417" s="8" t="n">
        <v>0</v>
      </c>
      <c r="J417" s="8" t="n">
        <v>0</v>
      </c>
      <c r="K417" s="9" t="n">
        <v>1</v>
      </c>
      <c r="L417" s="9" t="n">
        <v>0</v>
      </c>
      <c r="M417" s="9" t="n">
        <v>0</v>
      </c>
      <c r="N417" s="9" t="n">
        <v>0</v>
      </c>
      <c r="O417" s="10" t="n">
        <v>1</v>
      </c>
      <c r="P417" s="10" t="n">
        <v>0</v>
      </c>
      <c r="Q417" s="10" t="n">
        <v>0</v>
      </c>
      <c r="R417" s="10" t="n">
        <v>0</v>
      </c>
      <c r="S417" s="10" t="n">
        <v>0</v>
      </c>
    </row>
    <row r="418" ht="121" customHeight="1">
      <c r="A418" s="6">
        <f>IFERROR(__xludf.DUMMYFUNCTION("""COMPUTED_VALUE"""),"Transcription and translation of DNA")</f>
        <v/>
      </c>
      <c r="B418" s="6">
        <f>IFERROR(__xludf.DUMMYFUNCTION("""COMPUTED_VALUE"""),"Resource")</f>
        <v/>
      </c>
      <c r="C418" s="6">
        <f>IFERROR(__xludf.DUMMYFUNCTION("""COMPUTED_VALUE"""),"What is DNA and How Does it Work?")</f>
        <v/>
      </c>
      <c r="D418" s="7">
        <f>IFERROR(__xludf.DUMMYFUNCTION("""COMPUTED_VALUE"""),"No task description")</f>
        <v/>
      </c>
      <c r="E418" s="7">
        <f>IFERROR(__xludf.DUMMYFUNCTION("""COMPUTED_VALUE"""),"youtube.com: A widely known video-sharing platform where users can watch videos on a vast array of topics, including educational content.")</f>
        <v/>
      </c>
      <c r="F418" s="7" t="n"/>
      <c r="G418" s="8" t="n">
        <v>1</v>
      </c>
      <c r="H418" s="8" t="n">
        <v>0</v>
      </c>
      <c r="I418" s="8" t="n">
        <v>0</v>
      </c>
      <c r="J418" s="8" t="n">
        <v>0</v>
      </c>
      <c r="K418" s="9" t="n">
        <v>1</v>
      </c>
      <c r="L418" s="9" t="n">
        <v>0</v>
      </c>
      <c r="M418" s="9" t="n">
        <v>0</v>
      </c>
      <c r="N418" s="9" t="n">
        <v>0</v>
      </c>
      <c r="O418" s="10" t="n">
        <v>0</v>
      </c>
      <c r="P418" s="10" t="n">
        <v>0</v>
      </c>
      <c r="Q418" s="10" t="n">
        <v>0</v>
      </c>
      <c r="R418" s="10" t="n">
        <v>0</v>
      </c>
      <c r="S418" s="10" t="n">
        <v>0</v>
      </c>
    </row>
    <row r="419" ht="409.5" customHeight="1">
      <c r="A419" s="6">
        <f>IFERROR(__xludf.DUMMYFUNCTION("""COMPUTED_VALUE"""),"Transcription and translation of DNA")</f>
        <v/>
      </c>
      <c r="B419" s="6">
        <f>IFERROR(__xludf.DUMMYFUNCTION("""COMPUTED_VALUE"""),"Application")</f>
        <v/>
      </c>
      <c r="C419" s="6">
        <f>IFERROR(__xludf.DUMMYFUNCTION("""COMPUTED_VALUE"""),"Question Scratchpad")</f>
        <v/>
      </c>
      <c r="D419" s="7">
        <f>IFERROR(__xludf.DUMMYFUNCTION("""COMPUTED_VALUE"""),"&lt;p&gt;Using the Question Scratchpad Tool below, try to create your own research question, keeping in mind what we have discussed so far. Use as many words as you like.&lt;/p&gt;&lt;p&gt;&lt;br&gt;&lt;/p&gt;")</f>
        <v/>
      </c>
      <c r="E419"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419" s="7" t="n"/>
      <c r="G419" s="8" t="n">
        <v>0</v>
      </c>
      <c r="H419" s="8" t="n">
        <v>0</v>
      </c>
      <c r="I419" s="8" t="n">
        <v>1</v>
      </c>
      <c r="J419" s="8" t="n">
        <v>0</v>
      </c>
      <c r="K419" s="9" t="n">
        <v>0</v>
      </c>
      <c r="L419" s="9" t="n">
        <v>1</v>
      </c>
      <c r="M419" s="9" t="n">
        <v>0</v>
      </c>
      <c r="N419" s="9" t="n">
        <v>0</v>
      </c>
      <c r="O419" s="10" t="n">
        <v>0</v>
      </c>
      <c r="P419" s="10" t="n">
        <v>1</v>
      </c>
      <c r="Q419" s="10" t="n">
        <v>0</v>
      </c>
      <c r="R419" s="10" t="n">
        <v>0</v>
      </c>
      <c r="S419" s="10" t="n">
        <v>0</v>
      </c>
    </row>
    <row r="420" ht="384" customHeight="1">
      <c r="A420" s="6">
        <f>IFERROR(__xludf.DUMMYFUNCTION("""COMPUTED_VALUE"""),"Transcription and translation of DNA")</f>
        <v/>
      </c>
      <c r="B420" s="6">
        <f>IFERROR(__xludf.DUMMYFUNCTION("""COMPUTED_VALUE"""),"Resource")</f>
        <v/>
      </c>
      <c r="C420" s="6">
        <f>IFERROR(__xludf.DUMMYFUNCTION("""COMPUTED_VALUE"""),"Conceptualization1.graasp")</f>
        <v/>
      </c>
      <c r="D420" s="7">
        <f>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
      </c>
      <c r="E420" s="7">
        <f>IFERROR(__xludf.DUMMYFUNCTION("""COMPUTED_VALUE"""),"No artifact embedded")</f>
        <v/>
      </c>
      <c r="F420" s="7" t="n"/>
      <c r="G420" s="8" t="n">
        <v>0</v>
      </c>
      <c r="H420" s="8" t="n">
        <v>0</v>
      </c>
      <c r="I420" s="8" t="n">
        <v>1</v>
      </c>
      <c r="J420" s="8" t="n">
        <v>0</v>
      </c>
      <c r="K420" s="9" t="n">
        <v>0</v>
      </c>
      <c r="L420" s="9" t="n">
        <v>1</v>
      </c>
      <c r="M420" s="9" t="n">
        <v>0</v>
      </c>
      <c r="N420" s="9" t="n">
        <v>0</v>
      </c>
      <c r="O420" s="10" t="n">
        <v>0</v>
      </c>
      <c r="P420" s="10" t="n">
        <v>1</v>
      </c>
      <c r="Q420" s="10" t="n">
        <v>0</v>
      </c>
      <c r="R420" s="10" t="n">
        <v>0</v>
      </c>
      <c r="S420" s="10" t="n">
        <v>0</v>
      </c>
    </row>
    <row r="421" ht="409.5" customHeight="1">
      <c r="A421" s="6">
        <f>IFERROR(__xludf.DUMMYFUNCTION("""COMPUTED_VALUE"""),"Transcription and translation of DNA")</f>
        <v/>
      </c>
      <c r="B421" s="6">
        <f>IFERROR(__xludf.DUMMYFUNCTION("""COMPUTED_VALUE"""),"Application")</f>
        <v/>
      </c>
      <c r="C421" s="6">
        <f>IFERROR(__xludf.DUMMYFUNCTION("""COMPUTED_VALUE"""),"Concept Mapper")</f>
        <v/>
      </c>
      <c r="D421" s="7">
        <f>IFERROR(__xludf.DUMMYFUNCTION("""COMPUTED_VALUE"""),"No task description")</f>
        <v/>
      </c>
      <c r="E42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21" s="7" t="n"/>
      <c r="G421" s="8" t="n">
        <v>0</v>
      </c>
      <c r="H421" s="8" t="n">
        <v>0</v>
      </c>
      <c r="I421" s="8" t="n">
        <v>1</v>
      </c>
      <c r="J421" s="8" t="n">
        <v>0</v>
      </c>
      <c r="K421" s="9" t="n">
        <v>0</v>
      </c>
      <c r="L421" s="9" t="n">
        <v>1</v>
      </c>
      <c r="M421" s="9" t="n">
        <v>0</v>
      </c>
      <c r="N421" s="9" t="n">
        <v>0</v>
      </c>
      <c r="O421" s="10" t="n">
        <v>0</v>
      </c>
      <c r="P421" s="10" t="n">
        <v>1</v>
      </c>
      <c r="Q421" s="10" t="n">
        <v>0</v>
      </c>
      <c r="R421" s="10" t="n">
        <v>0</v>
      </c>
      <c r="S421" s="10" t="n">
        <v>0</v>
      </c>
    </row>
    <row r="422" ht="205" customHeight="1">
      <c r="A422" s="6">
        <f>IFERROR(__xludf.DUMMYFUNCTION("""COMPUTED_VALUE"""),"Transcription and translation of DNA")</f>
        <v/>
      </c>
      <c r="B422" s="6">
        <f>IFERROR(__xludf.DUMMYFUNCTION("""COMPUTED_VALUE"""),"Resource")</f>
        <v/>
      </c>
      <c r="C422" s="6">
        <f>IFERROR(__xludf.DUMMYFUNCTION("""COMPUTED_VALUE"""),"Conceptualization2.graasp")</f>
        <v/>
      </c>
      <c r="D422" s="7">
        <f>IFERROR(__xludf.DUMMYFUNCTION("""COMPUTED_VALUE"""),"&lt;table class=""table table-bordered""&gt;&lt;tbody&gt;&lt;tr&gt;&lt;td&gt;&lt;p&gt;Perhaps the conceptual map has helped you answer the question you created. The rest of the video we watch will help you confirm your thoughts!&lt;/p&gt;&lt;/td&gt;&lt;/tr&gt;&lt;/tbody&gt;&lt;/table&gt;")</f>
        <v/>
      </c>
      <c r="E422" s="7">
        <f>IFERROR(__xludf.DUMMYFUNCTION("""COMPUTED_VALUE"""),"No artifact embedded")</f>
        <v/>
      </c>
      <c r="F422" s="7" t="n"/>
      <c r="G422" s="8" t="n">
        <v>1</v>
      </c>
      <c r="H422" s="8" t="n">
        <v>0</v>
      </c>
      <c r="I422" s="8" t="n">
        <v>0</v>
      </c>
      <c r="J422" s="8" t="n">
        <v>0</v>
      </c>
      <c r="K422" s="9" t="n">
        <v>1</v>
      </c>
      <c r="L422" s="9" t="n">
        <v>0</v>
      </c>
      <c r="M422" s="9" t="n">
        <v>0</v>
      </c>
      <c r="N422" s="9" t="n">
        <v>0</v>
      </c>
      <c r="O422" s="10" t="n">
        <v>1</v>
      </c>
      <c r="P422" s="10" t="n">
        <v>0</v>
      </c>
      <c r="Q422" s="10" t="n">
        <v>0</v>
      </c>
      <c r="R422" s="10" t="n">
        <v>0</v>
      </c>
      <c r="S422" s="10" t="n">
        <v>0</v>
      </c>
    </row>
    <row r="423" ht="121" customHeight="1">
      <c r="A423" s="6">
        <f>IFERROR(__xludf.DUMMYFUNCTION("""COMPUTED_VALUE"""),"Transcription and translation of DNA")</f>
        <v/>
      </c>
      <c r="B423" s="6">
        <f>IFERROR(__xludf.DUMMYFUNCTION("""COMPUTED_VALUE"""),"Resource")</f>
        <v/>
      </c>
      <c r="C423" s="6">
        <f>IFERROR(__xludf.DUMMYFUNCTION("""COMPUTED_VALUE"""),"What is DNA and How Does it Work? (1)")</f>
        <v/>
      </c>
      <c r="D423" s="7">
        <f>IFERROR(__xludf.DUMMYFUNCTION("""COMPUTED_VALUE"""),"No task description")</f>
        <v/>
      </c>
      <c r="E423" s="7">
        <f>IFERROR(__xludf.DUMMYFUNCTION("""COMPUTED_VALUE"""),"youtube.com: A widely known video-sharing platform where users can watch videos on a vast array of topics, including educational content.")</f>
        <v/>
      </c>
      <c r="F423" s="7" t="n"/>
      <c r="G423" s="8" t="n">
        <v>1</v>
      </c>
      <c r="H423" s="8" t="n">
        <v>0</v>
      </c>
      <c r="I423" s="8" t="n">
        <v>0</v>
      </c>
      <c r="J423" s="8" t="n">
        <v>0</v>
      </c>
      <c r="K423" s="9" t="n">
        <v>1</v>
      </c>
      <c r="L423" s="9" t="n">
        <v>0</v>
      </c>
      <c r="M423" s="9" t="n">
        <v>0</v>
      </c>
      <c r="N423" s="9" t="n">
        <v>0</v>
      </c>
      <c r="O423" s="10" t="n">
        <v>0</v>
      </c>
      <c r="P423" s="10" t="n">
        <v>0</v>
      </c>
      <c r="Q423" s="10" t="n">
        <v>0</v>
      </c>
      <c r="R423" s="10" t="n">
        <v>0</v>
      </c>
      <c r="S423" s="10" t="n">
        <v>0</v>
      </c>
    </row>
    <row r="424" ht="409.5" customHeight="1">
      <c r="A424" s="6">
        <f>IFERROR(__xludf.DUMMYFUNCTION("""COMPUTED_VALUE"""),"Transcription and translation of DNA")</f>
        <v/>
      </c>
      <c r="B424" s="6">
        <f>IFERROR(__xludf.DUMMYFUNCTION("""COMPUTED_VALUE"""),"Resource")</f>
        <v/>
      </c>
      <c r="C424" s="6">
        <f>IFERROR(__xludf.DUMMYFUNCTION("""COMPUTED_VALUE"""),"Conceptualization 3.graasp")</f>
        <v/>
      </c>
      <c r="D424" s="7">
        <f>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
      </c>
      <c r="E424" s="7">
        <f>IFERROR(__xludf.DUMMYFUNCTION("""COMPUTED_VALUE"""),"No artifact embedded")</f>
        <v/>
      </c>
      <c r="F424" s="7" t="n"/>
      <c r="G424" s="8" t="n">
        <v>1</v>
      </c>
      <c r="H424" s="8" t="n">
        <v>0</v>
      </c>
      <c r="I424" s="8" t="n">
        <v>0</v>
      </c>
      <c r="J424" s="8" t="n">
        <v>0</v>
      </c>
      <c r="K424" s="9" t="n">
        <v>1</v>
      </c>
      <c r="L424" s="9" t="n">
        <v>0</v>
      </c>
      <c r="M424" s="9" t="n">
        <v>0</v>
      </c>
      <c r="N424" s="9" t="n">
        <v>0</v>
      </c>
      <c r="O424" s="10" t="n">
        <v>1</v>
      </c>
      <c r="P424" s="10" t="n">
        <v>0</v>
      </c>
      <c r="Q424" s="10" t="n">
        <v>0</v>
      </c>
      <c r="R424" s="10" t="n">
        <v>0</v>
      </c>
      <c r="S424" s="10" t="n">
        <v>0</v>
      </c>
    </row>
    <row r="425" ht="395" customHeight="1">
      <c r="A425" s="6">
        <f>IFERROR(__xludf.DUMMYFUNCTION("""COMPUTED_VALUE"""),"Transcription and translation of DNA")</f>
        <v/>
      </c>
      <c r="B425" s="6">
        <f>IFERROR(__xludf.DUMMYFUNCTION("""COMPUTED_VALUE"""),"Resource")</f>
        <v/>
      </c>
      <c r="C425" s="6">
        <f>IFERROR(__xludf.DUMMYFUNCTION("""COMPUTED_VALUE"""),"Conceptualization 4.graasp")</f>
        <v/>
      </c>
      <c r="D425" s="7">
        <f>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
      </c>
      <c r="E425" s="7">
        <f>IFERROR(__xludf.DUMMYFUNCTION("""COMPUTED_VALUE"""),"No artifact embedded")</f>
        <v/>
      </c>
      <c r="F425" s="7" t="n"/>
      <c r="G425" s="8" t="n">
        <v>0</v>
      </c>
      <c r="H425" s="8" t="n">
        <v>0</v>
      </c>
      <c r="I425" s="8" t="n">
        <v>1</v>
      </c>
      <c r="J425" s="8" t="n">
        <v>0</v>
      </c>
      <c r="K425" s="9" t="n">
        <v>0</v>
      </c>
      <c r="L425" s="9" t="n">
        <v>1</v>
      </c>
      <c r="M425" s="9" t="n">
        <v>0</v>
      </c>
      <c r="N425" s="9" t="n">
        <v>0</v>
      </c>
      <c r="O425" s="10" t="n">
        <v>0</v>
      </c>
      <c r="P425" s="10" t="n">
        <v>1</v>
      </c>
      <c r="Q425" s="10" t="n">
        <v>0</v>
      </c>
      <c r="R425" s="10" t="n">
        <v>0</v>
      </c>
      <c r="S425" s="10" t="n">
        <v>0</v>
      </c>
    </row>
    <row r="426" ht="329" customHeight="1">
      <c r="A426" s="6">
        <f>IFERROR(__xludf.DUMMYFUNCTION("""COMPUTED_VALUE"""),"Transcription and translation of DNA")</f>
        <v/>
      </c>
      <c r="B426" s="6">
        <f>IFERROR(__xludf.DUMMYFUNCTION("""COMPUTED_VALUE"""),"Application")</f>
        <v/>
      </c>
      <c r="C426" s="6">
        <f>IFERROR(__xludf.DUMMYFUNCTION("""COMPUTED_VALUE"""),"Input Box")</f>
        <v/>
      </c>
      <c r="D426" s="7">
        <f>IFERROR(__xludf.DUMMYFUNCTION("""COMPUTED_VALUE"""),"No task description")</f>
        <v/>
      </c>
      <c r="E4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26" s="7" t="n"/>
      <c r="G426" s="8" t="n">
        <v>0</v>
      </c>
      <c r="H426" s="8" t="n">
        <v>0</v>
      </c>
      <c r="I426" s="8" t="n">
        <v>1</v>
      </c>
      <c r="J426" s="8" t="n">
        <v>0</v>
      </c>
      <c r="K426" s="9" t="n">
        <v>0</v>
      </c>
      <c r="L426" s="9" t="n">
        <v>1</v>
      </c>
      <c r="M426" s="9" t="n">
        <v>0</v>
      </c>
      <c r="N426" s="9" t="n">
        <v>0</v>
      </c>
      <c r="O426" s="10" t="n">
        <v>0</v>
      </c>
      <c r="P426" s="10" t="n">
        <v>0</v>
      </c>
      <c r="Q426" s="10" t="n">
        <v>0</v>
      </c>
      <c r="R426" s="10" t="n">
        <v>0</v>
      </c>
      <c r="S426" s="10" t="n">
        <v>0</v>
      </c>
    </row>
    <row r="427" ht="49" customHeight="1">
      <c r="A427" s="6">
        <f>IFERROR(__xludf.DUMMYFUNCTION("""COMPUTED_VALUE"""),"Transcription and translation of DNA")</f>
        <v/>
      </c>
      <c r="B427" s="6">
        <f>IFERROR(__xludf.DUMMYFUNCTION("""COMPUTED_VALUE"""),"Space")</f>
        <v/>
      </c>
      <c r="C427" s="6">
        <f>IFERROR(__xludf.DUMMYFUNCTION("""COMPUTED_VALUE"""),"Let's experiment!")</f>
        <v/>
      </c>
      <c r="D427" s="7">
        <f>IFERROR(__xludf.DUMMYFUNCTION("""COMPUTED_VALUE"""),"&lt;p&gt;The next phase is the Investigation phase.&lt;/p&gt;")</f>
        <v/>
      </c>
      <c r="E427" s="7">
        <f>IFERROR(__xludf.DUMMYFUNCTION("""COMPUTED_VALUE"""),"No artifact embedded")</f>
        <v/>
      </c>
      <c r="F427" s="7" t="n"/>
      <c r="G427" s="8" t="n">
        <v>0</v>
      </c>
      <c r="H427" s="8" t="n">
        <v>0</v>
      </c>
      <c r="I427" s="8" t="n">
        <v>0</v>
      </c>
      <c r="J427" s="8" t="n">
        <v>0</v>
      </c>
      <c r="K427" s="9" t="n">
        <v>0</v>
      </c>
      <c r="L427" s="9" t="n">
        <v>0</v>
      </c>
      <c r="M427" s="9" t="n">
        <v>0</v>
      </c>
      <c r="N427" s="9" t="n">
        <v>0</v>
      </c>
      <c r="O427" s="10" t="n">
        <v>0</v>
      </c>
      <c r="P427" s="10" t="n">
        <v>0</v>
      </c>
      <c r="Q427" s="10" t="n">
        <v>0</v>
      </c>
      <c r="R427" s="10" t="n">
        <v>0</v>
      </c>
      <c r="S427" s="10" t="n">
        <v>0</v>
      </c>
    </row>
    <row r="428" ht="384" customHeight="1">
      <c r="A428" s="6">
        <f>IFERROR(__xludf.DUMMYFUNCTION("""COMPUTED_VALUE"""),"Transcription and translation of DNA")</f>
        <v/>
      </c>
      <c r="B428" s="6">
        <f>IFERROR(__xludf.DUMMYFUNCTION("""COMPUTED_VALUE"""),"Resource")</f>
        <v/>
      </c>
      <c r="C428" s="6">
        <f>IFERROR(__xludf.DUMMYFUNCTION("""COMPUTED_VALUE"""),"Investigation .graasp")</f>
        <v/>
      </c>
      <c r="D428" s="7">
        <f>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
      </c>
      <c r="E428" s="7">
        <f>IFERROR(__xludf.DUMMYFUNCTION("""COMPUTED_VALUE"""),"No artifact embedded")</f>
        <v/>
      </c>
      <c r="F428" s="7" t="n"/>
      <c r="G428" s="8" t="n">
        <v>0</v>
      </c>
      <c r="H428" s="8" t="n">
        <v>0</v>
      </c>
      <c r="I428" s="8" t="n">
        <v>1</v>
      </c>
      <c r="J428" s="8" t="n">
        <v>0</v>
      </c>
      <c r="K428" s="9" t="n">
        <v>0</v>
      </c>
      <c r="L428" s="9" t="n">
        <v>1</v>
      </c>
      <c r="M428" s="9" t="n">
        <v>0</v>
      </c>
      <c r="N428" s="9" t="n">
        <v>0</v>
      </c>
      <c r="O428" s="10" t="n">
        <v>1</v>
      </c>
      <c r="P428" s="10" t="n">
        <v>0</v>
      </c>
      <c r="Q428" s="10" t="n">
        <v>1</v>
      </c>
      <c r="R428" s="10" t="n">
        <v>0</v>
      </c>
      <c r="S428" s="10" t="n">
        <v>0</v>
      </c>
    </row>
    <row r="429" ht="373" customHeight="1">
      <c r="A429" s="6">
        <f>IFERROR(__xludf.DUMMYFUNCTION("""COMPUTED_VALUE"""),"Transcription and translation of DNA")</f>
        <v/>
      </c>
      <c r="B429" s="6">
        <f>IFERROR(__xludf.DUMMYFUNCTION("""COMPUTED_VALUE"""),"Resource")</f>
        <v/>
      </c>
      <c r="C429" s="6">
        <f>IFERROR(__xludf.DUMMYFUNCTION("""COMPUTED_VALUE"""),"Investigation 1.graasp")</f>
        <v/>
      </c>
      <c r="D429" s="7">
        <f>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
      </c>
      <c r="E429" s="7">
        <f>IFERROR(__xludf.DUMMYFUNCTION("""COMPUTED_VALUE"""),"No artifact embedded")</f>
        <v/>
      </c>
      <c r="F429" s="7" t="n"/>
      <c r="G429" s="8" t="n">
        <v>0</v>
      </c>
      <c r="H429" s="8" t="n">
        <v>1</v>
      </c>
      <c r="I429" s="8" t="n">
        <v>0</v>
      </c>
      <c r="J429" s="8" t="n">
        <v>0</v>
      </c>
      <c r="K429" s="9" t="n">
        <v>1</v>
      </c>
      <c r="L429" s="9" t="n">
        <v>0</v>
      </c>
      <c r="M429" s="9" t="n">
        <v>0</v>
      </c>
      <c r="N429" s="9" t="n">
        <v>0</v>
      </c>
      <c r="O429" s="10" t="n">
        <v>1</v>
      </c>
      <c r="P429" s="10" t="n">
        <v>0</v>
      </c>
      <c r="Q429" s="10" t="n">
        <v>1</v>
      </c>
      <c r="R429" s="10" t="n">
        <v>0</v>
      </c>
      <c r="S429" s="10" t="n">
        <v>0</v>
      </c>
    </row>
    <row r="430" ht="296" customHeight="1">
      <c r="A430" s="6">
        <f>IFERROR(__xludf.DUMMYFUNCTION("""COMPUTED_VALUE"""),"Transcription and translation of DNA")</f>
        <v/>
      </c>
      <c r="B430" s="6">
        <f>IFERROR(__xludf.DUMMYFUNCTION("""COMPUTED_VALUE"""),"Application")</f>
        <v/>
      </c>
      <c r="C430" s="6">
        <f>IFERROR(__xludf.DUMMYFUNCTION("""COMPUTED_VALUE"""),"Modeling Transcription App")</f>
        <v/>
      </c>
      <c r="D430" s="7">
        <f>IFERROR(__xludf.DUMMYFUNCTION("""COMPUTED_VALUE"""),"No task description")</f>
        <v/>
      </c>
      <c r="E430" s="7">
        <f>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
      </c>
      <c r="F430" s="7" t="n"/>
      <c r="G430" s="8" t="n">
        <v>0</v>
      </c>
      <c r="H430" s="8" t="n">
        <v>1</v>
      </c>
      <c r="I430" s="8" t="n">
        <v>0</v>
      </c>
      <c r="J430" s="8" t="n">
        <v>0</v>
      </c>
      <c r="K430" s="9" t="n">
        <v>1</v>
      </c>
      <c r="L430" s="9" t="n">
        <v>0</v>
      </c>
      <c r="M430" s="9" t="n">
        <v>0</v>
      </c>
      <c r="N430" s="9" t="n">
        <v>0</v>
      </c>
      <c r="O430" s="10" t="n">
        <v>0</v>
      </c>
      <c r="P430" s="10" t="n">
        <v>0</v>
      </c>
      <c r="Q430" s="10" t="n">
        <v>1</v>
      </c>
      <c r="R430" s="10" t="n">
        <v>0</v>
      </c>
      <c r="S430" s="10" t="n">
        <v>0</v>
      </c>
    </row>
    <row r="431" ht="395" customHeight="1">
      <c r="A431" s="6">
        <f>IFERROR(__xludf.DUMMYFUNCTION("""COMPUTED_VALUE"""),"Transcription and translation of DNA")</f>
        <v/>
      </c>
      <c r="B431" s="6">
        <f>IFERROR(__xludf.DUMMYFUNCTION("""COMPUTED_VALUE"""),"Application")</f>
        <v/>
      </c>
      <c r="C431" s="6">
        <f>IFERROR(__xludf.DUMMYFUNCTION("""COMPUTED_VALUE"""),"Observation Tool")</f>
        <v/>
      </c>
      <c r="D431" s="7">
        <f>IFERROR(__xludf.DUMMYFUNCTION("""COMPUTED_VALUE"""),"&lt;p&gt;What do you observe? Write down your observations in the following tool by pressing +. You can create as many comments as you like.&lt;/p&gt;")</f>
        <v/>
      </c>
      <c r="E431"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431" s="7" t="n"/>
      <c r="G431" s="8" t="n">
        <v>0</v>
      </c>
      <c r="H431" s="8" t="n">
        <v>0</v>
      </c>
      <c r="I431" s="8" t="n">
        <v>1</v>
      </c>
      <c r="J431" s="8" t="n">
        <v>0</v>
      </c>
      <c r="K431" s="9" t="n">
        <v>0</v>
      </c>
      <c r="L431" s="9" t="n">
        <v>1</v>
      </c>
      <c r="M431" s="9" t="n">
        <v>0</v>
      </c>
      <c r="N431" s="9" t="n">
        <v>0</v>
      </c>
      <c r="O431" s="10" t="n">
        <v>0</v>
      </c>
      <c r="P431" s="10" t="n">
        <v>0</v>
      </c>
      <c r="Q431" s="10" t="n">
        <v>1</v>
      </c>
      <c r="R431" s="10" t="n">
        <v>0</v>
      </c>
      <c r="S431" s="10" t="n">
        <v>0</v>
      </c>
    </row>
    <row r="432" ht="409.5" customHeight="1">
      <c r="A432" s="6">
        <f>IFERROR(__xludf.DUMMYFUNCTION("""COMPUTED_VALUE"""),"Transcription and translation of DNA")</f>
        <v/>
      </c>
      <c r="B432" s="6">
        <f>IFERROR(__xludf.DUMMYFUNCTION("""COMPUTED_VALUE"""),"Resource")</f>
        <v/>
      </c>
      <c r="C432" s="6">
        <f>IFERROR(__xludf.DUMMYFUNCTION("""COMPUTED_VALUE"""),"Investigation 2.graasp")</f>
        <v/>
      </c>
      <c r="D432" s="7">
        <f>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
      </c>
      <c r="E432" s="7">
        <f>IFERROR(__xludf.DUMMYFUNCTION("""COMPUTED_VALUE"""),"No artifact embedded")</f>
        <v/>
      </c>
      <c r="F432" s="7" t="n"/>
      <c r="G432" s="8" t="n">
        <v>0</v>
      </c>
      <c r="H432" s="8" t="n">
        <v>0</v>
      </c>
      <c r="I432" s="8" t="n">
        <v>1</v>
      </c>
      <c r="J432" s="8" t="n">
        <v>0</v>
      </c>
      <c r="K432" s="9" t="n">
        <v>0</v>
      </c>
      <c r="L432" s="9" t="n">
        <v>1</v>
      </c>
      <c r="M432" s="9" t="n">
        <v>0</v>
      </c>
      <c r="N432" s="9" t="n">
        <v>0</v>
      </c>
      <c r="O432" s="10" t="n">
        <v>1</v>
      </c>
      <c r="P432" s="10" t="n">
        <v>0</v>
      </c>
      <c r="Q432" s="10" t="n">
        <v>0</v>
      </c>
      <c r="R432" s="10" t="n">
        <v>0</v>
      </c>
      <c r="S432" s="10" t="n">
        <v>0</v>
      </c>
    </row>
    <row r="433" ht="409.5" customHeight="1">
      <c r="A433" s="6">
        <f>IFERROR(__xludf.DUMMYFUNCTION("""COMPUTED_VALUE"""),"Transcription and translation of DNA")</f>
        <v/>
      </c>
      <c r="B433" s="6">
        <f>IFERROR(__xludf.DUMMYFUNCTION("""COMPUTED_VALUE"""),"Application")</f>
        <v/>
      </c>
      <c r="C433" s="6">
        <f>IFERROR(__xludf.DUMMYFUNCTION("""COMPUTED_VALUE"""),"Table Tool")</f>
        <v/>
      </c>
      <c r="D433" s="7">
        <f>IFERROR(__xludf.DUMMYFUNCTION("""COMPUTED_VALUE"""),"No task description")</f>
        <v/>
      </c>
      <c r="E43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33" s="7" t="n"/>
      <c r="G433" s="8" t="n">
        <v>0</v>
      </c>
      <c r="H433" s="8" t="n">
        <v>0</v>
      </c>
      <c r="I433" s="8" t="n">
        <v>1</v>
      </c>
      <c r="J433" s="8" t="n">
        <v>0</v>
      </c>
      <c r="K433" s="9" t="n">
        <v>0</v>
      </c>
      <c r="L433" s="9" t="n">
        <v>1</v>
      </c>
      <c r="M433" s="9" t="n">
        <v>0</v>
      </c>
      <c r="N433" s="9" t="n">
        <v>0</v>
      </c>
      <c r="O433" s="10" t="n">
        <v>0</v>
      </c>
      <c r="P433" s="10" t="n">
        <v>0</v>
      </c>
      <c r="Q433" s="10" t="n">
        <v>0</v>
      </c>
      <c r="R433" s="10" t="n">
        <v>0</v>
      </c>
      <c r="S433" s="10" t="n">
        <v>0</v>
      </c>
    </row>
    <row r="434" ht="285" customHeight="1">
      <c r="A434" s="6">
        <f>IFERROR(__xludf.DUMMYFUNCTION("""COMPUTED_VALUE"""),"Transcription and translation of DNA")</f>
        <v/>
      </c>
      <c r="B434" s="6">
        <f>IFERROR(__xludf.DUMMYFUNCTION("""COMPUTED_VALUE"""),"Resource")</f>
        <v/>
      </c>
      <c r="C434" s="6">
        <f>IFERROR(__xludf.DUMMYFUNCTION("""COMPUTED_VALUE"""),"Investigation 3.graasp")</f>
        <v/>
      </c>
      <c r="D434" s="7">
        <f>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
      </c>
      <c r="E434" s="7">
        <f>IFERROR(__xludf.DUMMYFUNCTION("""COMPUTED_VALUE"""),"No artifact embedded")</f>
        <v/>
      </c>
      <c r="F434" s="7" t="n"/>
      <c r="G434" s="8" t="n">
        <v>0</v>
      </c>
      <c r="H434" s="8" t="n">
        <v>1</v>
      </c>
      <c r="I434" s="8" t="n">
        <v>0</v>
      </c>
      <c r="J434" s="8" t="n">
        <v>0</v>
      </c>
      <c r="K434" s="9" t="n">
        <v>1</v>
      </c>
      <c r="L434" s="9" t="n">
        <v>0</v>
      </c>
      <c r="M434" s="9" t="n">
        <v>0</v>
      </c>
      <c r="N434" s="9" t="n">
        <v>0</v>
      </c>
      <c r="O434" s="10" t="n">
        <v>1</v>
      </c>
      <c r="P434" s="10" t="n">
        <v>0</v>
      </c>
      <c r="Q434" s="10" t="n">
        <v>1</v>
      </c>
      <c r="R434" s="10" t="n">
        <v>0</v>
      </c>
      <c r="S434" s="10" t="n">
        <v>0</v>
      </c>
    </row>
    <row r="435" ht="409.5" customHeight="1">
      <c r="A435" s="6">
        <f>IFERROR(__xludf.DUMMYFUNCTION("""COMPUTED_VALUE"""),"Transcription and translation of DNA")</f>
        <v/>
      </c>
      <c r="B435" s="6">
        <f>IFERROR(__xludf.DUMMYFUNCTION("""COMPUTED_VALUE"""),"Application")</f>
        <v/>
      </c>
      <c r="C435" s="6">
        <f>IFERROR(__xludf.DUMMYFUNCTION("""COMPUTED_VALUE"""),"Modeling Translation App")</f>
        <v/>
      </c>
      <c r="D435" s="7">
        <f>IFERROR(__xludf.DUMMYFUNCTION("""COMPUTED_VALUE"""),"No task description")</f>
        <v/>
      </c>
      <c r="E435" s="7">
        <f>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
      </c>
      <c r="F435" s="7" t="n"/>
      <c r="G435" s="8" t="n">
        <v>0</v>
      </c>
      <c r="H435" s="8" t="n">
        <v>1</v>
      </c>
      <c r="I435" s="8" t="n">
        <v>0</v>
      </c>
      <c r="J435" s="8" t="n">
        <v>0</v>
      </c>
      <c r="K435" s="9" t="n">
        <v>1</v>
      </c>
      <c r="L435" s="9" t="n">
        <v>0</v>
      </c>
      <c r="M435" s="9" t="n">
        <v>0</v>
      </c>
      <c r="N435" s="9" t="n">
        <v>0</v>
      </c>
      <c r="O435" s="10" t="n">
        <v>0</v>
      </c>
      <c r="P435" s="10" t="n">
        <v>0</v>
      </c>
      <c r="Q435" s="10" t="n">
        <v>1</v>
      </c>
      <c r="R435" s="10" t="n">
        <v>0</v>
      </c>
      <c r="S435" s="10" t="n">
        <v>0</v>
      </c>
    </row>
    <row r="436" ht="329" customHeight="1">
      <c r="A436" s="6">
        <f>IFERROR(__xludf.DUMMYFUNCTION("""COMPUTED_VALUE"""),"Transcription and translation of DNA")</f>
        <v/>
      </c>
      <c r="B436" s="6">
        <f>IFERROR(__xludf.DUMMYFUNCTION("""COMPUTED_VALUE"""),"Application")</f>
        <v/>
      </c>
      <c r="C436" s="6">
        <f>IFERROR(__xludf.DUMMYFUNCTION("""COMPUTED_VALUE"""),"Input Box")</f>
        <v/>
      </c>
      <c r="D436" s="7">
        <f>IFERROR(__xludf.DUMMYFUNCTION("""COMPUTED_VALUE"""),"&lt;p&gt;What is the end result of the procedure?&lt;/p&gt;")</f>
        <v/>
      </c>
      <c r="E4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36" s="7" t="n"/>
      <c r="G436" s="8" t="n">
        <v>0</v>
      </c>
      <c r="H436" s="8" t="n">
        <v>0</v>
      </c>
      <c r="I436" s="8" t="n">
        <v>1</v>
      </c>
      <c r="J436" s="8" t="n">
        <v>0</v>
      </c>
      <c r="K436" s="9" t="n">
        <v>0</v>
      </c>
      <c r="L436" s="9" t="n">
        <v>1</v>
      </c>
      <c r="M436" s="9" t="n">
        <v>0</v>
      </c>
      <c r="N436" s="9" t="n">
        <v>0</v>
      </c>
      <c r="O436" s="10" t="n">
        <v>0</v>
      </c>
      <c r="P436" s="10" t="n">
        <v>0</v>
      </c>
      <c r="Q436" s="10" t="n">
        <v>1</v>
      </c>
      <c r="R436" s="10" t="n">
        <v>0</v>
      </c>
      <c r="S436" s="10" t="n">
        <v>0</v>
      </c>
    </row>
    <row r="437" ht="409.5" customHeight="1">
      <c r="A437" s="6">
        <f>IFERROR(__xludf.DUMMYFUNCTION("""COMPUTED_VALUE"""),"Transcription and translation of DNA")</f>
        <v/>
      </c>
      <c r="B437" s="6">
        <f>IFERROR(__xludf.DUMMYFUNCTION("""COMPUTED_VALUE"""),"Resource")</f>
        <v/>
      </c>
      <c r="C437" s="6">
        <f>IFERROR(__xludf.DUMMYFUNCTION("""COMPUTED_VALUE"""),"Investigation 4.graasp")</f>
        <v/>
      </c>
      <c r="D437" s="7">
        <f>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
      </c>
      <c r="E437" s="7">
        <f>IFERROR(__xludf.DUMMYFUNCTION("""COMPUTED_VALUE"""),"No artifact embedded")</f>
        <v/>
      </c>
      <c r="F437" s="7" t="n"/>
      <c r="G437" s="8" t="n">
        <v>1</v>
      </c>
      <c r="H437" s="8" t="n">
        <v>0</v>
      </c>
      <c r="I437" s="8" t="n">
        <v>0</v>
      </c>
      <c r="J437" s="8" t="n">
        <v>0</v>
      </c>
      <c r="K437" s="9" t="n">
        <v>1</v>
      </c>
      <c r="L437" s="9" t="n">
        <v>0</v>
      </c>
      <c r="M437" s="9" t="n">
        <v>0</v>
      </c>
      <c r="N437" s="9" t="n">
        <v>0</v>
      </c>
      <c r="O437" s="10" t="n">
        <v>1</v>
      </c>
      <c r="P437" s="10" t="n">
        <v>0</v>
      </c>
      <c r="Q437" s="10" t="n">
        <v>0</v>
      </c>
      <c r="R437" s="10" t="n">
        <v>0</v>
      </c>
      <c r="S437" s="10" t="n">
        <v>0</v>
      </c>
    </row>
    <row r="438" ht="37" customHeight="1">
      <c r="A438" s="6">
        <f>IFERROR(__xludf.DUMMYFUNCTION("""COMPUTED_VALUE"""),"Transcription and translation of DNA")</f>
        <v/>
      </c>
      <c r="B438" s="6">
        <f>IFERROR(__xludf.DUMMYFUNCTION("""COMPUTED_VALUE"""),"Space")</f>
        <v/>
      </c>
      <c r="C438" s="6">
        <f>IFERROR(__xludf.DUMMYFUNCTION("""COMPUTED_VALUE"""),"What have you learned today?")</f>
        <v/>
      </c>
      <c r="D438" s="7">
        <f>IFERROR(__xludf.DUMMYFUNCTION("""COMPUTED_VALUE"""),"&lt;p&gt;Welcome to the Conclusion phase.&lt;/p&gt;")</f>
        <v/>
      </c>
      <c r="E438" s="7">
        <f>IFERROR(__xludf.DUMMYFUNCTION("""COMPUTED_VALUE"""),"No artifact embedded")</f>
        <v/>
      </c>
      <c r="F438" s="7" t="n"/>
      <c r="G438" s="8" t="n">
        <v>0</v>
      </c>
      <c r="H438" s="8" t="n">
        <v>0</v>
      </c>
      <c r="I438" s="8" t="n">
        <v>0</v>
      </c>
      <c r="J438" s="8" t="n">
        <v>0</v>
      </c>
      <c r="K438" s="9" t="n">
        <v>0</v>
      </c>
      <c r="L438" s="9" t="n">
        <v>0</v>
      </c>
      <c r="M438" s="9" t="n">
        <v>0</v>
      </c>
      <c r="N438" s="9" t="n">
        <v>0</v>
      </c>
      <c r="O438" s="10" t="n">
        <v>0</v>
      </c>
      <c r="P438" s="10" t="n">
        <v>0</v>
      </c>
      <c r="Q438" s="10" t="n">
        <v>0</v>
      </c>
      <c r="R438" s="10" t="n">
        <v>0</v>
      </c>
      <c r="S438" s="10" t="n">
        <v>0</v>
      </c>
    </row>
    <row r="439" ht="373" customHeight="1">
      <c r="A439" s="6">
        <f>IFERROR(__xludf.DUMMYFUNCTION("""COMPUTED_VALUE"""),"Transcription and translation of DNA")</f>
        <v/>
      </c>
      <c r="B439" s="6">
        <f>IFERROR(__xludf.DUMMYFUNCTION("""COMPUTED_VALUE"""),"Resource")</f>
        <v/>
      </c>
      <c r="C439" s="6">
        <f>IFERROR(__xludf.DUMMYFUNCTION("""COMPUTED_VALUE"""),"Conclusion.graasp")</f>
        <v/>
      </c>
      <c r="D439" s="7">
        <f>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
      </c>
      <c r="E439" s="7">
        <f>IFERROR(__xludf.DUMMYFUNCTION("""COMPUTED_VALUE"""),"No artifact embedded")</f>
        <v/>
      </c>
      <c r="F439" s="7" t="n"/>
      <c r="G439" s="8" t="n">
        <v>0</v>
      </c>
      <c r="H439" s="8" t="n">
        <v>0</v>
      </c>
      <c r="I439" s="8" t="n">
        <v>1</v>
      </c>
      <c r="J439" s="8" t="n">
        <v>0</v>
      </c>
      <c r="K439" s="9" t="n">
        <v>0</v>
      </c>
      <c r="L439" s="9" t="n">
        <v>1</v>
      </c>
      <c r="M439" s="9" t="n">
        <v>0</v>
      </c>
      <c r="N439" s="9" t="n">
        <v>0</v>
      </c>
      <c r="O439" s="10" t="n">
        <v>0</v>
      </c>
      <c r="P439" s="10" t="n">
        <v>0</v>
      </c>
      <c r="Q439" s="10" t="n">
        <v>0</v>
      </c>
      <c r="R439" s="10" t="n">
        <v>1</v>
      </c>
      <c r="S439" s="10" t="n">
        <v>1</v>
      </c>
    </row>
    <row r="440" ht="409.5" customHeight="1">
      <c r="A440" s="6">
        <f>IFERROR(__xludf.DUMMYFUNCTION("""COMPUTED_VALUE"""),"Transcription and translation of DNA")</f>
        <v/>
      </c>
      <c r="B440" s="6">
        <f>IFERROR(__xludf.DUMMYFUNCTION("""COMPUTED_VALUE"""),"Application")</f>
        <v/>
      </c>
      <c r="C440" s="6">
        <f>IFERROR(__xludf.DUMMYFUNCTION("""COMPUTED_VALUE"""),"Conclusion Tool")</f>
        <v/>
      </c>
      <c r="D440" s="7">
        <f>IFERROR(__xludf.DUMMYFUNCTION("""COMPUTED_VALUE"""),"No task description")</f>
        <v/>
      </c>
      <c r="E44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440" s="7" t="n"/>
      <c r="G440" s="8" t="n">
        <v>0</v>
      </c>
      <c r="H440" s="8" t="n">
        <v>0</v>
      </c>
      <c r="I440" s="8" t="n">
        <v>1</v>
      </c>
      <c r="J440" s="8" t="n">
        <v>0</v>
      </c>
      <c r="K440" s="9" t="n">
        <v>0</v>
      </c>
      <c r="L440" s="9" t="n">
        <v>1</v>
      </c>
      <c r="M440" s="9" t="n">
        <v>0</v>
      </c>
      <c r="N440" s="9" t="n">
        <v>0</v>
      </c>
      <c r="O440" s="10" t="n">
        <v>0</v>
      </c>
      <c r="P440" s="10" t="n">
        <v>0</v>
      </c>
      <c r="Q440" s="10" t="n">
        <v>0</v>
      </c>
      <c r="R440" s="10" t="n">
        <v>1</v>
      </c>
      <c r="S440" s="10" t="n">
        <v>0</v>
      </c>
    </row>
    <row r="441" ht="217" customHeight="1">
      <c r="A441" s="6">
        <f>IFERROR(__xludf.DUMMYFUNCTION("""COMPUTED_VALUE"""),"Transcription and translation of DNA")</f>
        <v/>
      </c>
      <c r="B441" s="6">
        <f>IFERROR(__xludf.DUMMYFUNCTION("""COMPUTED_VALUE"""),"Resource")</f>
        <v/>
      </c>
      <c r="C441" s="6">
        <f>IFERROR(__xludf.DUMMYFUNCTION("""COMPUTED_VALUE"""),"Conclusion1.graasp")</f>
        <v/>
      </c>
      <c r="D441" s="7">
        <f>IFERROR(__xludf.DUMMYFUNCTION("""COMPUTED_VALUE"""),"&lt;table class=""table table-bordered""&gt;&lt;tbody&gt;&lt;tr&gt;&lt;td&gt;&lt;p&gt;Now that the course has been completed, answer the following questions based on what you already know and what you have learned today.&lt;/p&gt;&lt;/td&gt;&lt;/tr&gt;&lt;/tbody&gt;&lt;/table&gt;")</f>
        <v/>
      </c>
      <c r="E441" s="7">
        <f>IFERROR(__xludf.DUMMYFUNCTION("""COMPUTED_VALUE"""),"No artifact embedded")</f>
        <v/>
      </c>
      <c r="F441" s="7" t="n"/>
      <c r="G441" s="8" t="n">
        <v>0</v>
      </c>
      <c r="H441" s="8" t="n">
        <v>0</v>
      </c>
      <c r="I441" s="8" t="n">
        <v>1</v>
      </c>
      <c r="J441" s="8" t="n">
        <v>0</v>
      </c>
      <c r="K441" s="9" t="n">
        <v>0</v>
      </c>
      <c r="L441" s="9" t="n">
        <v>1</v>
      </c>
      <c r="M441" s="9" t="n">
        <v>0</v>
      </c>
      <c r="N441" s="9" t="n">
        <v>0</v>
      </c>
      <c r="O441" s="10" t="n">
        <v>0</v>
      </c>
      <c r="P441" s="10" t="n">
        <v>0</v>
      </c>
      <c r="Q441" s="10" t="n">
        <v>0</v>
      </c>
      <c r="R441" s="10" t="n">
        <v>0</v>
      </c>
      <c r="S441" s="10" t="n">
        <v>0</v>
      </c>
    </row>
    <row r="442" ht="145" customHeight="1">
      <c r="A442" s="6">
        <f>IFERROR(__xludf.DUMMYFUNCTION("""COMPUTED_VALUE"""),"Transcription and translation of DNA")</f>
        <v/>
      </c>
      <c r="B442" s="6">
        <f>IFERROR(__xludf.DUMMYFUNCTION("""COMPUTED_VALUE"""),"Resource")</f>
        <v/>
      </c>
      <c r="C442" s="6">
        <f>IFERROR(__xludf.DUMMYFUNCTION("""COMPUTED_VALUE"""),"Untitled.png")</f>
        <v/>
      </c>
      <c r="D442" s="7">
        <f>IFERROR(__xludf.DUMMYFUNCTION("""COMPUTED_VALUE"""),"&lt;p&gt;1. The process we learned about today is also known as the 'Central Dogma of Molecular Biology'. Fill in the missing words 1 and 2 in the table below.&lt;/p&gt;")</f>
        <v/>
      </c>
      <c r="E442" s="7">
        <f>IFERROR(__xludf.DUMMYFUNCTION("""COMPUTED_VALUE"""),"image/png – A high-quality image with support for transparency, often used in design and web applications.")</f>
        <v/>
      </c>
      <c r="F442" s="7" t="n"/>
      <c r="G442" s="8" t="n">
        <v>0</v>
      </c>
      <c r="H442" s="8" t="n">
        <v>0</v>
      </c>
      <c r="I442" s="8" t="n">
        <v>1</v>
      </c>
      <c r="J442" s="8" t="n">
        <v>0</v>
      </c>
      <c r="K442" s="9" t="n">
        <v>0</v>
      </c>
      <c r="L442" s="9" t="n">
        <v>1</v>
      </c>
      <c r="M442" s="9" t="n">
        <v>0</v>
      </c>
      <c r="N442" s="9" t="n">
        <v>0</v>
      </c>
      <c r="O442" s="10" t="n">
        <v>0</v>
      </c>
      <c r="P442" s="10" t="n">
        <v>0</v>
      </c>
      <c r="Q442" s="10" t="n">
        <v>0</v>
      </c>
      <c r="R442" s="10" t="n">
        <v>0</v>
      </c>
      <c r="S442" s="10" t="n">
        <v>0</v>
      </c>
    </row>
    <row r="443" ht="409.5" customHeight="1">
      <c r="A443" s="6">
        <f>IFERROR(__xludf.DUMMYFUNCTION("""COMPUTED_VALUE"""),"Transcription and translation of DNA")</f>
        <v/>
      </c>
      <c r="B443" s="6">
        <f>IFERROR(__xludf.DUMMYFUNCTION("""COMPUTED_VALUE"""),"Application")</f>
        <v/>
      </c>
      <c r="C443" s="6">
        <f>IFERROR(__xludf.DUMMYFUNCTION("""COMPUTED_VALUE"""),"Table Tool")</f>
        <v/>
      </c>
      <c r="D443" s="7">
        <f>IFERROR(__xludf.DUMMYFUNCTION("""COMPUTED_VALUE"""),"No task description")</f>
        <v/>
      </c>
      <c r="E44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43" s="7" t="n"/>
      <c r="G443" s="8" t="n">
        <v>0</v>
      </c>
      <c r="H443" s="8" t="n">
        <v>0</v>
      </c>
      <c r="I443" s="8" t="n">
        <v>1</v>
      </c>
      <c r="J443" s="8" t="n">
        <v>0</v>
      </c>
      <c r="K443" s="9" t="n">
        <v>0</v>
      </c>
      <c r="L443" s="9" t="n">
        <v>1</v>
      </c>
      <c r="M443" s="9" t="n">
        <v>0</v>
      </c>
      <c r="N443" s="9" t="n">
        <v>0</v>
      </c>
      <c r="O443" s="10" t="n">
        <v>0</v>
      </c>
      <c r="P443" s="10" t="n">
        <v>0</v>
      </c>
      <c r="Q443" s="10" t="n">
        <v>0</v>
      </c>
      <c r="R443" s="10" t="n">
        <v>0</v>
      </c>
      <c r="S443" s="10" t="n">
        <v>0</v>
      </c>
    </row>
    <row r="444" ht="296" customHeight="1">
      <c r="A444" s="6">
        <f>IFERROR(__xludf.DUMMYFUNCTION("""COMPUTED_VALUE"""),"Transcription and translation of DNA")</f>
        <v/>
      </c>
      <c r="B444" s="6">
        <f>IFERROR(__xludf.DUMMYFUNCTION("""COMPUTED_VALUE"""),"Resource")</f>
        <v/>
      </c>
      <c r="C444" s="6">
        <f>IFERROR(__xludf.DUMMYFUNCTION("""COMPUTED_VALUE"""),"Conclusion2.graasp")</f>
        <v/>
      </c>
      <c r="D444" s="7">
        <f>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
      </c>
      <c r="E444" s="7">
        <f>IFERROR(__xludf.DUMMYFUNCTION("""COMPUTED_VALUE"""),"No artifact embedded")</f>
        <v/>
      </c>
      <c r="F444" s="7" t="n"/>
      <c r="G444" s="8" t="n">
        <v>0</v>
      </c>
      <c r="H444" s="8" t="n">
        <v>0</v>
      </c>
      <c r="I444" s="8" t="n">
        <v>1</v>
      </c>
      <c r="J444" s="8" t="n">
        <v>0</v>
      </c>
      <c r="K444" s="9" t="n">
        <v>0</v>
      </c>
      <c r="L444" s="9" t="n">
        <v>1</v>
      </c>
      <c r="M444" s="9" t="n">
        <v>0</v>
      </c>
      <c r="N444" s="9" t="n">
        <v>0</v>
      </c>
      <c r="O444" s="10" t="n">
        <v>0</v>
      </c>
      <c r="P444" s="10" t="n">
        <v>0</v>
      </c>
      <c r="Q444" s="10" t="n">
        <v>0</v>
      </c>
      <c r="R444" s="10" t="n">
        <v>1</v>
      </c>
      <c r="S444" s="10" t="n">
        <v>0</v>
      </c>
    </row>
    <row r="445" ht="329" customHeight="1">
      <c r="A445" s="6">
        <f>IFERROR(__xludf.DUMMYFUNCTION("""COMPUTED_VALUE"""),"Transcription and translation of DNA")</f>
        <v/>
      </c>
      <c r="B445" s="6">
        <f>IFERROR(__xludf.DUMMYFUNCTION("""COMPUTED_VALUE"""),"Application")</f>
        <v/>
      </c>
      <c r="C445" s="6">
        <f>IFERROR(__xludf.DUMMYFUNCTION("""COMPUTED_VALUE"""),"Input Box")</f>
        <v/>
      </c>
      <c r="D445" s="7">
        <f>IFERROR(__xludf.DUMMYFUNCTION("""COMPUTED_VALUE"""),"No task description")</f>
        <v/>
      </c>
      <c r="E4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45" s="7" t="n"/>
      <c r="G445" s="8" t="n">
        <v>0</v>
      </c>
      <c r="H445" s="8" t="n">
        <v>0</v>
      </c>
      <c r="I445" s="8" t="n">
        <v>1</v>
      </c>
      <c r="J445" s="8" t="n">
        <v>0</v>
      </c>
      <c r="K445" s="9" t="n">
        <v>0</v>
      </c>
      <c r="L445" s="9" t="n">
        <v>1</v>
      </c>
      <c r="M445" s="9" t="n">
        <v>0</v>
      </c>
      <c r="N445" s="9" t="n">
        <v>0</v>
      </c>
      <c r="O445" s="10" t="n">
        <v>0</v>
      </c>
      <c r="P445" s="10" t="n">
        <v>0</v>
      </c>
      <c r="Q445" s="10" t="n">
        <v>0</v>
      </c>
      <c r="R445" s="10" t="n">
        <v>0</v>
      </c>
      <c r="S445" s="10" t="n">
        <v>0</v>
      </c>
    </row>
    <row r="446" ht="193" customHeight="1">
      <c r="A446" s="6">
        <f>IFERROR(__xludf.DUMMYFUNCTION("""COMPUTED_VALUE"""),"Transcription and translation of DNA")</f>
        <v/>
      </c>
      <c r="B446" s="6">
        <f>IFERROR(__xludf.DUMMYFUNCTION("""COMPUTED_VALUE"""),"Resource")</f>
        <v/>
      </c>
      <c r="C446" s="6">
        <f>IFERROR(__xludf.DUMMYFUNCTION("""COMPUTED_VALUE"""),"Conclusion3.graasp")</f>
        <v/>
      </c>
      <c r="D446" s="7">
        <f>IFERROR(__xludf.DUMMYFUNCTION("""COMPUTED_VALUE"""),"&lt;table class=""table table-bordered""&gt;&lt;tbody&gt;&lt;tr&gt;&lt;td&gt;&lt;p&gt;Congratulations, you have succeeded in completing the course! You can now proceed to the last phase of the course.&lt;/p&gt;&lt;/td&gt;&lt;/tr&gt;&lt;/tbody&gt;&lt;/table&gt;")</f>
        <v/>
      </c>
      <c r="E446" s="7">
        <f>IFERROR(__xludf.DUMMYFUNCTION("""COMPUTED_VALUE"""),"No artifact embedded")</f>
        <v/>
      </c>
      <c r="F446" s="7" t="n"/>
      <c r="G446" s="8" t="n">
        <v>0</v>
      </c>
      <c r="H446" s="8" t="n">
        <v>0</v>
      </c>
      <c r="I446" s="8" t="n">
        <v>0</v>
      </c>
      <c r="J446" s="8" t="n">
        <v>0</v>
      </c>
      <c r="K446" s="9" t="n">
        <v>0</v>
      </c>
      <c r="L446" s="9" t="n">
        <v>0</v>
      </c>
      <c r="M446" s="9" t="n">
        <v>0</v>
      </c>
      <c r="N446" s="9" t="n">
        <v>0</v>
      </c>
      <c r="O446" s="10" t="n">
        <v>0</v>
      </c>
      <c r="P446" s="10" t="n">
        <v>0</v>
      </c>
      <c r="Q446" s="10" t="n">
        <v>0</v>
      </c>
      <c r="R446" s="10" t="n">
        <v>0</v>
      </c>
      <c r="S446" s="10" t="n">
        <v>0</v>
      </c>
    </row>
    <row r="447" ht="49" customHeight="1">
      <c r="A447" s="6">
        <f>IFERROR(__xludf.DUMMYFUNCTION("""COMPUTED_VALUE"""),"Transcription and translation of DNA")</f>
        <v/>
      </c>
      <c r="B447" s="6">
        <f>IFERROR(__xludf.DUMMYFUNCTION("""COMPUTED_VALUE"""),"Space")</f>
        <v/>
      </c>
      <c r="C447" s="6">
        <f>IFERROR(__xludf.DUMMYFUNCTION("""COMPUTED_VALUE"""),"Reflection")</f>
        <v/>
      </c>
      <c r="D447" s="7">
        <f>IFERROR(__xludf.DUMMYFUNCTION("""COMPUTED_VALUE"""),"&lt;p&gt;The phase of Reflection is the last phase of the lesson.&lt;/p&gt;")</f>
        <v/>
      </c>
      <c r="E447" s="7">
        <f>IFERROR(__xludf.DUMMYFUNCTION("""COMPUTED_VALUE"""),"No artifact embedded")</f>
        <v/>
      </c>
      <c r="F447" s="7" t="n"/>
      <c r="G447" s="8" t="n">
        <v>0</v>
      </c>
      <c r="H447" s="8" t="n">
        <v>0</v>
      </c>
      <c r="I447" s="8" t="n">
        <v>0</v>
      </c>
      <c r="J447" s="8" t="n">
        <v>0</v>
      </c>
      <c r="K447" s="9" t="n">
        <v>0</v>
      </c>
      <c r="L447" s="9" t="n">
        <v>0</v>
      </c>
      <c r="M447" s="9" t="n">
        <v>0</v>
      </c>
      <c r="N447" s="9" t="n">
        <v>0</v>
      </c>
      <c r="O447" s="10" t="n">
        <v>0</v>
      </c>
      <c r="P447" s="10" t="n">
        <v>0</v>
      </c>
      <c r="Q447" s="10" t="n">
        <v>0</v>
      </c>
      <c r="R447" s="10" t="n">
        <v>0</v>
      </c>
      <c r="S447" s="10" t="n">
        <v>0</v>
      </c>
    </row>
    <row r="448" ht="307" customHeight="1">
      <c r="A448" s="6">
        <f>IFERROR(__xludf.DUMMYFUNCTION("""COMPUTED_VALUE"""),"Transcription and translation of DNA")</f>
        <v/>
      </c>
      <c r="B448" s="6">
        <f>IFERROR(__xludf.DUMMYFUNCTION("""COMPUTED_VALUE"""),"Resource")</f>
        <v/>
      </c>
      <c r="C448" s="6">
        <f>IFERROR(__xludf.DUMMYFUNCTION("""COMPUTED_VALUE"""),"Reflection.graasp")</f>
        <v/>
      </c>
      <c r="D448" s="7">
        <f>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
      </c>
      <c r="E448" s="7">
        <f>IFERROR(__xludf.DUMMYFUNCTION("""COMPUTED_VALUE"""),"No artifact embedded")</f>
        <v/>
      </c>
      <c r="F448" s="7" t="n"/>
      <c r="G448" s="8" t="n">
        <v>0</v>
      </c>
      <c r="H448" s="8" t="n">
        <v>0</v>
      </c>
      <c r="I448" s="8" t="n">
        <v>1</v>
      </c>
      <c r="J448" s="8" t="n">
        <v>0</v>
      </c>
      <c r="K448" s="9" t="n">
        <v>0</v>
      </c>
      <c r="L448" s="9" t="n">
        <v>1</v>
      </c>
      <c r="M448" s="9" t="n">
        <v>0</v>
      </c>
      <c r="N448" s="9" t="n">
        <v>0</v>
      </c>
      <c r="O448" s="10" t="n">
        <v>0</v>
      </c>
      <c r="P448" s="10" t="n">
        <v>0</v>
      </c>
      <c r="Q448" s="10" t="n">
        <v>0</v>
      </c>
      <c r="R448" s="10" t="n">
        <v>0</v>
      </c>
      <c r="S448" s="10" t="n">
        <v>0</v>
      </c>
    </row>
    <row r="449" ht="241" customHeight="1">
      <c r="A449" s="6">
        <f>IFERROR(__xludf.DUMMYFUNCTION("""COMPUTED_VALUE"""),"Transcription and translation of DNA")</f>
        <v/>
      </c>
      <c r="B449" s="6">
        <f>IFERROR(__xludf.DUMMYFUNCTION("""COMPUTED_VALUE"""),"Application")</f>
        <v/>
      </c>
      <c r="C449" s="6">
        <f>IFERROR(__xludf.DUMMYFUNCTION("""COMPUTED_VALUE"""),"New questionnaire app")</f>
        <v/>
      </c>
      <c r="D449" s="7">
        <f>IFERROR(__xludf.DUMMYFUNCTION("""COMPUTED_VALUE"""),"&lt;p&gt;Reflection&lt;/p&gt;")</f>
        <v/>
      </c>
      <c r="E44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449" s="7" t="n"/>
      <c r="G449" s="8" t="n">
        <v>0</v>
      </c>
      <c r="H449" s="8" t="n">
        <v>0</v>
      </c>
      <c r="I449" s="8" t="n">
        <v>1</v>
      </c>
      <c r="J449" s="8" t="n">
        <v>0</v>
      </c>
      <c r="K449" s="9" t="n">
        <v>0</v>
      </c>
      <c r="L449" s="9" t="n">
        <v>1</v>
      </c>
      <c r="M449" s="9" t="n">
        <v>0</v>
      </c>
      <c r="N449" s="9" t="n">
        <v>0</v>
      </c>
      <c r="O449" s="10" t="n">
        <v>0</v>
      </c>
      <c r="P449" s="10" t="n">
        <v>0</v>
      </c>
      <c r="Q449" s="10" t="n">
        <v>0</v>
      </c>
      <c r="R449" s="10" t="n">
        <v>0</v>
      </c>
      <c r="S449" s="10" t="n">
        <v>0</v>
      </c>
    </row>
    <row r="450" ht="37" customHeight="1">
      <c r="A450" s="6">
        <f>IFERROR(__xludf.DUMMYFUNCTION("""COMPUTED_VALUE"""),"Scenario: Basic scenario")</f>
        <v/>
      </c>
      <c r="B450" s="6">
        <f>IFERROR(__xludf.DUMMYFUNCTION("""COMPUTED_VALUE"""),"Space")</f>
        <v/>
      </c>
      <c r="C450" s="6">
        <f>IFERROR(__xludf.DUMMYFUNCTION("""COMPUTED_VALUE"""),"Orientation")</f>
        <v/>
      </c>
      <c r="D450" s="7">
        <f>IFERROR(__xludf.DUMMYFUNCTION("""COMPUTED_VALUE"""),"&lt;p&gt;This is the Orientation phase.&lt;/p&gt;")</f>
        <v/>
      </c>
      <c r="E450" s="7">
        <f>IFERROR(__xludf.DUMMYFUNCTION("""COMPUTED_VALUE"""),"No artifact embedded")</f>
        <v/>
      </c>
      <c r="F450" s="7" t="n"/>
      <c r="G450" s="8" t="n">
        <v>0</v>
      </c>
      <c r="H450" s="8" t="n">
        <v>0</v>
      </c>
      <c r="I450" s="8" t="n">
        <v>0</v>
      </c>
      <c r="J450" s="8" t="n">
        <v>0</v>
      </c>
      <c r="K450" s="9" t="n">
        <v>0</v>
      </c>
      <c r="L450" s="9" t="n">
        <v>0</v>
      </c>
      <c r="M450" s="9" t="n">
        <v>0</v>
      </c>
      <c r="N450" s="9" t="n">
        <v>0</v>
      </c>
      <c r="O450" s="10" t="n">
        <v>0</v>
      </c>
      <c r="P450" s="10" t="n">
        <v>0</v>
      </c>
      <c r="Q450" s="10" t="n">
        <v>0</v>
      </c>
      <c r="R450" s="10" t="n">
        <v>0</v>
      </c>
      <c r="S450" s="10" t="n">
        <v>0</v>
      </c>
    </row>
    <row r="451" ht="37" customHeight="1">
      <c r="A451" s="6">
        <f>IFERROR(__xludf.DUMMYFUNCTION("""COMPUTED_VALUE"""),"Scenario: Basic scenario")</f>
        <v/>
      </c>
      <c r="B451" s="6">
        <f>IFERROR(__xludf.DUMMYFUNCTION("""COMPUTED_VALUE"""),"Space")</f>
        <v/>
      </c>
      <c r="C451" s="6">
        <f>IFERROR(__xludf.DUMMYFUNCTION("""COMPUTED_VALUE"""),"Conceptualisation")</f>
        <v/>
      </c>
      <c r="D451" s="7">
        <f>IFERROR(__xludf.DUMMYFUNCTION("""COMPUTED_VALUE"""),"&lt;p&gt;This is the Conceptualisation phase.&lt;/p&gt;")</f>
        <v/>
      </c>
      <c r="E451" s="7">
        <f>IFERROR(__xludf.DUMMYFUNCTION("""COMPUTED_VALUE"""),"No artifact embedded")</f>
        <v/>
      </c>
      <c r="F451" s="7" t="n"/>
      <c r="G451" s="8" t="n">
        <v>0</v>
      </c>
      <c r="H451" s="8" t="n">
        <v>0</v>
      </c>
      <c r="I451" s="8" t="n">
        <v>0</v>
      </c>
      <c r="J451" s="8" t="n">
        <v>0</v>
      </c>
      <c r="K451" s="9" t="n">
        <v>0</v>
      </c>
      <c r="L451" s="9" t="n">
        <v>0</v>
      </c>
      <c r="M451" s="9" t="n">
        <v>0</v>
      </c>
      <c r="N451" s="9" t="n">
        <v>0</v>
      </c>
      <c r="O451" s="10" t="n">
        <v>0</v>
      </c>
      <c r="P451" s="10" t="n">
        <v>0</v>
      </c>
      <c r="Q451" s="10" t="n">
        <v>0</v>
      </c>
      <c r="R451" s="10" t="n">
        <v>0</v>
      </c>
      <c r="S451" s="10" t="n">
        <v>0</v>
      </c>
    </row>
    <row r="452" ht="37" customHeight="1">
      <c r="A452" s="6">
        <f>IFERROR(__xludf.DUMMYFUNCTION("""COMPUTED_VALUE"""),"Scenario: Basic scenario")</f>
        <v/>
      </c>
      <c r="B452" s="6">
        <f>IFERROR(__xludf.DUMMYFUNCTION("""COMPUTED_VALUE"""),"Space")</f>
        <v/>
      </c>
      <c r="C452" s="6">
        <f>IFERROR(__xludf.DUMMYFUNCTION("""COMPUTED_VALUE"""),"Investigation")</f>
        <v/>
      </c>
      <c r="D452" s="7">
        <f>IFERROR(__xludf.DUMMYFUNCTION("""COMPUTED_VALUE"""),"&lt;p&gt;This is the Investigation phase.&lt;/p&gt;")</f>
        <v/>
      </c>
      <c r="E452" s="7">
        <f>IFERROR(__xludf.DUMMYFUNCTION("""COMPUTED_VALUE"""),"No artifact embedded")</f>
        <v/>
      </c>
      <c r="F452" s="7" t="n"/>
      <c r="G452" s="8" t="n">
        <v>0</v>
      </c>
      <c r="H452" s="8" t="n">
        <v>0</v>
      </c>
      <c r="I452" s="8" t="n">
        <v>0</v>
      </c>
      <c r="J452" s="8" t="n">
        <v>0</v>
      </c>
      <c r="K452" s="9" t="n">
        <v>0</v>
      </c>
      <c r="L452" s="9" t="n">
        <v>0</v>
      </c>
      <c r="M452" s="9" t="n">
        <v>0</v>
      </c>
      <c r="N452" s="9" t="n">
        <v>0</v>
      </c>
      <c r="O452" s="10" t="n">
        <v>0</v>
      </c>
      <c r="P452" s="10" t="n">
        <v>0</v>
      </c>
      <c r="Q452" s="10" t="n">
        <v>0</v>
      </c>
      <c r="R452" s="10" t="n">
        <v>0</v>
      </c>
      <c r="S452" s="10" t="n">
        <v>0</v>
      </c>
    </row>
    <row r="453" ht="37" customHeight="1">
      <c r="A453" s="6">
        <f>IFERROR(__xludf.DUMMYFUNCTION("""COMPUTED_VALUE"""),"Scenario: Basic scenario")</f>
        <v/>
      </c>
      <c r="B453" s="6">
        <f>IFERROR(__xludf.DUMMYFUNCTION("""COMPUTED_VALUE"""),"Space")</f>
        <v/>
      </c>
      <c r="C453" s="6">
        <f>IFERROR(__xludf.DUMMYFUNCTION("""COMPUTED_VALUE"""),"Conclusion")</f>
        <v/>
      </c>
      <c r="D453" s="7">
        <f>IFERROR(__xludf.DUMMYFUNCTION("""COMPUTED_VALUE"""),"&lt;p&gt;This is the Conclusion phase.&lt;/p&gt;")</f>
        <v/>
      </c>
      <c r="E453" s="7">
        <f>IFERROR(__xludf.DUMMYFUNCTION("""COMPUTED_VALUE"""),"No artifact embedded")</f>
        <v/>
      </c>
      <c r="F453" s="7" t="n"/>
      <c r="G453" s="8" t="n">
        <v>0</v>
      </c>
      <c r="H453" s="8" t="n">
        <v>0</v>
      </c>
      <c r="I453" s="8" t="n">
        <v>0</v>
      </c>
      <c r="J453" s="8" t="n">
        <v>0</v>
      </c>
      <c r="K453" s="9" t="n">
        <v>0</v>
      </c>
      <c r="L453" s="9" t="n">
        <v>0</v>
      </c>
      <c r="M453" s="9" t="n">
        <v>0</v>
      </c>
      <c r="N453" s="9" t="n">
        <v>0</v>
      </c>
      <c r="O453" s="10" t="n">
        <v>0</v>
      </c>
      <c r="P453" s="10" t="n">
        <v>0</v>
      </c>
      <c r="Q453" s="10" t="n">
        <v>0</v>
      </c>
      <c r="R453" s="10" t="n">
        <v>0</v>
      </c>
      <c r="S453" s="10" t="n">
        <v>0</v>
      </c>
    </row>
    <row r="454" ht="37" customHeight="1">
      <c r="A454" s="6">
        <f>IFERROR(__xludf.DUMMYFUNCTION("""COMPUTED_VALUE"""),"Scenario: Basic scenario")</f>
        <v/>
      </c>
      <c r="B454" s="6">
        <f>IFERROR(__xludf.DUMMYFUNCTION("""COMPUTED_VALUE"""),"Space")</f>
        <v/>
      </c>
      <c r="C454" s="6">
        <f>IFERROR(__xludf.DUMMYFUNCTION("""COMPUTED_VALUE"""),"Discussion")</f>
        <v/>
      </c>
      <c r="D454" s="7">
        <f>IFERROR(__xludf.DUMMYFUNCTION("""COMPUTED_VALUE"""),"&lt;p&gt;This is the Discussion phase.&lt;/p&gt;")</f>
        <v/>
      </c>
      <c r="E454" s="7">
        <f>IFERROR(__xludf.DUMMYFUNCTION("""COMPUTED_VALUE"""),"No artifact embedded")</f>
        <v/>
      </c>
      <c r="F454" s="7" t="n"/>
      <c r="G454" s="8" t="n">
        <v>0</v>
      </c>
      <c r="H454" s="8" t="n">
        <v>0</v>
      </c>
      <c r="I454" s="8" t="n">
        <v>0</v>
      </c>
      <c r="J454" s="8" t="n">
        <v>0</v>
      </c>
      <c r="K454" s="9" t="n">
        <v>0</v>
      </c>
      <c r="L454" s="9" t="n">
        <v>0</v>
      </c>
      <c r="M454" s="9" t="n">
        <v>0</v>
      </c>
      <c r="N454" s="9" t="n">
        <v>0</v>
      </c>
      <c r="O454" s="10" t="n">
        <v>0</v>
      </c>
      <c r="P454" s="10" t="n">
        <v>0</v>
      </c>
      <c r="Q454" s="10" t="n">
        <v>0</v>
      </c>
      <c r="R454" s="10" t="n">
        <v>0</v>
      </c>
      <c r="S454" s="10" t="n">
        <v>0</v>
      </c>
    </row>
    <row r="455" ht="37" customHeight="1">
      <c r="A455" s="6">
        <f>IFERROR(__xludf.DUMMYFUNCTION("""COMPUTED_VALUE"""),"double quotes")</f>
        <v/>
      </c>
      <c r="B455" s="6">
        <f>IFERROR(__xludf.DUMMYFUNCTION("""COMPUTED_VALUE"""),"Space")</f>
        <v/>
      </c>
      <c r="C455" s="6">
        <f>IFERROR(__xludf.DUMMYFUNCTION("""COMPUTED_VALUE"""),"Orientation")</f>
        <v/>
      </c>
      <c r="D455" s="7">
        <f>IFERROR(__xludf.DUMMYFUNCTION("""COMPUTED_VALUE"""),"&lt;p&gt;This is the Orientation phase.&lt;/p&gt;")</f>
        <v/>
      </c>
      <c r="E455" s="7">
        <f>IFERROR(__xludf.DUMMYFUNCTION("""COMPUTED_VALUE"""),"No artifact embedded")</f>
        <v/>
      </c>
      <c r="F455" s="7" t="n"/>
      <c r="G455" s="8" t="n">
        <v>0</v>
      </c>
      <c r="H455" s="8" t="n">
        <v>0</v>
      </c>
      <c r="I455" s="8" t="n">
        <v>0</v>
      </c>
      <c r="J455" s="8" t="n">
        <v>0</v>
      </c>
      <c r="K455" s="9" t="n">
        <v>0</v>
      </c>
      <c r="L455" s="9" t="n">
        <v>0</v>
      </c>
      <c r="M455" s="9" t="n">
        <v>0</v>
      </c>
      <c r="N455" s="9" t="n">
        <v>0</v>
      </c>
      <c r="O455" s="10" t="n">
        <v>0</v>
      </c>
      <c r="P455" s="10" t="n">
        <v>0</v>
      </c>
      <c r="Q455" s="10" t="n">
        <v>0</v>
      </c>
      <c r="R455" s="10" t="n">
        <v>0</v>
      </c>
      <c r="S455" s="10" t="n">
        <v>0</v>
      </c>
    </row>
    <row r="456" ht="49" customHeight="1">
      <c r="A456" s="6">
        <f>IFERROR(__xludf.DUMMYFUNCTION("""COMPUTED_VALUE"""),"double quotes")</f>
        <v/>
      </c>
      <c r="B456" s="6">
        <f>IFERROR(__xludf.DUMMYFUNCTION("""COMPUTED_VALUE"""),"Application")</f>
        <v/>
      </c>
      <c r="C456" s="6">
        <f>IFERROR(__xludf.DUMMYFUNCTION("""COMPUTED_VALUE"""),"res editor")</f>
        <v/>
      </c>
      <c r="D456" s="7">
        <f>IFERROR(__xludf.DUMMYFUNCTION("""COMPUTED_VALUE"""),"No task description")</f>
        <v/>
      </c>
      <c r="E456" s="7">
        <f>IFERROR(__xludf.DUMMYFUNCTION("""COMPUTED_VALUE"""),"Golabz app/lab: No description available for this application")</f>
        <v/>
      </c>
      <c r="F456" s="7" t="n"/>
      <c r="G456" s="8" t="n">
        <v>0</v>
      </c>
      <c r="H456" s="8" t="n">
        <v>0</v>
      </c>
      <c r="I456" s="8" t="n">
        <v>0</v>
      </c>
      <c r="J456" s="8" t="n">
        <v>0</v>
      </c>
      <c r="K456" s="9" t="n">
        <v>0</v>
      </c>
      <c r="L456" s="9" t="n">
        <v>0</v>
      </c>
      <c r="M456" s="9" t="n">
        <v>0</v>
      </c>
      <c r="N456" s="9" t="n">
        <v>0</v>
      </c>
      <c r="O456" s="10" t="n">
        <v>0</v>
      </c>
      <c r="P456" s="10" t="n">
        <v>0</v>
      </c>
      <c r="Q456" s="10" t="n">
        <v>0</v>
      </c>
      <c r="R456" s="10" t="n">
        <v>0</v>
      </c>
      <c r="S456" s="10" t="n">
        <v>0</v>
      </c>
    </row>
    <row r="457" ht="37" customHeight="1">
      <c r="A457" s="6">
        <f>IFERROR(__xludf.DUMMYFUNCTION("""COMPUTED_VALUE"""),"double quotes")</f>
        <v/>
      </c>
      <c r="B457" s="6">
        <f>IFERROR(__xludf.DUMMYFUNCTION("""COMPUTED_VALUE"""),"Space")</f>
        <v/>
      </c>
      <c r="C457" s="6">
        <f>IFERROR(__xludf.DUMMYFUNCTION("""COMPUTED_VALUE"""),"Conceptualisation")</f>
        <v/>
      </c>
      <c r="D457" s="7">
        <f>IFERROR(__xludf.DUMMYFUNCTION("""COMPUTED_VALUE"""),"&lt;p&gt;This is the Conceptualisation phase.&lt;/p&gt;")</f>
        <v/>
      </c>
      <c r="E457" s="7">
        <f>IFERROR(__xludf.DUMMYFUNCTION("""COMPUTED_VALUE"""),"No artifact embedded")</f>
        <v/>
      </c>
      <c r="F457" s="7" t="n"/>
      <c r="G457" s="8" t="n">
        <v>0</v>
      </c>
      <c r="H457" s="8" t="n">
        <v>0</v>
      </c>
      <c r="I457" s="8" t="n">
        <v>0</v>
      </c>
      <c r="J457" s="8" t="n">
        <v>0</v>
      </c>
      <c r="K457" s="9" t="n">
        <v>0</v>
      </c>
      <c r="L457" s="9" t="n">
        <v>0</v>
      </c>
      <c r="M457" s="9" t="n">
        <v>0</v>
      </c>
      <c r="N457" s="9" t="n">
        <v>0</v>
      </c>
      <c r="O457" s="10" t="n">
        <v>0</v>
      </c>
      <c r="P457" s="10" t="n">
        <v>0</v>
      </c>
      <c r="Q457" s="10" t="n">
        <v>0</v>
      </c>
      <c r="R457" s="10" t="n">
        <v>0</v>
      </c>
      <c r="S457" s="10" t="n">
        <v>0</v>
      </c>
    </row>
    <row r="458" ht="409.5" customHeight="1">
      <c r="A458" s="6">
        <f>IFERROR(__xludf.DUMMYFUNCTION("""COMPUTED_VALUE"""),"double quotes")</f>
        <v/>
      </c>
      <c r="B458" s="6">
        <f>IFERROR(__xludf.DUMMYFUNCTION("""COMPUTED_VALUE"""),"Application")</f>
        <v/>
      </c>
      <c r="C458" s="6">
        <f>IFERROR(__xludf.DUMMYFUNCTION("""COMPUTED_VALUE"""),"report")</f>
        <v/>
      </c>
      <c r="D458" s="7">
        <f>IFERROR(__xludf.DUMMYFUNCTION("""COMPUTED_VALUE"""),"No task description")</f>
        <v/>
      </c>
      <c r="E458"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458" s="7" t="n"/>
      <c r="G458" s="8" t="n">
        <v>0</v>
      </c>
      <c r="H458" s="8" t="n">
        <v>0</v>
      </c>
      <c r="I458" s="8" t="n">
        <v>0</v>
      </c>
      <c r="J458" s="8" t="n">
        <v>0</v>
      </c>
      <c r="K458" s="9" t="n">
        <v>0</v>
      </c>
      <c r="L458" s="9" t="n">
        <v>0</v>
      </c>
      <c r="M458" s="9" t="n">
        <v>0</v>
      </c>
      <c r="N458" s="9" t="n">
        <v>0</v>
      </c>
      <c r="O458" s="10" t="n">
        <v>0</v>
      </c>
      <c r="P458" s="10" t="n">
        <v>0</v>
      </c>
      <c r="Q458" s="10" t="n">
        <v>0</v>
      </c>
      <c r="R458" s="10" t="n">
        <v>0</v>
      </c>
      <c r="S458" s="10" t="n">
        <v>0</v>
      </c>
    </row>
    <row r="459" ht="37" customHeight="1">
      <c r="A459" s="6">
        <f>IFERROR(__xludf.DUMMYFUNCTION("""COMPUTED_VALUE"""),"double quotes")</f>
        <v/>
      </c>
      <c r="B459" s="6">
        <f>IFERROR(__xludf.DUMMYFUNCTION("""COMPUTED_VALUE"""),"Space")</f>
        <v/>
      </c>
      <c r="C459" s="6">
        <f>IFERROR(__xludf.DUMMYFUNCTION("""COMPUTED_VALUE"""),"Investigation")</f>
        <v/>
      </c>
      <c r="D459" s="7">
        <f>IFERROR(__xludf.DUMMYFUNCTION("""COMPUTED_VALUE"""),"&lt;p&gt;This is the Investigation phase.&lt;/p&gt;")</f>
        <v/>
      </c>
      <c r="E459" s="7">
        <f>IFERROR(__xludf.DUMMYFUNCTION("""COMPUTED_VALUE"""),"No artifact embedded")</f>
        <v/>
      </c>
      <c r="F459" s="7" t="n"/>
      <c r="G459" s="8" t="n">
        <v>0</v>
      </c>
      <c r="H459" s="8" t="n">
        <v>0</v>
      </c>
      <c r="I459" s="8" t="n">
        <v>0</v>
      </c>
      <c r="J459" s="8" t="n">
        <v>0</v>
      </c>
      <c r="K459" s="9" t="n">
        <v>0</v>
      </c>
      <c r="L459" s="9" t="n">
        <v>0</v>
      </c>
      <c r="M459" s="9" t="n">
        <v>0</v>
      </c>
      <c r="N459" s="9" t="n">
        <v>0</v>
      </c>
      <c r="O459" s="10" t="n">
        <v>0</v>
      </c>
      <c r="P459" s="10" t="n">
        <v>0</v>
      </c>
      <c r="Q459" s="10" t="n">
        <v>0</v>
      </c>
      <c r="R459" s="10" t="n">
        <v>0</v>
      </c>
      <c r="S459" s="10" t="n">
        <v>0</v>
      </c>
    </row>
    <row r="460" ht="37" customHeight="1">
      <c r="A460" s="6">
        <f>IFERROR(__xludf.DUMMYFUNCTION("""COMPUTED_VALUE"""),"double quotes")</f>
        <v/>
      </c>
      <c r="B460" s="6">
        <f>IFERROR(__xludf.DUMMYFUNCTION("""COMPUTED_VALUE"""),"Space")</f>
        <v/>
      </c>
      <c r="C460" s="6">
        <f>IFERROR(__xludf.DUMMYFUNCTION("""COMPUTED_VALUE"""),"Conclusion")</f>
        <v/>
      </c>
      <c r="D460" s="7">
        <f>IFERROR(__xludf.DUMMYFUNCTION("""COMPUTED_VALUE"""),"&lt;p&gt;This is the Conclusion phase.&lt;/p&gt;")</f>
        <v/>
      </c>
      <c r="E460" s="7">
        <f>IFERROR(__xludf.DUMMYFUNCTION("""COMPUTED_VALUE"""),"No artifact embedded")</f>
        <v/>
      </c>
      <c r="F460" s="7" t="n"/>
      <c r="G460" s="8" t="n">
        <v>0</v>
      </c>
      <c r="H460" s="8" t="n">
        <v>0</v>
      </c>
      <c r="I460" s="8" t="n">
        <v>0</v>
      </c>
      <c r="J460" s="8" t="n">
        <v>0</v>
      </c>
      <c r="K460" s="9" t="n">
        <v>0</v>
      </c>
      <c r="L460" s="9" t="n">
        <v>0</v>
      </c>
      <c r="M460" s="9" t="n">
        <v>0</v>
      </c>
      <c r="N460" s="9" t="n">
        <v>0</v>
      </c>
      <c r="O460" s="10" t="n">
        <v>0</v>
      </c>
      <c r="P460" s="10" t="n">
        <v>0</v>
      </c>
      <c r="Q460" s="10" t="n">
        <v>0</v>
      </c>
      <c r="R460" s="10" t="n">
        <v>0</v>
      </c>
      <c r="S460" s="10" t="n">
        <v>0</v>
      </c>
    </row>
    <row r="461" ht="37" customHeight="1">
      <c r="A461" s="6">
        <f>IFERROR(__xludf.DUMMYFUNCTION("""COMPUTED_VALUE"""),"˝ Otkrivanje ˝ Arhimedovog zakona (1)")</f>
        <v/>
      </c>
      <c r="B461" s="6">
        <f>IFERROR(__xludf.DUMMYFUNCTION("""COMPUTED_VALUE"""),"Space")</f>
        <v/>
      </c>
      <c r="C461" s="6">
        <f>IFERROR(__xludf.DUMMYFUNCTION("""COMPUTED_VALUE"""),"Orientation")</f>
        <v/>
      </c>
      <c r="D461" s="7">
        <f>IFERROR(__xludf.DUMMYFUNCTION("""COMPUTED_VALUE"""),"&lt;p&gt;This is the Orientation phase.&lt;/p&gt;")</f>
        <v/>
      </c>
      <c r="E461" s="7">
        <f>IFERROR(__xludf.DUMMYFUNCTION("""COMPUTED_VALUE"""),"No artifact embedded")</f>
        <v/>
      </c>
      <c r="F461" s="7" t="n"/>
      <c r="G461" s="8" t="n">
        <v>0</v>
      </c>
      <c r="H461" s="8" t="n">
        <v>0</v>
      </c>
      <c r="I461" s="8" t="n">
        <v>0</v>
      </c>
      <c r="J461" s="8" t="n">
        <v>0</v>
      </c>
      <c r="K461" s="9" t="n">
        <v>0</v>
      </c>
      <c r="L461" s="9" t="n">
        <v>0</v>
      </c>
      <c r="M461" s="9" t="n">
        <v>0</v>
      </c>
      <c r="N461" s="9" t="n">
        <v>0</v>
      </c>
      <c r="O461" s="10" t="n">
        <v>0</v>
      </c>
      <c r="P461" s="10" t="n">
        <v>0</v>
      </c>
      <c r="Q461" s="10" t="n">
        <v>0</v>
      </c>
      <c r="R461" s="10" t="n">
        <v>0</v>
      </c>
      <c r="S461" s="10" t="n">
        <v>0</v>
      </c>
    </row>
    <row r="462" ht="285" customHeight="1">
      <c r="A462" s="6">
        <f>IFERROR(__xludf.DUMMYFUNCTION("""COMPUTED_VALUE"""),"˝ Otkrivanje ˝ Arhimedovog zakona (1)")</f>
        <v/>
      </c>
      <c r="B462" s="6">
        <f>IFERROR(__xludf.DUMMYFUNCTION("""COMPUTED_VALUE"""),"Resource")</f>
        <v/>
      </c>
      <c r="C462" s="6">
        <f>IFERROR(__xludf.DUMMYFUNCTION("""COMPUTED_VALUE"""),"The Golden Crown (Introduction)")</f>
        <v/>
      </c>
      <c r="D462" s="7">
        <f>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
      </c>
      <c r="E462" s="7">
        <f>IFERROR(__xludf.DUMMYFUNCTION("""COMPUTED_VALUE"""),"Artifact from math.nyu.edu: New York University's mathematics department site, offering resources like explorations of Archimedes' principles.")</f>
        <v/>
      </c>
      <c r="F462" s="7" t="n"/>
      <c r="G462" s="8" t="n">
        <v>1</v>
      </c>
      <c r="H462" s="8" t="n">
        <v>0</v>
      </c>
      <c r="I462" s="8" t="n">
        <v>0</v>
      </c>
      <c r="J462" s="8" t="n">
        <v>0</v>
      </c>
      <c r="K462" s="9" t="n">
        <v>1</v>
      </c>
      <c r="L462" s="9" t="n">
        <v>0</v>
      </c>
      <c r="M462" s="9" t="n">
        <v>0</v>
      </c>
      <c r="N462" s="9" t="n">
        <v>0</v>
      </c>
      <c r="O462" s="10" t="n">
        <v>1</v>
      </c>
      <c r="P462" s="10" t="n">
        <v>0</v>
      </c>
      <c r="Q462" s="10" t="n">
        <v>0</v>
      </c>
      <c r="R462" s="10" t="n">
        <v>0</v>
      </c>
      <c r="S462" s="10" t="n">
        <v>0</v>
      </c>
    </row>
    <row r="463" ht="37" customHeight="1">
      <c r="A463" s="6">
        <f>IFERROR(__xludf.DUMMYFUNCTION("""COMPUTED_VALUE"""),"˝ Otkrivanje ˝ Arhimedovog zakona (1)")</f>
        <v/>
      </c>
      <c r="B463" s="6">
        <f>IFERROR(__xludf.DUMMYFUNCTION("""COMPUTED_VALUE"""),"Space")</f>
        <v/>
      </c>
      <c r="C463" s="6">
        <f>IFERROR(__xludf.DUMMYFUNCTION("""COMPUTED_VALUE"""),"Conceptualisation")</f>
        <v/>
      </c>
      <c r="D463" s="7">
        <f>IFERROR(__xludf.DUMMYFUNCTION("""COMPUTED_VALUE"""),"&lt;p&gt;This is the Conceptualisation phase.&lt;/p&gt;")</f>
        <v/>
      </c>
      <c r="E463" s="7">
        <f>IFERROR(__xludf.DUMMYFUNCTION("""COMPUTED_VALUE"""),"No artifact embedded")</f>
        <v/>
      </c>
      <c r="F463" s="7" t="n"/>
      <c r="G463" s="8" t="n">
        <v>0</v>
      </c>
      <c r="H463" s="8" t="n">
        <v>0</v>
      </c>
      <c r="I463" s="8" t="n">
        <v>0</v>
      </c>
      <c r="J463" s="8" t="n">
        <v>0</v>
      </c>
      <c r="K463" s="9" t="n">
        <v>0</v>
      </c>
      <c r="L463" s="9" t="n">
        <v>0</v>
      </c>
      <c r="M463" s="9" t="n">
        <v>0</v>
      </c>
      <c r="N463" s="9" t="n">
        <v>0</v>
      </c>
      <c r="O463" s="10" t="n">
        <v>0</v>
      </c>
      <c r="P463" s="10" t="n">
        <v>0</v>
      </c>
      <c r="Q463" s="10" t="n">
        <v>0</v>
      </c>
      <c r="R463" s="10" t="n">
        <v>0</v>
      </c>
      <c r="S463" s="10" t="n">
        <v>0</v>
      </c>
    </row>
    <row r="464" ht="97" customHeight="1">
      <c r="A464" s="6">
        <f>IFERROR(__xludf.DUMMYFUNCTION("""COMPUTED_VALUE"""),"˝ Otkrivanje ˝ Arhimedovog zakona (1)")</f>
        <v/>
      </c>
      <c r="B464" s="6">
        <f>IFERROR(__xludf.DUMMYFUNCTION("""COMPUTED_VALUE"""),"Resource")</f>
        <v/>
      </c>
      <c r="C464" s="6">
        <f>IFERROR(__xludf.DUMMYFUNCTION("""COMPUTED_VALUE"""),"dissplacemet[1].gif")</f>
        <v/>
      </c>
      <c r="D464" s="7">
        <f>IFERROR(__xludf.DUMMYFUNCTION("""COMPUTED_VALUE"""),"No task description")</f>
        <v/>
      </c>
      <c r="E464" s="7">
        <f>IFERROR(__xludf.DUMMYFUNCTION("""COMPUTED_VALUE"""),"image/gif – An animated or static graphic using the GIF format, often seen in memes and web animations.")</f>
        <v/>
      </c>
      <c r="F464" s="7" t="n"/>
      <c r="G464" s="8" t="n">
        <v>0</v>
      </c>
      <c r="H464" s="8" t="n">
        <v>0</v>
      </c>
      <c r="I464" s="8" t="n">
        <v>0</v>
      </c>
      <c r="J464" s="8" t="n">
        <v>0</v>
      </c>
      <c r="K464" s="9" t="n">
        <v>0</v>
      </c>
      <c r="L464" s="9" t="n">
        <v>0</v>
      </c>
      <c r="M464" s="9" t="n">
        <v>0</v>
      </c>
      <c r="N464" s="9" t="n">
        <v>0</v>
      </c>
      <c r="O464" s="10" t="n">
        <v>0</v>
      </c>
      <c r="P464" s="10" t="n">
        <v>0</v>
      </c>
      <c r="Q464" s="10" t="n">
        <v>0</v>
      </c>
      <c r="R464" s="10" t="n">
        <v>0</v>
      </c>
      <c r="S464" s="10" t="n">
        <v>0</v>
      </c>
    </row>
    <row r="465" ht="409.5" customHeight="1">
      <c r="A465" s="6">
        <f>IFERROR(__xludf.DUMMYFUNCTION("""COMPUTED_VALUE"""),"˝ Otkrivanje ˝ Arhimedovog zakona (1)")</f>
        <v/>
      </c>
      <c r="B465" s="6">
        <f>IFERROR(__xludf.DUMMYFUNCTION("""COMPUTED_VALUE"""),"Application")</f>
        <v/>
      </c>
      <c r="C465" s="6">
        <f>IFERROR(__xludf.DUMMYFUNCTION("""COMPUTED_VALUE"""),"Experiment Design Tool")</f>
        <v/>
      </c>
      <c r="D465" s="7">
        <f>IFERROR(__xludf.DUMMYFUNCTION("""COMPUTED_VALUE"""),"No task description")</f>
        <v/>
      </c>
      <c r="E465"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5" s="7" t="n"/>
      <c r="G465" s="8" t="n">
        <v>0</v>
      </c>
      <c r="H465" s="8" t="n">
        <v>0</v>
      </c>
      <c r="I465" s="8" t="n">
        <v>0</v>
      </c>
      <c r="J465" s="8" t="n">
        <v>0</v>
      </c>
      <c r="K465" s="9" t="n">
        <v>0</v>
      </c>
      <c r="L465" s="9" t="n">
        <v>0</v>
      </c>
      <c r="M465" s="9" t="n">
        <v>0</v>
      </c>
      <c r="N465" s="9" t="n">
        <v>0</v>
      </c>
      <c r="O465" s="10" t="n">
        <v>0</v>
      </c>
      <c r="P465" s="10" t="n">
        <v>0</v>
      </c>
      <c r="Q465" s="10" t="n">
        <v>0</v>
      </c>
      <c r="R465" s="10" t="n">
        <v>0</v>
      </c>
      <c r="S465" s="10" t="n">
        <v>0</v>
      </c>
    </row>
    <row r="466" ht="37" customHeight="1">
      <c r="A466" s="6">
        <f>IFERROR(__xludf.DUMMYFUNCTION("""COMPUTED_VALUE"""),"˝ Otkrivanje ˝ Arhimedovog zakona (1)")</f>
        <v/>
      </c>
      <c r="B466" s="6">
        <f>IFERROR(__xludf.DUMMYFUNCTION("""COMPUTED_VALUE"""),"Space")</f>
        <v/>
      </c>
      <c r="C466" s="6">
        <f>IFERROR(__xludf.DUMMYFUNCTION("""COMPUTED_VALUE"""),"Investigation")</f>
        <v/>
      </c>
      <c r="D466" s="7">
        <f>IFERROR(__xludf.DUMMYFUNCTION("""COMPUTED_VALUE"""),"&lt;p&gt;This is the Investigation phase.&lt;/p&gt;")</f>
        <v/>
      </c>
      <c r="E466" s="7">
        <f>IFERROR(__xludf.DUMMYFUNCTION("""COMPUTED_VALUE"""),"No artifact embedded")</f>
        <v/>
      </c>
      <c r="F466" s="7" t="n"/>
      <c r="G466" s="8" t="n">
        <v>0</v>
      </c>
      <c r="H466" s="8" t="n">
        <v>0</v>
      </c>
      <c r="I466" s="8" t="n">
        <v>0</v>
      </c>
      <c r="J466" s="8" t="n">
        <v>0</v>
      </c>
      <c r="K466" s="9" t="n">
        <v>0</v>
      </c>
      <c r="L466" s="9" t="n">
        <v>0</v>
      </c>
      <c r="M466" s="9" t="n">
        <v>0</v>
      </c>
      <c r="N466" s="9" t="n">
        <v>0</v>
      </c>
      <c r="O466" s="10" t="n">
        <v>0</v>
      </c>
      <c r="P466" s="10" t="n">
        <v>0</v>
      </c>
      <c r="Q466" s="10" t="n">
        <v>0</v>
      </c>
      <c r="R466" s="10" t="n">
        <v>0</v>
      </c>
      <c r="S466" s="10" t="n">
        <v>0</v>
      </c>
    </row>
    <row r="467" ht="373" customHeight="1">
      <c r="A467" s="6">
        <f>IFERROR(__xludf.DUMMYFUNCTION("""COMPUTED_VALUE"""),"˝ Otkrivanje ˝ Arhimedovog zakona (1)")</f>
        <v/>
      </c>
      <c r="B467" s="6">
        <f>IFERROR(__xludf.DUMMYFUNCTION("""COMPUTED_VALUE"""),"Application")</f>
        <v/>
      </c>
      <c r="C467" s="6">
        <f>IFERROR(__xludf.DUMMYFUNCTION("""COMPUTED_VALUE"""),"Splash app")</f>
        <v/>
      </c>
      <c r="D467" s="7">
        <f>IFERROR(__xludf.DUMMYFUNCTION("""COMPUTED_VALUE"""),"No task description")</f>
        <v/>
      </c>
      <c r="E467" s="7">
        <f>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
      </c>
      <c r="F467" s="7" t="n"/>
      <c r="G467" s="8" t="n">
        <v>0</v>
      </c>
      <c r="H467" s="8" t="n">
        <v>0</v>
      </c>
      <c r="I467" s="8" t="n">
        <v>0</v>
      </c>
      <c r="J467" s="8" t="n">
        <v>0</v>
      </c>
      <c r="K467" s="9" t="n">
        <v>0</v>
      </c>
      <c r="L467" s="9" t="n">
        <v>0</v>
      </c>
      <c r="M467" s="9" t="n">
        <v>0</v>
      </c>
      <c r="N467" s="9" t="n">
        <v>0</v>
      </c>
      <c r="O467" s="10" t="n">
        <v>0</v>
      </c>
      <c r="P467" s="10" t="n">
        <v>0</v>
      </c>
      <c r="Q467" s="10" t="n">
        <v>0</v>
      </c>
      <c r="R467" s="10" t="n">
        <v>0</v>
      </c>
      <c r="S467" s="10" t="n">
        <v>0</v>
      </c>
    </row>
    <row r="468" ht="409.5" customHeight="1">
      <c r="A468" s="6">
        <f>IFERROR(__xludf.DUMMYFUNCTION("""COMPUTED_VALUE"""),"˝ Otkrivanje ˝ Arhimedovog zakona (1)")</f>
        <v/>
      </c>
      <c r="B468" s="6">
        <f>IFERROR(__xludf.DUMMYFUNCTION("""COMPUTED_VALUE"""),"Application")</f>
        <v/>
      </c>
      <c r="C468" s="6">
        <f>IFERROR(__xludf.DUMMYFUNCTION("""COMPUTED_VALUE"""),"Table tool")</f>
        <v/>
      </c>
      <c r="D468" s="7">
        <f>IFERROR(__xludf.DUMMYFUNCTION("""COMPUTED_VALUE"""),"No task description")</f>
        <v/>
      </c>
      <c r="E46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68" s="7" t="n"/>
      <c r="G468" s="8" t="n">
        <v>0</v>
      </c>
      <c r="H468" s="8" t="n">
        <v>0</v>
      </c>
      <c r="I468" s="8" t="n">
        <v>0</v>
      </c>
      <c r="J468" s="8" t="n">
        <v>0</v>
      </c>
      <c r="K468" s="9" t="n">
        <v>0</v>
      </c>
      <c r="L468" s="9" t="n">
        <v>0</v>
      </c>
      <c r="M468" s="9" t="n">
        <v>0</v>
      </c>
      <c r="N468" s="9" t="n">
        <v>0</v>
      </c>
      <c r="O468" s="10" t="n">
        <v>0</v>
      </c>
      <c r="P468" s="10" t="n">
        <v>0</v>
      </c>
      <c r="Q468" s="10" t="n">
        <v>0</v>
      </c>
      <c r="R468" s="10" t="n">
        <v>0</v>
      </c>
      <c r="S468" s="10" t="n">
        <v>0</v>
      </c>
    </row>
    <row r="469" ht="409.5" customHeight="1">
      <c r="A469" s="6">
        <f>IFERROR(__xludf.DUMMYFUNCTION("""COMPUTED_VALUE"""),"˝ Otkrivanje ˝ Arhimedovog zakona (1)")</f>
        <v/>
      </c>
      <c r="B469" s="6">
        <f>IFERROR(__xludf.DUMMYFUNCTION("""COMPUTED_VALUE"""),"Application")</f>
        <v/>
      </c>
      <c r="C469" s="6">
        <f>IFERROR(__xludf.DUMMYFUNCTION("""COMPUTED_VALUE"""),"Experiment Design Tool")</f>
        <v/>
      </c>
      <c r="D469" s="7">
        <f>IFERROR(__xludf.DUMMYFUNCTION("""COMPUTED_VALUE"""),"No task description")</f>
        <v/>
      </c>
      <c r="E46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9" s="7" t="n"/>
      <c r="G469" s="8" t="n">
        <v>0</v>
      </c>
      <c r="H469" s="8" t="n">
        <v>0</v>
      </c>
      <c r="I469" s="8" t="n">
        <v>0</v>
      </c>
      <c r="J469" s="8" t="n">
        <v>0</v>
      </c>
      <c r="K469" s="9" t="n">
        <v>0</v>
      </c>
      <c r="L469" s="9" t="n">
        <v>0</v>
      </c>
      <c r="M469" s="9" t="n">
        <v>0</v>
      </c>
      <c r="N469" s="9" t="n">
        <v>0</v>
      </c>
      <c r="O469" s="10" t="n">
        <v>0</v>
      </c>
      <c r="P469" s="10" t="n">
        <v>0</v>
      </c>
      <c r="Q469" s="10" t="n">
        <v>0</v>
      </c>
      <c r="R469" s="10" t="n">
        <v>0</v>
      </c>
      <c r="S469" s="10" t="n">
        <v>0</v>
      </c>
    </row>
    <row r="470" ht="49" customHeight="1">
      <c r="A470" s="6">
        <f>IFERROR(__xludf.DUMMYFUNCTION("""COMPUTED_VALUE"""),"˝ Otkrivanje ˝ Arhimedovog zakona (1)")</f>
        <v/>
      </c>
      <c r="B470" s="6">
        <f>IFERROR(__xludf.DUMMYFUNCTION("""COMPUTED_VALUE"""),"Application")</f>
        <v/>
      </c>
      <c r="C470" s="6">
        <f>IFERROR(__xludf.DUMMYFUNCTION("""COMPUTED_VALUE"""),"Laboratory")</f>
        <v/>
      </c>
      <c r="D470" s="7">
        <f>IFERROR(__xludf.DUMMYFUNCTION("""COMPUTED_VALUE"""),"No task description")</f>
        <v/>
      </c>
      <c r="E470" s="7">
        <f>IFERROR(__xludf.DUMMYFUNCTION("""COMPUTED_VALUE"""),"Golabz app/lab: No description available for this online lab")</f>
        <v/>
      </c>
      <c r="F470" s="7" t="n"/>
      <c r="G470" s="8" t="n">
        <v>0</v>
      </c>
      <c r="H470" s="8" t="n">
        <v>0</v>
      </c>
      <c r="I470" s="8" t="n">
        <v>0</v>
      </c>
      <c r="J470" s="8" t="n">
        <v>0</v>
      </c>
      <c r="K470" s="9" t="n">
        <v>0</v>
      </c>
      <c r="L470" s="9" t="n">
        <v>0</v>
      </c>
      <c r="M470" s="9" t="n">
        <v>0</v>
      </c>
      <c r="N470" s="9" t="n">
        <v>0</v>
      </c>
      <c r="O470" s="10" t="n">
        <v>0</v>
      </c>
      <c r="P470" s="10" t="n">
        <v>0</v>
      </c>
      <c r="Q470" s="10" t="n">
        <v>0</v>
      </c>
      <c r="R470" s="10" t="n">
        <v>0</v>
      </c>
      <c r="S470" s="10" t="n">
        <v>0</v>
      </c>
    </row>
    <row r="471" ht="37" customHeight="1">
      <c r="A471" s="6">
        <f>IFERROR(__xludf.DUMMYFUNCTION("""COMPUTED_VALUE"""),"˝ Otkrivanje ˝ Arhimedovog zakona (1)")</f>
        <v/>
      </c>
      <c r="B471" s="6">
        <f>IFERROR(__xludf.DUMMYFUNCTION("""COMPUTED_VALUE"""),"Space")</f>
        <v/>
      </c>
      <c r="C471" s="6">
        <f>IFERROR(__xludf.DUMMYFUNCTION("""COMPUTED_VALUE"""),"Conclusion")</f>
        <v/>
      </c>
      <c r="D471" s="7">
        <f>IFERROR(__xludf.DUMMYFUNCTION("""COMPUTED_VALUE"""),"&lt;p&gt;This is the Conclusion phase.&lt;/p&gt;")</f>
        <v/>
      </c>
      <c r="E471" s="7">
        <f>IFERROR(__xludf.DUMMYFUNCTION("""COMPUTED_VALUE"""),"No artifact embedded")</f>
        <v/>
      </c>
      <c r="F471" s="7" t="n"/>
      <c r="G471" s="8" t="n">
        <v>0</v>
      </c>
      <c r="H471" s="8" t="n">
        <v>0</v>
      </c>
      <c r="I471" s="8" t="n">
        <v>0</v>
      </c>
      <c r="J471" s="8" t="n">
        <v>0</v>
      </c>
      <c r="K471" s="9" t="n">
        <v>0</v>
      </c>
      <c r="L471" s="9" t="n">
        <v>0</v>
      </c>
      <c r="M471" s="9" t="n">
        <v>0</v>
      </c>
      <c r="N471" s="9" t="n">
        <v>0</v>
      </c>
      <c r="O471" s="10" t="n">
        <v>0</v>
      </c>
      <c r="P471" s="10" t="n">
        <v>0</v>
      </c>
      <c r="Q471" s="10" t="n">
        <v>0</v>
      </c>
      <c r="R471" s="10" t="n">
        <v>0</v>
      </c>
      <c r="S471" s="10" t="n">
        <v>0</v>
      </c>
    </row>
    <row r="472" ht="37" customHeight="1">
      <c r="A472" s="6">
        <f>IFERROR(__xludf.DUMMYFUNCTION("""COMPUTED_VALUE"""),"˝ Otkrivanje ˝ Arhimedovog zakona (1)")</f>
        <v/>
      </c>
      <c r="B472" s="6">
        <f>IFERROR(__xludf.DUMMYFUNCTION("""COMPUTED_VALUE"""),"Space")</f>
        <v/>
      </c>
      <c r="C472" s="6">
        <f>IFERROR(__xludf.DUMMYFUNCTION("""COMPUTED_VALUE"""),"Discussion")</f>
        <v/>
      </c>
      <c r="D472" s="7">
        <f>IFERROR(__xludf.DUMMYFUNCTION("""COMPUTED_VALUE"""),"&lt;p&gt;This is the Discussion phase.&lt;/p&gt;")</f>
        <v/>
      </c>
      <c r="E472" s="7">
        <f>IFERROR(__xludf.DUMMYFUNCTION("""COMPUTED_VALUE"""),"No artifact embedded")</f>
        <v/>
      </c>
      <c r="F472" s="7" t="n"/>
      <c r="G472" s="8" t="n">
        <v>0</v>
      </c>
      <c r="H472" s="8" t="n">
        <v>0</v>
      </c>
      <c r="I472" s="8" t="n">
        <v>0</v>
      </c>
      <c r="J472" s="8" t="n">
        <v>0</v>
      </c>
      <c r="K472" s="9" t="n">
        <v>0</v>
      </c>
      <c r="L472" s="9" t="n">
        <v>0</v>
      </c>
      <c r="M472" s="9" t="n">
        <v>0</v>
      </c>
      <c r="N472" s="9" t="n">
        <v>0</v>
      </c>
      <c r="O472" s="10" t="n">
        <v>0</v>
      </c>
      <c r="P472" s="10" t="n">
        <v>0</v>
      </c>
      <c r="Q472" s="10" t="n">
        <v>0</v>
      </c>
      <c r="R472" s="10" t="n">
        <v>0</v>
      </c>
      <c r="S472" s="10" t="n">
        <v>0</v>
      </c>
    </row>
    <row r="473" ht="25" customHeight="1">
      <c r="A473" s="6">
        <f>IFERROR(__xludf.DUMMYFUNCTION("""COMPUTED_VALUE"""),"Tsedey")</f>
        <v/>
      </c>
      <c r="B473" s="6">
        <f>IFERROR(__xludf.DUMMYFUNCTION("""COMPUTED_VALUE"""),"Space")</f>
        <v/>
      </c>
      <c r="C473" s="6">
        <f>IFERROR(__xludf.DUMMYFUNCTION("""COMPUTED_VALUE"""),"Orientation")</f>
        <v/>
      </c>
      <c r="D473" s="7">
        <f>IFERROR(__xludf.DUMMYFUNCTION("""COMPUTED_VALUE"""),"No task description")</f>
        <v/>
      </c>
      <c r="E473" s="7">
        <f>IFERROR(__xludf.DUMMYFUNCTION("""COMPUTED_VALUE"""),"No artifact embedded")</f>
        <v/>
      </c>
      <c r="F473" s="7" t="n"/>
      <c r="G473" s="8" t="n">
        <v>0</v>
      </c>
      <c r="H473" s="8" t="n">
        <v>0</v>
      </c>
      <c r="I473" s="8" t="n">
        <v>0</v>
      </c>
      <c r="J473" s="8" t="n">
        <v>0</v>
      </c>
      <c r="K473" s="9" t="n">
        <v>0</v>
      </c>
      <c r="L473" s="9" t="n">
        <v>0</v>
      </c>
      <c r="M473" s="9" t="n">
        <v>0</v>
      </c>
      <c r="N473" s="9" t="n">
        <v>0</v>
      </c>
      <c r="O473" s="10" t="n">
        <v>0</v>
      </c>
      <c r="P473" s="10" t="n">
        <v>0</v>
      </c>
      <c r="Q473" s="10" t="n">
        <v>0</v>
      </c>
      <c r="R473" s="10" t="n">
        <v>0</v>
      </c>
      <c r="S473" s="10" t="n">
        <v>0</v>
      </c>
    </row>
    <row r="474" ht="37" customHeight="1">
      <c r="A474" s="6">
        <f>IFERROR(__xludf.DUMMYFUNCTION("""COMPUTED_VALUE"""),"Tsedey")</f>
        <v/>
      </c>
      <c r="B474" s="6">
        <f>IFERROR(__xludf.DUMMYFUNCTION("""COMPUTED_VALUE"""),"Resource")</f>
        <v/>
      </c>
      <c r="C474" s="6">
        <f>IFERROR(__xludf.DUMMYFUNCTION("""COMPUTED_VALUE"""),"Text.graasp")</f>
        <v/>
      </c>
      <c r="D474" s="7">
        <f>IFERROR(__xludf.DUMMYFUNCTION("""COMPUTED_VALUE"""),"&lt;p&gt;best game on this app easy enough &lt;/p&gt;")</f>
        <v/>
      </c>
      <c r="E474" s="7">
        <f>IFERROR(__xludf.DUMMYFUNCTION("""COMPUTED_VALUE"""),"No artifact embedded")</f>
        <v/>
      </c>
      <c r="F474" s="7" t="n"/>
      <c r="G474" s="8" t="n">
        <v>0</v>
      </c>
      <c r="H474" s="8" t="n">
        <v>0</v>
      </c>
      <c r="I474" s="8" t="n">
        <v>0</v>
      </c>
      <c r="J474" s="8" t="n">
        <v>0</v>
      </c>
      <c r="K474" s="9" t="n">
        <v>0</v>
      </c>
      <c r="L474" s="9" t="n">
        <v>0</v>
      </c>
      <c r="M474" s="9" t="n">
        <v>0</v>
      </c>
      <c r="N474" s="9" t="n">
        <v>0</v>
      </c>
      <c r="O474" s="10" t="n">
        <v>0</v>
      </c>
      <c r="P474" s="10" t="n">
        <v>0</v>
      </c>
      <c r="Q474" s="10" t="n">
        <v>0</v>
      </c>
      <c r="R474" s="10" t="n">
        <v>0</v>
      </c>
      <c r="S474" s="10" t="n">
        <v>0</v>
      </c>
    </row>
    <row r="475" ht="409.5" customHeight="1">
      <c r="A475" s="6">
        <f>IFERROR(__xludf.DUMMYFUNCTION("""COMPUTED_VALUE"""),"Tsedey")</f>
        <v/>
      </c>
      <c r="B475" s="6">
        <f>IFERROR(__xludf.DUMMYFUNCTION("""COMPUTED_VALUE"""),"Resource")</f>
        <v/>
      </c>
      <c r="C475" s="6">
        <f>IFERROR(__xludf.DUMMYFUNCTION("""COMPUTED_VALUE"""),"I Bought My DREAM CAR and it's AMAZING!!!")</f>
        <v/>
      </c>
      <c r="D475" s="7">
        <f>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
      </c>
      <c r="E475" s="7">
        <f>IFERROR(__xludf.DUMMYFUNCTION("""COMPUTED_VALUE"""),"youtu.be: A shortened URL service for YouTube, leading to various videos on the platform.")</f>
        <v/>
      </c>
      <c r="F475" s="7" t="n"/>
      <c r="G475" s="8" t="n">
        <v>1</v>
      </c>
      <c r="H475" s="8" t="n">
        <v>0</v>
      </c>
      <c r="I475" s="8" t="n">
        <v>0</v>
      </c>
      <c r="J475" s="8" t="n">
        <v>0</v>
      </c>
      <c r="K475" s="9" t="n">
        <v>1</v>
      </c>
      <c r="L475" s="9" t="n">
        <v>0</v>
      </c>
      <c r="M475" s="9" t="n">
        <v>0</v>
      </c>
      <c r="N475" s="9" t="n">
        <v>0</v>
      </c>
      <c r="O475" s="10" t="n">
        <v>1</v>
      </c>
      <c r="P475" s="10" t="n">
        <v>0</v>
      </c>
      <c r="Q475" s="10" t="n">
        <v>0</v>
      </c>
      <c r="R475" s="10" t="n">
        <v>0</v>
      </c>
      <c r="S475" s="10" t="n">
        <v>0</v>
      </c>
    </row>
    <row r="476" ht="409.5" customHeight="1">
      <c r="A476" s="6">
        <f>IFERROR(__xludf.DUMMYFUNCTION("""COMPUTED_VALUE"""),"Tsedey")</f>
        <v/>
      </c>
      <c r="B476" s="6">
        <f>IFERROR(__xludf.DUMMYFUNCTION("""COMPUTED_VALUE"""),"Application")</f>
        <v/>
      </c>
      <c r="C476" s="6">
        <f>IFERROR(__xludf.DUMMYFUNCTION("""COMPUTED_VALUE"""),"Concept Mapper")</f>
        <v/>
      </c>
      <c r="D476" s="7">
        <f>IFERROR(__xludf.DUMMYFUNCTION("""COMPUTED_VALUE"""),"No task description")</f>
        <v/>
      </c>
      <c r="E476"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76" s="7" t="n"/>
      <c r="G476" s="8" t="n">
        <v>0</v>
      </c>
      <c r="H476" s="8" t="n">
        <v>0</v>
      </c>
      <c r="I476" s="8" t="n">
        <v>0</v>
      </c>
      <c r="J476" s="8" t="n">
        <v>0</v>
      </c>
      <c r="K476" s="9" t="n">
        <v>0</v>
      </c>
      <c r="L476" s="9" t="n">
        <v>0</v>
      </c>
      <c r="M476" s="9" t="n">
        <v>0</v>
      </c>
      <c r="N476" s="9" t="n">
        <v>0</v>
      </c>
      <c r="O476" s="10" t="n">
        <v>0</v>
      </c>
      <c r="P476" s="10" t="n">
        <v>0</v>
      </c>
      <c r="Q476" s="10" t="n">
        <v>0</v>
      </c>
      <c r="R476" s="10" t="n">
        <v>0</v>
      </c>
      <c r="S476" s="10" t="n">
        <v>0</v>
      </c>
    </row>
    <row r="477" ht="49" customHeight="1">
      <c r="A477" s="6">
        <f>IFERROR(__xludf.DUMMYFUNCTION("""COMPUTED_VALUE"""),"Tsedey")</f>
        <v/>
      </c>
      <c r="B477" s="6">
        <f>IFERROR(__xludf.DUMMYFUNCTION("""COMPUTED_VALUE"""),"Application")</f>
        <v/>
      </c>
      <c r="C477" s="6">
        <f>IFERROR(__xludf.DUMMYFUNCTION("""COMPUTED_VALUE"""),"Input")</f>
        <v/>
      </c>
      <c r="D477" s="7">
        <f>IFERROR(__xludf.DUMMYFUNCTION("""COMPUTED_VALUE"""),"No task description")</f>
        <v/>
      </c>
      <c r="E477" s="7">
        <f>IFERROR(__xludf.DUMMYFUNCTION("""COMPUTED_VALUE"""),"Golabz app/lab: No description available for this online app")</f>
        <v/>
      </c>
      <c r="F477" s="7" t="n"/>
      <c r="G477" s="8" t="n">
        <v>0</v>
      </c>
      <c r="H477" s="8" t="n">
        <v>0</v>
      </c>
      <c r="I477" s="8" t="n">
        <v>0</v>
      </c>
      <c r="J477" s="8" t="n">
        <v>0</v>
      </c>
      <c r="K477" s="9" t="n">
        <v>0</v>
      </c>
      <c r="L477" s="9" t="n">
        <v>0</v>
      </c>
      <c r="M477" s="9" t="n">
        <v>0</v>
      </c>
      <c r="N477" s="9" t="n">
        <v>0</v>
      </c>
      <c r="O477" s="10" t="n">
        <v>0</v>
      </c>
      <c r="P477" s="10" t="n">
        <v>0</v>
      </c>
      <c r="Q477" s="10" t="n">
        <v>0</v>
      </c>
      <c r="R477" s="10" t="n">
        <v>0</v>
      </c>
      <c r="S477" s="10" t="n">
        <v>0</v>
      </c>
    </row>
    <row r="478" ht="25" customHeight="1">
      <c r="A478" s="6">
        <f>IFERROR(__xludf.DUMMYFUNCTION("""COMPUTED_VALUE"""),"Tsedey")</f>
        <v/>
      </c>
      <c r="B478" s="6">
        <f>IFERROR(__xludf.DUMMYFUNCTION("""COMPUTED_VALUE"""),"Space")</f>
        <v/>
      </c>
      <c r="C478" s="6">
        <f>IFERROR(__xludf.DUMMYFUNCTION("""COMPUTED_VALUE"""),"Conceptualisation")</f>
        <v/>
      </c>
      <c r="D478" s="7">
        <f>IFERROR(__xludf.DUMMYFUNCTION("""COMPUTED_VALUE"""),"No task description")</f>
        <v/>
      </c>
      <c r="E478" s="7">
        <f>IFERROR(__xludf.DUMMYFUNCTION("""COMPUTED_VALUE"""),"No artifact embedded")</f>
        <v/>
      </c>
      <c r="F478" s="7" t="n"/>
      <c r="G478" s="8" t="n">
        <v>0</v>
      </c>
      <c r="H478" s="8" t="n">
        <v>0</v>
      </c>
      <c r="I478" s="8" t="n">
        <v>0</v>
      </c>
      <c r="J478" s="8" t="n">
        <v>0</v>
      </c>
      <c r="K478" s="9" t="n">
        <v>0</v>
      </c>
      <c r="L478" s="9" t="n">
        <v>0</v>
      </c>
      <c r="M478" s="9" t="n">
        <v>0</v>
      </c>
      <c r="N478" s="9" t="n">
        <v>0</v>
      </c>
      <c r="O478" s="10" t="n">
        <v>0</v>
      </c>
      <c r="P478" s="10" t="n">
        <v>0</v>
      </c>
      <c r="Q478" s="10" t="n">
        <v>0</v>
      </c>
      <c r="R478" s="10" t="n">
        <v>0</v>
      </c>
      <c r="S478" s="10" t="n">
        <v>0</v>
      </c>
    </row>
    <row r="479" ht="25" customHeight="1">
      <c r="A479" s="6">
        <f>IFERROR(__xludf.DUMMYFUNCTION("""COMPUTED_VALUE"""),"Tsedey")</f>
        <v/>
      </c>
      <c r="B479" s="6">
        <f>IFERROR(__xludf.DUMMYFUNCTION("""COMPUTED_VALUE"""),"Space")</f>
        <v/>
      </c>
      <c r="C479" s="6">
        <f>IFERROR(__xludf.DUMMYFUNCTION("""COMPUTED_VALUE"""),"Investigation")</f>
        <v/>
      </c>
      <c r="D479" s="7">
        <f>IFERROR(__xludf.DUMMYFUNCTION("""COMPUTED_VALUE"""),"No task description")</f>
        <v/>
      </c>
      <c r="E479" s="7">
        <f>IFERROR(__xludf.DUMMYFUNCTION("""COMPUTED_VALUE"""),"No artifact embedded")</f>
        <v/>
      </c>
      <c r="F479" s="7" t="n"/>
      <c r="G479" s="8" t="n">
        <v>0</v>
      </c>
      <c r="H479" s="8" t="n">
        <v>0</v>
      </c>
      <c r="I479" s="8" t="n">
        <v>0</v>
      </c>
      <c r="J479" s="8" t="n">
        <v>0</v>
      </c>
      <c r="K479" s="9" t="n">
        <v>0</v>
      </c>
      <c r="L479" s="9" t="n">
        <v>0</v>
      </c>
      <c r="M479" s="9" t="n">
        <v>0</v>
      </c>
      <c r="N479" s="9" t="n">
        <v>0</v>
      </c>
      <c r="O479" s="10" t="n">
        <v>0</v>
      </c>
      <c r="P479" s="10" t="n">
        <v>0</v>
      </c>
      <c r="Q479" s="10" t="n">
        <v>0</v>
      </c>
      <c r="R479" s="10" t="n">
        <v>0</v>
      </c>
      <c r="S479" s="10" t="n">
        <v>0</v>
      </c>
    </row>
    <row r="480" ht="25" customHeight="1">
      <c r="A480" s="6">
        <f>IFERROR(__xludf.DUMMYFUNCTION("""COMPUTED_VALUE"""),"Tsedey")</f>
        <v/>
      </c>
      <c r="B480" s="6">
        <f>IFERROR(__xludf.DUMMYFUNCTION("""COMPUTED_VALUE"""),"Space")</f>
        <v/>
      </c>
      <c r="C480" s="6">
        <f>IFERROR(__xludf.DUMMYFUNCTION("""COMPUTED_VALUE"""),"Conclusion")</f>
        <v/>
      </c>
      <c r="D480" s="7">
        <f>IFERROR(__xludf.DUMMYFUNCTION("""COMPUTED_VALUE"""),"No task description")</f>
        <v/>
      </c>
      <c r="E480" s="7">
        <f>IFERROR(__xludf.DUMMYFUNCTION("""COMPUTED_VALUE"""),"No artifact embedded")</f>
        <v/>
      </c>
      <c r="F480" s="7" t="n"/>
      <c r="G480" s="8" t="n">
        <v>0</v>
      </c>
      <c r="H480" s="8" t="n">
        <v>0</v>
      </c>
      <c r="I480" s="8" t="n">
        <v>0</v>
      </c>
      <c r="J480" s="8" t="n">
        <v>0</v>
      </c>
      <c r="K480" s="9" t="n">
        <v>0</v>
      </c>
      <c r="L480" s="9" t="n">
        <v>0</v>
      </c>
      <c r="M480" s="9" t="n">
        <v>0</v>
      </c>
      <c r="N480" s="9" t="n">
        <v>0</v>
      </c>
      <c r="O480" s="10" t="n">
        <v>0</v>
      </c>
      <c r="P480" s="10" t="n">
        <v>0</v>
      </c>
      <c r="Q480" s="10" t="n">
        <v>0</v>
      </c>
      <c r="R480" s="10" t="n">
        <v>0</v>
      </c>
      <c r="S480" s="10" t="n">
        <v>0</v>
      </c>
    </row>
    <row r="481" ht="25" customHeight="1">
      <c r="A481" s="6">
        <f>IFERROR(__xludf.DUMMYFUNCTION("""COMPUTED_VALUE"""),"Tsedey")</f>
        <v/>
      </c>
      <c r="B481" s="6">
        <f>IFERROR(__xludf.DUMMYFUNCTION("""COMPUTED_VALUE"""),"Space")</f>
        <v/>
      </c>
      <c r="C481" s="6">
        <f>IFERROR(__xludf.DUMMYFUNCTION("""COMPUTED_VALUE"""),"Discussion")</f>
        <v/>
      </c>
      <c r="D481" s="7">
        <f>IFERROR(__xludf.DUMMYFUNCTION("""COMPUTED_VALUE"""),"No task description")</f>
        <v/>
      </c>
      <c r="E481" s="7">
        <f>IFERROR(__xludf.DUMMYFUNCTION("""COMPUTED_VALUE"""),"No artifact embedded")</f>
        <v/>
      </c>
      <c r="F481" s="7" t="n"/>
      <c r="G481" s="8" t="n">
        <v>0</v>
      </c>
      <c r="H481" s="8" t="n">
        <v>0</v>
      </c>
      <c r="I481" s="8" t="n">
        <v>0</v>
      </c>
      <c r="J481" s="8" t="n">
        <v>0</v>
      </c>
      <c r="K481" s="9" t="n">
        <v>0</v>
      </c>
      <c r="L481" s="9" t="n">
        <v>0</v>
      </c>
      <c r="M481" s="9" t="n">
        <v>0</v>
      </c>
      <c r="N481" s="9" t="n">
        <v>0</v>
      </c>
      <c r="O481" s="10" t="n">
        <v>0</v>
      </c>
      <c r="P481" s="10" t="n">
        <v>0</v>
      </c>
      <c r="Q481" s="10" t="n">
        <v>0</v>
      </c>
      <c r="R481" s="10" t="n">
        <v>0</v>
      </c>
      <c r="S481" s="10" t="n">
        <v>0</v>
      </c>
    </row>
    <row r="482" ht="37" customHeight="1">
      <c r="A482" s="6">
        <f>IFERROR(__xludf.DUMMYFUNCTION("""COMPUTED_VALUE"""),"Teste")</f>
        <v/>
      </c>
      <c r="B482" s="6">
        <f>IFERROR(__xludf.DUMMYFUNCTION("""COMPUTED_VALUE"""),"Space")</f>
        <v/>
      </c>
      <c r="C482" s="6">
        <f>IFERROR(__xludf.DUMMYFUNCTION("""COMPUTED_VALUE"""),"Orientation")</f>
        <v/>
      </c>
      <c r="D482" s="7">
        <f>IFERROR(__xludf.DUMMYFUNCTION("""COMPUTED_VALUE"""),"&lt;p&gt;This is the Orientation phase.&lt;/p&gt;")</f>
        <v/>
      </c>
      <c r="E482" s="7">
        <f>IFERROR(__xludf.DUMMYFUNCTION("""COMPUTED_VALUE"""),"No artifact embedded")</f>
        <v/>
      </c>
      <c r="F482" s="7" t="n"/>
      <c r="G482" s="8" t="n">
        <v>0</v>
      </c>
      <c r="H482" s="8" t="n">
        <v>0</v>
      </c>
      <c r="I482" s="8" t="n">
        <v>0</v>
      </c>
      <c r="J482" s="8" t="n">
        <v>0</v>
      </c>
      <c r="K482" s="9" t="n">
        <v>0</v>
      </c>
      <c r="L482" s="9" t="n">
        <v>0</v>
      </c>
      <c r="M482" s="9" t="n">
        <v>0</v>
      </c>
      <c r="N482" s="9" t="n">
        <v>0</v>
      </c>
      <c r="O482" s="10" t="n">
        <v>0</v>
      </c>
      <c r="P482" s="10" t="n">
        <v>0</v>
      </c>
      <c r="Q482" s="10" t="n">
        <v>0</v>
      </c>
      <c r="R482" s="10" t="n">
        <v>0</v>
      </c>
      <c r="S482" s="10" t="n">
        <v>0</v>
      </c>
    </row>
    <row r="483" ht="37" customHeight="1">
      <c r="A483" s="6">
        <f>IFERROR(__xludf.DUMMYFUNCTION("""COMPUTED_VALUE"""),"Teste")</f>
        <v/>
      </c>
      <c r="B483" s="6">
        <f>IFERROR(__xludf.DUMMYFUNCTION("""COMPUTED_VALUE"""),"Space")</f>
        <v/>
      </c>
      <c r="C483" s="6">
        <f>IFERROR(__xludf.DUMMYFUNCTION("""COMPUTED_VALUE"""),"Conceptualisation")</f>
        <v/>
      </c>
      <c r="D483" s="7">
        <f>IFERROR(__xludf.DUMMYFUNCTION("""COMPUTED_VALUE"""),"&lt;p&gt;This is the Conceptualisation phase.&lt;/p&gt;")</f>
        <v/>
      </c>
      <c r="E483" s="7">
        <f>IFERROR(__xludf.DUMMYFUNCTION("""COMPUTED_VALUE"""),"No artifact embedded")</f>
        <v/>
      </c>
      <c r="F483" s="7" t="n"/>
      <c r="G483" s="8" t="n">
        <v>0</v>
      </c>
      <c r="H483" s="8" t="n">
        <v>0</v>
      </c>
      <c r="I483" s="8" t="n">
        <v>0</v>
      </c>
      <c r="J483" s="8" t="n">
        <v>0</v>
      </c>
      <c r="K483" s="9" t="n">
        <v>0</v>
      </c>
      <c r="L483" s="9" t="n">
        <v>0</v>
      </c>
      <c r="M483" s="9" t="n">
        <v>0</v>
      </c>
      <c r="N483" s="9" t="n">
        <v>0</v>
      </c>
      <c r="O483" s="10" t="n">
        <v>0</v>
      </c>
      <c r="P483" s="10" t="n">
        <v>0</v>
      </c>
      <c r="Q483" s="10" t="n">
        <v>0</v>
      </c>
      <c r="R483" s="10" t="n">
        <v>0</v>
      </c>
      <c r="S483" s="10" t="n">
        <v>0</v>
      </c>
    </row>
    <row r="484" ht="37" customHeight="1">
      <c r="A484" s="6">
        <f>IFERROR(__xludf.DUMMYFUNCTION("""COMPUTED_VALUE"""),"Teste")</f>
        <v/>
      </c>
      <c r="B484" s="6">
        <f>IFERROR(__xludf.DUMMYFUNCTION("""COMPUTED_VALUE"""),"Space")</f>
        <v/>
      </c>
      <c r="C484" s="6">
        <f>IFERROR(__xludf.DUMMYFUNCTION("""COMPUTED_VALUE"""),"Investigation")</f>
        <v/>
      </c>
      <c r="D484" s="7">
        <f>IFERROR(__xludf.DUMMYFUNCTION("""COMPUTED_VALUE"""),"&lt;p&gt;This is the Investigation phase.&lt;/p&gt;")</f>
        <v/>
      </c>
      <c r="E484" s="7">
        <f>IFERROR(__xludf.DUMMYFUNCTION("""COMPUTED_VALUE"""),"No artifact embedded")</f>
        <v/>
      </c>
      <c r="F484" s="7" t="n"/>
      <c r="G484" s="8" t="n">
        <v>0</v>
      </c>
      <c r="H484" s="8" t="n">
        <v>0</v>
      </c>
      <c r="I484" s="8" t="n">
        <v>0</v>
      </c>
      <c r="J484" s="8" t="n">
        <v>0</v>
      </c>
      <c r="K484" s="9" t="n">
        <v>0</v>
      </c>
      <c r="L484" s="9" t="n">
        <v>0</v>
      </c>
      <c r="M484" s="9" t="n">
        <v>0</v>
      </c>
      <c r="N484" s="9" t="n">
        <v>0</v>
      </c>
      <c r="O484" s="10" t="n">
        <v>0</v>
      </c>
      <c r="P484" s="10" t="n">
        <v>0</v>
      </c>
      <c r="Q484" s="10" t="n">
        <v>0</v>
      </c>
      <c r="R484" s="10" t="n">
        <v>0</v>
      </c>
      <c r="S484" s="10" t="n">
        <v>0</v>
      </c>
    </row>
    <row r="485" ht="340" customHeight="1">
      <c r="A485" s="6">
        <f>IFERROR(__xludf.DUMMYFUNCTION("""COMPUTED_VALUE"""),"Teste")</f>
        <v/>
      </c>
      <c r="B485" s="6">
        <f>IFERROR(__xludf.DUMMYFUNCTION("""COMPUTED_VALUE"""),"Application")</f>
        <v/>
      </c>
      <c r="C485" s="6">
        <f>IFERROR(__xludf.DUMMYFUNCTION("""COMPUTED_VALUE"""),"John Travoltage source")</f>
        <v/>
      </c>
      <c r="D485" s="7">
        <f>IFERROR(__xludf.DUMMYFUNCTION("""COMPUTED_VALUE"""),"No task description")</f>
        <v/>
      </c>
      <c r="E485" s="7">
        <f>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
      </c>
      <c r="F485" s="7" t="n"/>
      <c r="G485" s="8" t="n">
        <v>0</v>
      </c>
      <c r="H485" s="8" t="n">
        <v>0</v>
      </c>
      <c r="I485" s="8" t="n">
        <v>0</v>
      </c>
      <c r="J485" s="8" t="n">
        <v>0</v>
      </c>
      <c r="K485" s="9" t="n">
        <v>0</v>
      </c>
      <c r="L485" s="9" t="n">
        <v>0</v>
      </c>
      <c r="M485" s="9" t="n">
        <v>0</v>
      </c>
      <c r="N485" s="9" t="n">
        <v>0</v>
      </c>
      <c r="O485" s="10" t="n">
        <v>0</v>
      </c>
      <c r="P485" s="10" t="n">
        <v>0</v>
      </c>
      <c r="Q485" s="10" t="n">
        <v>0</v>
      </c>
      <c r="R485" s="10" t="n">
        <v>0</v>
      </c>
      <c r="S485" s="10" t="n">
        <v>0</v>
      </c>
    </row>
    <row r="486" ht="409.5" customHeight="1">
      <c r="A486" s="6">
        <f>IFERROR(__xludf.DUMMYFUNCTION("""COMPUTED_VALUE"""),"Teste")</f>
        <v/>
      </c>
      <c r="B486" s="6">
        <f>IFERROR(__xludf.DUMMYFUNCTION("""COMPUTED_VALUE"""),"Application")</f>
        <v/>
      </c>
      <c r="C486" s="6">
        <f>IFERROR(__xludf.DUMMYFUNCTION("""COMPUTED_VALUE"""),"Vector Addition")</f>
        <v/>
      </c>
      <c r="D486" s="7">
        <f>IFERROR(__xludf.DUMMYFUNCTION("""COMPUTED_VALUE"""),"No task description")</f>
        <v/>
      </c>
      <c r="E486" s="7">
        <f>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
      </c>
      <c r="F486" s="7" t="n"/>
      <c r="G486" s="8" t="n">
        <v>0</v>
      </c>
      <c r="H486" s="8" t="n">
        <v>0</v>
      </c>
      <c r="I486" s="8" t="n">
        <v>0</v>
      </c>
      <c r="J486" s="8" t="n">
        <v>0</v>
      </c>
      <c r="K486" s="9" t="n">
        <v>0</v>
      </c>
      <c r="L486" s="9" t="n">
        <v>0</v>
      </c>
      <c r="M486" s="9" t="n">
        <v>0</v>
      </c>
      <c r="N486" s="9" t="n">
        <v>0</v>
      </c>
      <c r="O486" s="10" t="n">
        <v>0</v>
      </c>
      <c r="P486" s="10" t="n">
        <v>0</v>
      </c>
      <c r="Q486" s="10" t="n">
        <v>0</v>
      </c>
      <c r="R486" s="10" t="n">
        <v>0</v>
      </c>
      <c r="S486" s="10" t="n">
        <v>0</v>
      </c>
    </row>
    <row r="487" ht="37" customHeight="1">
      <c r="A487" s="6">
        <f>IFERROR(__xludf.DUMMYFUNCTION("""COMPUTED_VALUE"""),"Teste")</f>
        <v/>
      </c>
      <c r="B487" s="6">
        <f>IFERROR(__xludf.DUMMYFUNCTION("""COMPUTED_VALUE"""),"Space")</f>
        <v/>
      </c>
      <c r="C487" s="6">
        <f>IFERROR(__xludf.DUMMYFUNCTION("""COMPUTED_VALUE"""),"Conclusion")</f>
        <v/>
      </c>
      <c r="D487" s="7">
        <f>IFERROR(__xludf.DUMMYFUNCTION("""COMPUTED_VALUE"""),"&lt;p&gt;This is the Conclusion phase.&lt;/p&gt;")</f>
        <v/>
      </c>
      <c r="E487" s="7">
        <f>IFERROR(__xludf.DUMMYFUNCTION("""COMPUTED_VALUE"""),"No artifact embedded")</f>
        <v/>
      </c>
      <c r="F487" s="7" t="n"/>
      <c r="G487" s="8" t="n">
        <v>0</v>
      </c>
      <c r="H487" s="8" t="n">
        <v>0</v>
      </c>
      <c r="I487" s="8" t="n">
        <v>0</v>
      </c>
      <c r="J487" s="8" t="n">
        <v>0</v>
      </c>
      <c r="K487" s="9" t="n">
        <v>0</v>
      </c>
      <c r="L487" s="9" t="n">
        <v>0</v>
      </c>
      <c r="M487" s="9" t="n">
        <v>0</v>
      </c>
      <c r="N487" s="9" t="n">
        <v>0</v>
      </c>
      <c r="O487" s="10" t="n">
        <v>0</v>
      </c>
      <c r="P487" s="10" t="n">
        <v>0</v>
      </c>
      <c r="Q487" s="10" t="n">
        <v>0</v>
      </c>
      <c r="R487" s="10" t="n">
        <v>0</v>
      </c>
      <c r="S487" s="10" t="n">
        <v>0</v>
      </c>
    </row>
    <row r="488" ht="37" customHeight="1">
      <c r="A488" s="6">
        <f>IFERROR(__xludf.DUMMYFUNCTION("""COMPUTED_VALUE"""),"Teste")</f>
        <v/>
      </c>
      <c r="B488" s="6">
        <f>IFERROR(__xludf.DUMMYFUNCTION("""COMPUTED_VALUE"""),"Space")</f>
        <v/>
      </c>
      <c r="C488" s="6">
        <f>IFERROR(__xludf.DUMMYFUNCTION("""COMPUTED_VALUE"""),"Discussion")</f>
        <v/>
      </c>
      <c r="D488" s="7">
        <f>IFERROR(__xludf.DUMMYFUNCTION("""COMPUTED_VALUE"""),"&lt;p&gt;This is the Discussion phase.&lt;/p&gt;")</f>
        <v/>
      </c>
      <c r="E488" s="7">
        <f>IFERROR(__xludf.DUMMYFUNCTION("""COMPUTED_VALUE"""),"No artifact embedded")</f>
        <v/>
      </c>
      <c r="F488" s="7" t="n"/>
      <c r="G488" s="8" t="n">
        <v>0</v>
      </c>
      <c r="H488" s="8" t="n">
        <v>0</v>
      </c>
      <c r="I488" s="8" t="n">
        <v>0</v>
      </c>
      <c r="J488" s="8" t="n">
        <v>0</v>
      </c>
      <c r="K488" s="9" t="n">
        <v>0</v>
      </c>
      <c r="L488" s="9" t="n">
        <v>0</v>
      </c>
      <c r="M488" s="9" t="n">
        <v>0</v>
      </c>
      <c r="N488" s="9" t="n">
        <v>0</v>
      </c>
      <c r="O488" s="10" t="n">
        <v>0</v>
      </c>
      <c r="P488" s="10" t="n">
        <v>0</v>
      </c>
      <c r="Q488" s="10" t="n">
        <v>0</v>
      </c>
      <c r="R488" s="10" t="n">
        <v>0</v>
      </c>
      <c r="S488" s="10" t="n">
        <v>0</v>
      </c>
    </row>
    <row r="489" ht="133" customHeight="1">
      <c r="A489" s="6">
        <f>IFERROR(__xludf.DUMMYFUNCTION("""COMPUTED_VALUE"""),"ROU - Școala Gimnazială nr. 9 „Nicolae Orghidan” Brașov")</f>
        <v/>
      </c>
      <c r="B489" s="6">
        <f>IFERROR(__xludf.DUMMYFUNCTION("""COMPUTED_VALUE"""),"Space")</f>
        <v/>
      </c>
      <c r="C489" s="6">
        <f>IFERROR(__xludf.DUMMYFUNCTION("""COMPUTED_VALUE"""),"Meet the team")</f>
        <v/>
      </c>
      <c r="D489" s="7">
        <f>IFERROR(__xludf.DUMMYFUNCTION("""COMPUTED_VALUE"""),"&lt;p&gt;This space was created for each member of the team to present itself. You can add pictures, quotes, or a simple sentence. Your creativity is welcome.&lt;/p&gt;")</f>
        <v/>
      </c>
      <c r="E489" s="7">
        <f>IFERROR(__xludf.DUMMYFUNCTION("""COMPUTED_VALUE"""),"No artifact embedded")</f>
        <v/>
      </c>
      <c r="F489" s="7" t="n"/>
      <c r="G489" s="8" t="n">
        <v>0</v>
      </c>
      <c r="H489" s="8" t="n">
        <v>0</v>
      </c>
      <c r="I489" s="8" t="n">
        <v>1</v>
      </c>
      <c r="J489" s="8" t="n">
        <v>0</v>
      </c>
      <c r="K489" s="9" t="n">
        <v>0</v>
      </c>
      <c r="L489" s="9" t="n">
        <v>1</v>
      </c>
      <c r="M489" s="9" t="n">
        <v>0</v>
      </c>
      <c r="N489" s="9" t="n">
        <v>0</v>
      </c>
      <c r="O489" s="10" t="n">
        <v>0</v>
      </c>
      <c r="P489" s="10" t="n">
        <v>0</v>
      </c>
      <c r="Q489" s="10" t="n">
        <v>0</v>
      </c>
      <c r="R489" s="10" t="n">
        <v>0</v>
      </c>
      <c r="S489" s="10" t="n">
        <v>0</v>
      </c>
    </row>
    <row r="490" ht="121" customHeight="1">
      <c r="A490" s="6">
        <f>IFERROR(__xludf.DUMMYFUNCTION("""COMPUTED_VALUE"""),"ROU - Școala Gimnazială nr. 9 „Nicolae Orghidan” Brașov")</f>
        <v/>
      </c>
      <c r="B490" s="6">
        <f>IFERROR(__xludf.DUMMYFUNCTION("""COMPUTED_VALUE"""),"Resource")</f>
        <v/>
      </c>
      <c r="C490" s="6">
        <f>IFERROR(__xludf.DUMMYFUNCTION("""COMPUTED_VALUE"""),"Școala Gimnazială Nr. 9 „Nicolae Orghidan” Brașov, România")</f>
        <v/>
      </c>
      <c r="D490" s="7">
        <f>IFERROR(__xludf.DUMMYFUNCTION("""COMPUTED_VALUE"""),"No task description")</f>
        <v/>
      </c>
      <c r="E490" s="7">
        <f>IFERROR(__xludf.DUMMYFUNCTION("""COMPUTED_VALUE"""),"slideshare.net: A platform for sharing presentations and documents, including educational materials from various institutions.")</f>
        <v/>
      </c>
      <c r="F490" s="7" t="n"/>
      <c r="G490" s="8" t="n">
        <v>0</v>
      </c>
      <c r="H490" s="8" t="n">
        <v>0</v>
      </c>
      <c r="I490" s="8" t="n">
        <v>1</v>
      </c>
      <c r="J490" s="8" t="n">
        <v>0</v>
      </c>
      <c r="K490" s="9" t="n">
        <v>0</v>
      </c>
      <c r="L490" s="9" t="n">
        <v>1</v>
      </c>
      <c r="M490" s="9" t="n">
        <v>0</v>
      </c>
      <c r="N490" s="9" t="n">
        <v>0</v>
      </c>
      <c r="O490" s="10" t="n">
        <v>0</v>
      </c>
      <c r="P490" s="10" t="n">
        <v>0</v>
      </c>
      <c r="Q490" s="10" t="n">
        <v>0</v>
      </c>
      <c r="R490" s="10" t="n">
        <v>0</v>
      </c>
      <c r="S490" s="10" t="n">
        <v>0</v>
      </c>
    </row>
    <row r="491" ht="133" customHeight="1">
      <c r="A491" s="6">
        <f>IFERROR(__xludf.DUMMYFUNCTION("""COMPUTED_VALUE"""),"ROU - Școala Gimnazială nr. 9 „Nicolae Orghidan” Brașov")</f>
        <v/>
      </c>
      <c r="B491" s="6">
        <f>IFERROR(__xludf.DUMMYFUNCTION("""COMPUTED_VALUE"""),"Space")</f>
        <v/>
      </c>
      <c r="C491" s="6">
        <f>IFERROR(__xludf.DUMMYFUNCTION("""COMPUTED_VALUE"""),"What motivates us in PLATON")</f>
        <v/>
      </c>
      <c r="D491" s="7">
        <f>IFERROR(__xludf.DUMMYFUNCTION("""COMPUTED_VALUE"""),"&lt;p&gt;Write here what motivates you in PLATON, what does it mean to you, how do you think it is contributing to your school’s development and/or identity.&lt;/p&gt;")</f>
        <v/>
      </c>
      <c r="E491" s="7">
        <f>IFERROR(__xludf.DUMMYFUNCTION("""COMPUTED_VALUE"""),"No artifact embedded")</f>
        <v/>
      </c>
      <c r="F491" s="7" t="n"/>
      <c r="G491" s="8" t="n">
        <v>0</v>
      </c>
      <c r="H491" s="8" t="n">
        <v>0</v>
      </c>
      <c r="I491" s="8" t="n">
        <v>1</v>
      </c>
      <c r="J491" s="8" t="n">
        <v>0</v>
      </c>
      <c r="K491" s="9" t="n">
        <v>0</v>
      </c>
      <c r="L491" s="9" t="n">
        <v>1</v>
      </c>
      <c r="M491" s="9" t="n">
        <v>0</v>
      </c>
      <c r="N491" s="9" t="n">
        <v>0</v>
      </c>
      <c r="O491" s="10" t="n">
        <v>1</v>
      </c>
      <c r="P491" s="10" t="n">
        <v>0</v>
      </c>
      <c r="Q491" s="10" t="n">
        <v>0</v>
      </c>
      <c r="R491" s="10" t="n">
        <v>0</v>
      </c>
      <c r="S491" s="10" t="n">
        <v>0</v>
      </c>
    </row>
    <row r="492" ht="217" customHeight="1">
      <c r="A492" s="6">
        <f>IFERROR(__xludf.DUMMYFUNCTION("""COMPUTED_VALUE"""),"ROU - Școala Gimnazială nr. 9 „Nicolae Orghidan” Brașov")</f>
        <v/>
      </c>
      <c r="B492" s="6">
        <f>IFERROR(__xludf.DUMMYFUNCTION("""COMPUTED_VALUE"""),"Space")</f>
        <v/>
      </c>
      <c r="C492" s="6">
        <f>IFERROR(__xludf.DUMMYFUNCTION("""COMPUTED_VALUE"""),"Our work")</f>
        <v/>
      </c>
      <c r="D492" s="7">
        <f>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
      </c>
      <c r="E492" s="7">
        <f>IFERROR(__xludf.DUMMYFUNCTION("""COMPUTED_VALUE"""),"No artifact embedded")</f>
        <v/>
      </c>
      <c r="F492" s="7" t="n"/>
      <c r="G492" s="8" t="n">
        <v>0</v>
      </c>
      <c r="H492" s="8" t="n">
        <v>0</v>
      </c>
      <c r="I492" s="8" t="n">
        <v>1</v>
      </c>
      <c r="J492" s="8" t="n">
        <v>0</v>
      </c>
      <c r="K492" s="9" t="n">
        <v>0</v>
      </c>
      <c r="L492" s="9" t="n">
        <v>1</v>
      </c>
      <c r="M492" s="9" t="n">
        <v>0</v>
      </c>
      <c r="N492" s="9" t="n">
        <v>0</v>
      </c>
      <c r="O492" s="10" t="n">
        <v>0</v>
      </c>
      <c r="P492" s="10" t="n">
        <v>0</v>
      </c>
      <c r="Q492" s="10" t="n">
        <v>0</v>
      </c>
      <c r="R492" s="10" t="n">
        <v>0</v>
      </c>
      <c r="S492" s="10" t="n">
        <v>1</v>
      </c>
    </row>
    <row r="493" ht="217" customHeight="1">
      <c r="A493" s="6">
        <f>IFERROR(__xludf.DUMMYFUNCTION("""COMPUTED_VALUE"""),"ROU - Școala Gimnazială nr. 9 „Nicolae Orghidan” Brașov")</f>
        <v/>
      </c>
      <c r="B493" s="6">
        <f>IFERROR(__xludf.DUMMYFUNCTION("""COMPUTED_VALUE"""),"Space")</f>
        <v/>
      </c>
      <c r="C493" s="6">
        <f>IFERROR(__xludf.DUMMYFUNCTION("""COMPUTED_VALUE"""),"Worth Sharing")</f>
        <v/>
      </c>
      <c r="D493" s="7">
        <f>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
      </c>
      <c r="E493" s="7">
        <f>IFERROR(__xludf.DUMMYFUNCTION("""COMPUTED_VALUE"""),"No artifact embedded")</f>
        <v/>
      </c>
      <c r="F493" s="7" t="n"/>
      <c r="G493" s="8" t="n">
        <v>0</v>
      </c>
      <c r="H493" s="8" t="n">
        <v>0</v>
      </c>
      <c r="I493" s="8" t="n">
        <v>1</v>
      </c>
      <c r="J493" s="8" t="n">
        <v>0</v>
      </c>
      <c r="K493" s="9" t="n">
        <v>0</v>
      </c>
      <c r="L493" s="9" t="n">
        <v>1</v>
      </c>
      <c r="M493" s="9" t="n">
        <v>0</v>
      </c>
      <c r="N493" s="9" t="n">
        <v>0</v>
      </c>
      <c r="O493" s="10" t="n">
        <v>0</v>
      </c>
      <c r="P493" s="10" t="n">
        <v>0</v>
      </c>
      <c r="Q493" s="10" t="n">
        <v>0</v>
      </c>
      <c r="R493" s="10" t="n">
        <v>0</v>
      </c>
      <c r="S493" s="10" t="n">
        <v>1</v>
      </c>
    </row>
    <row r="494" ht="409.5" customHeight="1">
      <c r="A494" s="6">
        <f>IFERROR(__xludf.DUMMYFUNCTION("""COMPUTED_VALUE"""),"ROU - Școala Gimnazială nr. 9 „Nicolae Orghidan” Brașov")</f>
        <v/>
      </c>
      <c r="B494" s="6">
        <f>IFERROR(__xludf.DUMMYFUNCTION("""COMPUTED_VALUE"""),"Space")</f>
        <v/>
      </c>
      <c r="C494" s="6">
        <f>IFERROR(__xludf.DUMMYFUNCTION("""COMPUTED_VALUE"""),"Student's feedback")</f>
        <v/>
      </c>
      <c r="D494" s="7">
        <f>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
      </c>
      <c r="E494" s="7">
        <f>IFERROR(__xludf.DUMMYFUNCTION("""COMPUTED_VALUE"""),"No artifact embedded")</f>
        <v/>
      </c>
      <c r="F494" s="7" t="n"/>
      <c r="G494" s="8" t="n">
        <v>0</v>
      </c>
      <c r="H494" s="8" t="n">
        <v>0</v>
      </c>
      <c r="I494" s="8" t="n">
        <v>0</v>
      </c>
      <c r="J494" s="8" t="n">
        <v>0</v>
      </c>
      <c r="K494" s="9" t="n">
        <v>0</v>
      </c>
      <c r="L494" s="9" t="n">
        <v>0</v>
      </c>
      <c r="M494" s="9" t="n">
        <v>0</v>
      </c>
      <c r="N494" s="9" t="n">
        <v>0</v>
      </c>
      <c r="O494" s="10" t="n">
        <v>0</v>
      </c>
      <c r="P494" s="10" t="n">
        <v>0</v>
      </c>
      <c r="Q494" s="10" t="n">
        <v>0</v>
      </c>
      <c r="R494" s="10" t="n">
        <v>0</v>
      </c>
      <c r="S494" s="10" t="n">
        <v>0</v>
      </c>
    </row>
    <row r="495" ht="157" customHeight="1">
      <c r="A495" s="6">
        <f>IFERROR(__xludf.DUMMYFUNCTION("""COMPUTED_VALUE"""),"ROU - Școala Gimnazială nr. 9 „Nicolae Orghidan” Brașov")</f>
        <v/>
      </c>
      <c r="B495" s="6">
        <f>IFERROR(__xludf.DUMMYFUNCTION("""COMPUTED_VALUE"""),"Application")</f>
        <v/>
      </c>
      <c r="C495" s="6">
        <f>IFERROR(__xludf.DUMMYFUNCTION("""COMPUTED_VALUE"""),"File Drop")</f>
        <v/>
      </c>
      <c r="D495" s="7">
        <f>IFERROR(__xludf.DUMMYFUNCTION("""COMPUTED_VALUE"""),"No task description")</f>
        <v/>
      </c>
      <c r="E495" s="7">
        <f>IFERROR(__xludf.DUMMYFUNCTION("""COMPUTED_VALUE"""),"Golabz app/lab: ""&lt;p&gt;This app allows students to upload files, e.g., assignment and reports, to the Inquiry learning Space. The app also allows teachers to download the uploaded files.&lt;/p&gt;\r\n""")</f>
        <v/>
      </c>
      <c r="F495" s="7" t="n"/>
      <c r="G495" s="8" t="n">
        <v>0</v>
      </c>
      <c r="H495" s="8" t="n">
        <v>0</v>
      </c>
      <c r="I495" s="8" t="n">
        <v>0</v>
      </c>
      <c r="J495" s="8" t="n">
        <v>0</v>
      </c>
      <c r="K495" s="9" t="n">
        <v>0</v>
      </c>
      <c r="L495" s="9" t="n">
        <v>0</v>
      </c>
      <c r="M495" s="9" t="n">
        <v>0</v>
      </c>
      <c r="N495" s="9" t="n">
        <v>0</v>
      </c>
      <c r="O495" s="10" t="n">
        <v>0</v>
      </c>
      <c r="P495" s="10" t="n">
        <v>0</v>
      </c>
      <c r="Q495" s="10" t="n">
        <v>0</v>
      </c>
      <c r="R495" s="10" t="n">
        <v>0</v>
      </c>
      <c r="S495" s="10" t="n">
        <v>0</v>
      </c>
    </row>
    <row r="496" ht="296" customHeight="1">
      <c r="A496" s="6">
        <f>IFERROR(__xludf.DUMMYFUNCTION("""COMPUTED_VALUE"""),"ROU - Școala Gimnazială nr. 9 „Nicolae Orghidan” Brașov")</f>
        <v/>
      </c>
      <c r="B496" s="6">
        <f>IFERROR(__xludf.DUMMYFUNCTION("""COMPUTED_VALUE"""),"Space")</f>
        <v/>
      </c>
      <c r="C496" s="6">
        <f>IFERROR(__xludf.DUMMYFUNCTION("""COMPUTED_VALUE"""),"Our team's feedback")</f>
        <v/>
      </c>
      <c r="D496" s="7">
        <f>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
      </c>
      <c r="E496" s="7">
        <f>IFERROR(__xludf.DUMMYFUNCTION("""COMPUTED_VALUE"""),"No artifact embedded")</f>
        <v/>
      </c>
      <c r="F496" s="7" t="n"/>
      <c r="G496" s="8" t="n">
        <v>0</v>
      </c>
      <c r="H496" s="8" t="n">
        <v>0</v>
      </c>
      <c r="I496" s="8" t="n">
        <v>0</v>
      </c>
      <c r="J496" s="8" t="n">
        <v>0</v>
      </c>
      <c r="K496" s="9" t="n">
        <v>0</v>
      </c>
      <c r="L496" s="9" t="n">
        <v>0</v>
      </c>
      <c r="M496" s="9" t="n">
        <v>0</v>
      </c>
      <c r="N496" s="9" t="n">
        <v>0</v>
      </c>
      <c r="O496" s="10" t="n">
        <v>0</v>
      </c>
      <c r="P496" s="10" t="n">
        <v>0</v>
      </c>
      <c r="Q496" s="10" t="n">
        <v>0</v>
      </c>
      <c r="R496" s="10" t="n">
        <v>0</v>
      </c>
      <c r="S496" s="10" t="n">
        <v>0</v>
      </c>
    </row>
    <row r="497" ht="157" customHeight="1">
      <c r="A497" s="6">
        <f>IFERROR(__xludf.DUMMYFUNCTION("""COMPUTED_VALUE"""),"ROU - Școala Gimnazială nr. 9 „Nicolae Orghidan” Brașov")</f>
        <v/>
      </c>
      <c r="B497" s="6">
        <f>IFERROR(__xludf.DUMMYFUNCTION("""COMPUTED_VALUE"""),"Space")</f>
        <v/>
      </c>
      <c r="C497" s="6">
        <f>IFERROR(__xludf.DUMMYFUNCTION("""COMPUTED_VALUE"""),"Lessons learn't")</f>
        <v/>
      </c>
      <c r="D497" s="7">
        <f>IFERROR(__xludf.DUMMYFUNCTION("""COMPUTED_VALUE"""),"&lt;p&gt;From your work during the implementation what is it that stands out? What would you want to see in our final project compilation of work (roadmap)? Write here your reflections.&lt;/p&gt;")</f>
        <v/>
      </c>
      <c r="E497" s="7">
        <f>IFERROR(__xludf.DUMMYFUNCTION("""COMPUTED_VALUE"""),"No artifact embedded")</f>
        <v/>
      </c>
      <c r="F497" s="7" t="n"/>
      <c r="G497" s="8" t="n">
        <v>0</v>
      </c>
      <c r="H497" s="8" t="n">
        <v>0</v>
      </c>
      <c r="I497" s="8" t="n">
        <v>0</v>
      </c>
      <c r="J497" s="8" t="n">
        <v>0</v>
      </c>
      <c r="K497" s="9" t="n">
        <v>0</v>
      </c>
      <c r="L497" s="9" t="n">
        <v>0</v>
      </c>
      <c r="M497" s="9" t="n">
        <v>0</v>
      </c>
      <c r="N497" s="9" t="n">
        <v>0</v>
      </c>
      <c r="O497" s="10" t="n">
        <v>0</v>
      </c>
      <c r="P497" s="10" t="n">
        <v>0</v>
      </c>
      <c r="Q497" s="10" t="n">
        <v>0</v>
      </c>
      <c r="R497" s="10" t="n">
        <v>0</v>
      </c>
      <c r="S497" s="10" t="n">
        <v>0</v>
      </c>
    </row>
    <row r="498" ht="61" customHeight="1">
      <c r="A498" s="6">
        <f>IFERROR(__xludf.DUMMYFUNCTION("""COMPUTED_VALUE"""),"Robotic Arm")</f>
        <v/>
      </c>
      <c r="B498" s="6">
        <f>IFERROR(__xludf.DUMMYFUNCTION("""COMPUTED_VALUE"""),"Space")</f>
        <v/>
      </c>
      <c r="C498" s="6">
        <f>IFERROR(__xludf.DUMMYFUNCTION("""COMPUTED_VALUE"""),"Basic")</f>
        <v/>
      </c>
      <c r="D498" s="7">
        <f>IFERROR(__xludf.DUMMYFUNCTION("""COMPUTED_VALUE"""),"&lt;p&gt;YouTube  example used and programming RoboArm&lt;/p&gt;")</f>
        <v/>
      </c>
      <c r="E498" s="7">
        <f>IFERROR(__xludf.DUMMYFUNCTION("""COMPUTED_VALUE"""),"No artifact embedded")</f>
        <v/>
      </c>
      <c r="F498" s="7" t="n"/>
      <c r="G498" s="8" t="n">
        <v>0</v>
      </c>
      <c r="H498" s="8" t="n">
        <v>0</v>
      </c>
      <c r="I498" s="8" t="n">
        <v>0</v>
      </c>
      <c r="J498" s="8" t="n">
        <v>0</v>
      </c>
      <c r="K498" s="9" t="n">
        <v>0</v>
      </c>
      <c r="L498" s="9" t="n">
        <v>0</v>
      </c>
      <c r="M498" s="9" t="n">
        <v>0</v>
      </c>
      <c r="N498" s="9" t="n">
        <v>0</v>
      </c>
      <c r="O498" s="10" t="n">
        <v>0</v>
      </c>
      <c r="P498" s="10" t="n">
        <v>0</v>
      </c>
      <c r="Q498" s="10" t="n">
        <v>0</v>
      </c>
      <c r="R498" s="10" t="n">
        <v>0</v>
      </c>
      <c r="S498" s="10" t="n">
        <v>0</v>
      </c>
    </row>
    <row r="499" ht="121" customHeight="1">
      <c r="A499" s="6">
        <f>IFERROR(__xludf.DUMMYFUNCTION("""COMPUTED_VALUE"""),"Robotic Arm")</f>
        <v/>
      </c>
      <c r="B499" s="6">
        <f>IFERROR(__xludf.DUMMYFUNCTION("""COMPUTED_VALUE"""),"Resource")</f>
        <v/>
      </c>
      <c r="C499" s="6">
        <f>IFERROR(__xludf.DUMMYFUNCTION("""COMPUTED_VALUE"""),"ROBOARM")</f>
        <v/>
      </c>
      <c r="D499" s="7">
        <f>IFERROR(__xludf.DUMMYFUNCTION("""COMPUTED_VALUE"""),"No task description")</f>
        <v/>
      </c>
      <c r="E499" s="7">
        <f>IFERROR(__xludf.DUMMYFUNCTION("""COMPUTED_VALUE"""),"youtube.com: A widely known video-sharing platform where users can watch videos on a vast array of topics, including educational content.")</f>
        <v/>
      </c>
      <c r="F499" s="7" t="n"/>
      <c r="G499" s="8" t="n">
        <v>1</v>
      </c>
      <c r="H499" s="8" t="n">
        <v>0</v>
      </c>
      <c r="I499" s="8" t="n">
        <v>0</v>
      </c>
      <c r="J499" s="8" t="n">
        <v>0</v>
      </c>
      <c r="K499" s="9" t="n">
        <v>1</v>
      </c>
      <c r="L499" s="9" t="n">
        <v>0</v>
      </c>
      <c r="M499" s="9" t="n">
        <v>0</v>
      </c>
      <c r="N499" s="9" t="n">
        <v>0</v>
      </c>
      <c r="O499" s="10" t="n">
        <v>0</v>
      </c>
      <c r="P499" s="10" t="n">
        <v>0</v>
      </c>
      <c r="Q499" s="10" t="n">
        <v>0</v>
      </c>
      <c r="R499" s="10" t="n">
        <v>0</v>
      </c>
      <c r="S499" s="10" t="n">
        <v>0</v>
      </c>
    </row>
    <row r="500" ht="109" customHeight="1">
      <c r="A500" s="6">
        <f>IFERROR(__xludf.DUMMYFUNCTION("""COMPUTED_VALUE"""),"Robotic Arm")</f>
        <v/>
      </c>
      <c r="B500" s="6">
        <f>IFERROR(__xludf.DUMMYFUNCTION("""COMPUTED_VALUE"""),"Topic")</f>
        <v/>
      </c>
      <c r="C500" s="6">
        <f>IFERROR(__xludf.DUMMYFUNCTION("""COMPUTED_VALUE"""),"Interest theme")</f>
        <v/>
      </c>
      <c r="D500" s="7">
        <f>IFERROR(__xludf.DUMMYFUNCTION("""COMPUTED_VALUE"""),"No task description")</f>
        <v/>
      </c>
      <c r="E500" s="7">
        <f>IFERROR(__xludf.DUMMYFUNCTION("""COMPUTED_VALUE"""),"text/html – A webpage or web document that contains structured text, images, and links, designed for display in a web browser.")</f>
        <v/>
      </c>
      <c r="F500" s="7" t="n"/>
      <c r="G500" s="8" t="n">
        <v>0</v>
      </c>
      <c r="H500" s="8" t="n">
        <v>0</v>
      </c>
      <c r="I500" s="8" t="n">
        <v>0</v>
      </c>
      <c r="J500" s="8" t="n">
        <v>0</v>
      </c>
      <c r="K500" s="9" t="n">
        <v>0</v>
      </c>
      <c r="L500" s="9" t="n">
        <v>0</v>
      </c>
      <c r="M500" s="9" t="n">
        <v>0</v>
      </c>
      <c r="N500" s="9" t="n">
        <v>0</v>
      </c>
      <c r="O500" s="10" t="n">
        <v>0</v>
      </c>
      <c r="P500" s="10" t="n">
        <v>0</v>
      </c>
      <c r="Q500" s="10" t="n">
        <v>0</v>
      </c>
      <c r="R500" s="10" t="n">
        <v>0</v>
      </c>
      <c r="S500" s="10" t="n">
        <v>0</v>
      </c>
    </row>
    <row r="501" ht="37" customHeight="1">
      <c r="A501" s="6">
        <f>IFERROR(__xludf.DUMMYFUNCTION("""COMPUTED_VALUE"""),"Robotic Arm")</f>
        <v/>
      </c>
      <c r="B501" s="6">
        <f>IFERROR(__xludf.DUMMYFUNCTION("""COMPUTED_VALUE"""),"Space")</f>
        <v/>
      </c>
      <c r="C501" s="6">
        <f>IFERROR(__xludf.DUMMYFUNCTION("""COMPUTED_VALUE"""),"Start lecture")</f>
        <v/>
      </c>
      <c r="D501" s="7">
        <f>IFERROR(__xludf.DUMMYFUNCTION("""COMPUTED_VALUE"""),"&lt;p&gt;Types RoboArm&lt;/p&gt;&lt;p&gt;&lt;br&gt;&lt;/p&gt;")</f>
        <v/>
      </c>
      <c r="E501" s="7">
        <f>IFERROR(__xludf.DUMMYFUNCTION("""COMPUTED_VALUE"""),"No artifact embedded")</f>
        <v/>
      </c>
      <c r="F501" s="7" t="n"/>
      <c r="G501" s="8" t="n">
        <v>0</v>
      </c>
      <c r="H501" s="8" t="n">
        <v>0</v>
      </c>
      <c r="I501" s="8" t="n">
        <v>0</v>
      </c>
      <c r="J501" s="8" t="n">
        <v>0</v>
      </c>
      <c r="K501" s="9" t="n">
        <v>0</v>
      </c>
      <c r="L501" s="9" t="n">
        <v>0</v>
      </c>
      <c r="M501" s="9" t="n">
        <v>0</v>
      </c>
      <c r="N501" s="9" t="n">
        <v>0</v>
      </c>
      <c r="O501" s="10" t="n">
        <v>0</v>
      </c>
      <c r="P501" s="10" t="n">
        <v>0</v>
      </c>
      <c r="Q501" s="10" t="n">
        <v>0</v>
      </c>
      <c r="R501" s="10" t="n">
        <v>0</v>
      </c>
      <c r="S501" s="10" t="n">
        <v>0</v>
      </c>
    </row>
    <row r="502" ht="409.5" customHeight="1">
      <c r="A502" s="6">
        <f>IFERROR(__xludf.DUMMYFUNCTION("""COMPUTED_VALUE"""),"Robotic Arm")</f>
        <v/>
      </c>
      <c r="B502" s="6">
        <f>IFERROR(__xludf.DUMMYFUNCTION("""COMPUTED_VALUE"""),"Resource")</f>
        <v/>
      </c>
      <c r="C502" s="6">
        <f>IFERROR(__xludf.DUMMYFUNCTION("""COMPUTED_VALUE"""),"Robotic Arm Geometry")</f>
        <v/>
      </c>
      <c r="D502" s="7">
        <f>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
      </c>
      <c r="E502" s="7">
        <f>IFERROR(__xludf.DUMMYFUNCTION("""COMPUTED_VALUE"""),"youtube.com: A widely known video-sharing platform where users can watch videos on a vast array of topics, including educational content.")</f>
        <v/>
      </c>
      <c r="F502" s="7" t="n"/>
      <c r="G502" s="8" t="n">
        <v>1</v>
      </c>
      <c r="H502" s="8" t="n">
        <v>0</v>
      </c>
      <c r="I502" s="8" t="n">
        <v>0</v>
      </c>
      <c r="J502" s="8" t="n">
        <v>0</v>
      </c>
      <c r="K502" s="9" t="n">
        <v>1</v>
      </c>
      <c r="L502" s="9" t="n">
        <v>0</v>
      </c>
      <c r="M502" s="9" t="n">
        <v>0</v>
      </c>
      <c r="N502" s="9" t="n">
        <v>0</v>
      </c>
      <c r="O502" s="10" t="n">
        <v>1</v>
      </c>
      <c r="P502" s="10" t="n">
        <v>0</v>
      </c>
      <c r="Q502" s="10" t="n">
        <v>0</v>
      </c>
      <c r="R502" s="10" t="n">
        <v>0</v>
      </c>
      <c r="S502" s="10" t="n">
        <v>0</v>
      </c>
    </row>
    <row r="503" ht="109" customHeight="1">
      <c r="A503" s="6">
        <f>IFERROR(__xludf.DUMMYFUNCTION("""COMPUTED_VALUE"""),"Robotic Arm")</f>
        <v/>
      </c>
      <c r="B503" s="6">
        <f>IFERROR(__xludf.DUMMYFUNCTION("""COMPUTED_VALUE"""),"Topic")</f>
        <v/>
      </c>
      <c r="C503" s="6">
        <f>IFERROR(__xludf.DUMMYFUNCTION("""COMPUTED_VALUE"""),"Lecture questions")</f>
        <v/>
      </c>
      <c r="D503" s="7">
        <f>IFERROR(__xludf.DUMMYFUNCTION("""COMPUTED_VALUE"""),"&lt;p&gt;What general school subjects are utilized to study and work with the robotic arm?&lt;/p&gt;&lt;p&gt;&lt;br&gt;&lt;/p&gt;")</f>
        <v/>
      </c>
      <c r="E503" s="7">
        <f>IFERROR(__xludf.DUMMYFUNCTION("""COMPUTED_VALUE"""),"text/html – A webpage or web document that contains structured text, images, and links, designed for display in a web browser.")</f>
        <v/>
      </c>
      <c r="F503" s="7" t="n"/>
      <c r="G503" s="8" t="n">
        <v>1</v>
      </c>
      <c r="H503" s="8" t="n">
        <v>0</v>
      </c>
      <c r="I503" s="8" t="n">
        <v>0</v>
      </c>
      <c r="J503" s="8" t="n">
        <v>0</v>
      </c>
      <c r="K503" s="9" t="n">
        <v>1</v>
      </c>
      <c r="L503" s="9" t="n">
        <v>0</v>
      </c>
      <c r="M503" s="9" t="n">
        <v>0</v>
      </c>
      <c r="N503" s="9" t="n">
        <v>0</v>
      </c>
      <c r="O503" s="10" t="n">
        <v>1</v>
      </c>
      <c r="P503" s="10" t="n">
        <v>0</v>
      </c>
      <c r="Q503" s="10" t="n">
        <v>0</v>
      </c>
      <c r="R503" s="10" t="n">
        <v>0</v>
      </c>
      <c r="S503" s="10" t="n">
        <v>0</v>
      </c>
    </row>
    <row r="504" ht="296" customHeight="1">
      <c r="A504" s="6">
        <f>IFERROR(__xludf.DUMMYFUNCTION("""COMPUTED_VALUE"""),"Robotic Arm")</f>
        <v/>
      </c>
      <c r="B504" s="6">
        <f>IFERROR(__xludf.DUMMYFUNCTION("""COMPUTED_VALUE"""),"Application")</f>
        <v/>
      </c>
      <c r="C504" s="6">
        <f>IFERROR(__xludf.DUMMYFUNCTION("""COMPUTED_VALUE"""),"Quiz tool")</f>
        <v/>
      </c>
      <c r="D504" s="7">
        <f>IFERROR(__xludf.DUMMYFUNCTION("""COMPUTED_VALUE"""),"No task description")</f>
        <v/>
      </c>
      <c r="E5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04" s="7" t="n"/>
      <c r="G504" s="8" t="n">
        <v>0</v>
      </c>
      <c r="H504" s="8" t="n">
        <v>0</v>
      </c>
      <c r="I504" s="8" t="n">
        <v>0</v>
      </c>
      <c r="J504" s="8" t="n">
        <v>1</v>
      </c>
      <c r="K504" s="9" t="n">
        <v>0</v>
      </c>
      <c r="L504" s="9" t="n">
        <v>1</v>
      </c>
      <c r="M504" s="9" t="n">
        <v>0</v>
      </c>
      <c r="N504" s="9" t="n">
        <v>0</v>
      </c>
      <c r="O504" s="10" t="n">
        <v>0</v>
      </c>
      <c r="P504" s="10" t="n">
        <v>0</v>
      </c>
      <c r="Q504" s="10" t="n">
        <v>0</v>
      </c>
      <c r="R504" s="10" t="n">
        <v>0</v>
      </c>
      <c r="S504" s="10" t="n">
        <v>1</v>
      </c>
    </row>
    <row r="505" ht="61" customHeight="1">
      <c r="A505" s="6">
        <f>IFERROR(__xludf.DUMMYFUNCTION("""COMPUTED_VALUE"""),"Robotic Arm")</f>
        <v/>
      </c>
      <c r="B505" s="6">
        <f>IFERROR(__xludf.DUMMYFUNCTION("""COMPUTED_VALUE"""),"Space")</f>
        <v/>
      </c>
      <c r="C505" s="6">
        <f>IFERROR(__xludf.DUMMYFUNCTION("""COMPUTED_VALUE"""),"Specifications")</f>
        <v/>
      </c>
      <c r="D505" s="7">
        <f>IFERROR(__xludf.DUMMYFUNCTION("""COMPUTED_VALUE"""),"&lt;p&gt;The principle of the mechanism of robotic hands&lt;/p&gt;")</f>
        <v/>
      </c>
      <c r="E505" s="7">
        <f>IFERROR(__xludf.DUMMYFUNCTION("""COMPUTED_VALUE"""),"No artifact embedded")</f>
        <v/>
      </c>
      <c r="F505" s="7" t="n"/>
      <c r="G505" s="8" t="n">
        <v>0</v>
      </c>
      <c r="H505" s="8" t="n">
        <v>0</v>
      </c>
      <c r="I505" s="8" t="n">
        <v>0</v>
      </c>
      <c r="J505" s="8" t="n">
        <v>0</v>
      </c>
      <c r="K505" s="9" t="n">
        <v>0</v>
      </c>
      <c r="L505" s="9" t="n">
        <v>0</v>
      </c>
      <c r="M505" s="9" t="n">
        <v>0</v>
      </c>
      <c r="N505" s="9" t="n">
        <v>0</v>
      </c>
      <c r="O505" s="10" t="n">
        <v>0</v>
      </c>
      <c r="P505" s="10" t="n">
        <v>0</v>
      </c>
      <c r="Q505" s="10" t="n">
        <v>0</v>
      </c>
      <c r="R505" s="10" t="n">
        <v>0</v>
      </c>
      <c r="S505" s="10" t="n">
        <v>0</v>
      </c>
    </row>
    <row r="506" ht="121" customHeight="1">
      <c r="A506" s="6">
        <f>IFERROR(__xludf.DUMMYFUNCTION("""COMPUTED_VALUE"""),"Robotic Arm")</f>
        <v/>
      </c>
      <c r="B506" s="6">
        <f>IFERROR(__xludf.DUMMYFUNCTION("""COMPUTED_VALUE"""),"Resource")</f>
        <v/>
      </c>
      <c r="C506" s="6">
        <f>IFERROR(__xludf.DUMMYFUNCTION("""COMPUTED_VALUE"""),"Mechanisms")</f>
        <v/>
      </c>
      <c r="D506" s="7">
        <f>IFERROR(__xludf.DUMMYFUNCTION("""COMPUTED_VALUE"""),"No task description")</f>
        <v/>
      </c>
      <c r="E506" s="7">
        <f>IFERROR(__xludf.DUMMYFUNCTION("""COMPUTED_VALUE"""),"youtube.com: A widely known video-sharing platform where users can watch videos on a vast array of topics, including educational content.")</f>
        <v/>
      </c>
      <c r="F506" s="7" t="n"/>
      <c r="G506" s="8" t="n">
        <v>1</v>
      </c>
      <c r="H506" s="8" t="n">
        <v>0</v>
      </c>
      <c r="I506" s="8" t="n">
        <v>0</v>
      </c>
      <c r="J506" s="8" t="n">
        <v>0</v>
      </c>
      <c r="K506" s="9" t="n">
        <v>1</v>
      </c>
      <c r="L506" s="9" t="n">
        <v>0</v>
      </c>
      <c r="M506" s="9" t="n">
        <v>0</v>
      </c>
      <c r="N506" s="9" t="n">
        <v>0</v>
      </c>
      <c r="O506" s="10" t="n">
        <v>0</v>
      </c>
      <c r="P506" s="10" t="n">
        <v>0</v>
      </c>
      <c r="Q506" s="10" t="n">
        <v>0</v>
      </c>
      <c r="R506" s="10" t="n">
        <v>0</v>
      </c>
      <c r="S506" s="10" t="n">
        <v>0</v>
      </c>
    </row>
    <row r="507" ht="25" customHeight="1">
      <c r="A507" s="6">
        <f>IFERROR(__xludf.DUMMYFUNCTION("""COMPUTED_VALUE"""),"Robotic Arm")</f>
        <v/>
      </c>
      <c r="B507" s="6">
        <f>IFERROR(__xludf.DUMMYFUNCTION("""COMPUTED_VALUE"""),"Space")</f>
        <v/>
      </c>
      <c r="C507" s="6">
        <f>IFERROR(__xludf.DUMMYFUNCTION("""COMPUTED_VALUE"""),"Conclusion")</f>
        <v/>
      </c>
      <c r="D507" s="7">
        <f>IFERROR(__xludf.DUMMYFUNCTION("""COMPUTED_VALUE"""),"No task description")</f>
        <v/>
      </c>
      <c r="E507" s="7">
        <f>IFERROR(__xludf.DUMMYFUNCTION("""COMPUTED_VALUE"""),"No artifact embedded")</f>
        <v/>
      </c>
      <c r="F507" s="7" t="n"/>
      <c r="G507" s="8" t="n">
        <v>0</v>
      </c>
      <c r="H507" s="8" t="n">
        <v>0</v>
      </c>
      <c r="I507" s="8" t="n">
        <v>0</v>
      </c>
      <c r="J507" s="8" t="n">
        <v>0</v>
      </c>
      <c r="K507" s="9" t="n">
        <v>0</v>
      </c>
      <c r="L507" s="9" t="n">
        <v>0</v>
      </c>
      <c r="M507" s="9" t="n">
        <v>0</v>
      </c>
      <c r="N507" s="9" t="n">
        <v>0</v>
      </c>
      <c r="O507" s="10" t="n">
        <v>0</v>
      </c>
      <c r="P507" s="10" t="n">
        <v>0</v>
      </c>
      <c r="Q507" s="10" t="n">
        <v>0</v>
      </c>
      <c r="R507" s="10" t="n">
        <v>0</v>
      </c>
      <c r="S507" s="10" t="n">
        <v>0</v>
      </c>
    </row>
    <row r="508" ht="409.5" customHeight="1">
      <c r="A508" s="6">
        <f>IFERROR(__xludf.DUMMYFUNCTION("""COMPUTED_VALUE"""),"Robotic Arm")</f>
        <v/>
      </c>
      <c r="B508" s="6">
        <f>IFERROR(__xludf.DUMMYFUNCTION("""COMPUTED_VALUE"""),"Application")</f>
        <v/>
      </c>
      <c r="C508" s="6">
        <f>IFERROR(__xludf.DUMMYFUNCTION("""COMPUTED_VALUE"""),"Equilibrium of three forces")</f>
        <v/>
      </c>
      <c r="D508" s="7">
        <f>IFERROR(__xludf.DUMMYFUNCTION("""COMPUTED_VALUE"""),"No task description")</f>
        <v/>
      </c>
      <c r="E508" s="7">
        <f>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
      </c>
      <c r="F508" s="7" t="n"/>
      <c r="G508" s="8" t="n">
        <v>0</v>
      </c>
      <c r="H508" s="8" t="n">
        <v>1</v>
      </c>
      <c r="I508" s="8" t="n">
        <v>0</v>
      </c>
      <c r="J508" s="8" t="n">
        <v>0</v>
      </c>
      <c r="K508" s="9" t="n">
        <v>1</v>
      </c>
      <c r="L508" s="9" t="n">
        <v>0</v>
      </c>
      <c r="M508" s="9" t="n">
        <v>0</v>
      </c>
      <c r="N508" s="9" t="n">
        <v>0</v>
      </c>
      <c r="O508" s="10" t="n">
        <v>0</v>
      </c>
      <c r="P508" s="10" t="n">
        <v>0</v>
      </c>
      <c r="Q508" s="10" t="n">
        <v>1</v>
      </c>
      <c r="R508" s="10" t="n">
        <v>0</v>
      </c>
      <c r="S508" s="10" t="n">
        <v>0</v>
      </c>
    </row>
    <row r="509" ht="49" customHeight="1">
      <c r="A509" s="6">
        <f>IFERROR(__xludf.DUMMYFUNCTION("""COMPUTED_VALUE"""),"Robotic Arm")</f>
        <v/>
      </c>
      <c r="B509" s="6">
        <f>IFERROR(__xludf.DUMMYFUNCTION("""COMPUTED_VALUE"""),"Space")</f>
        <v/>
      </c>
      <c r="C509" s="6">
        <f>IFERROR(__xludf.DUMMYFUNCTION("""COMPUTED_VALUE"""),"Discussion")</f>
        <v/>
      </c>
      <c r="D509" s="7">
        <f>IFERROR(__xludf.DUMMYFUNCTION("""COMPUTED_VALUE"""),"&lt;p&gt;Disccussion about hard questions in RoboArm&lt;/p&gt;")</f>
        <v/>
      </c>
      <c r="E509" s="7">
        <f>IFERROR(__xludf.DUMMYFUNCTION("""COMPUTED_VALUE"""),"No artifact embedded")</f>
        <v/>
      </c>
      <c r="F509" s="7" t="n"/>
      <c r="G509" s="8" t="n">
        <v>0</v>
      </c>
      <c r="H509" s="8" t="n">
        <v>0</v>
      </c>
      <c r="I509" s="8" t="n">
        <v>0</v>
      </c>
      <c r="J509" s="8" t="n">
        <v>0</v>
      </c>
      <c r="K509" s="9" t="n">
        <v>0</v>
      </c>
      <c r="L509" s="9" t="n">
        <v>0</v>
      </c>
      <c r="M509" s="9" t="n">
        <v>0</v>
      </c>
      <c r="N509" s="9" t="n">
        <v>0</v>
      </c>
      <c r="O509" s="10" t="n">
        <v>0</v>
      </c>
      <c r="P509" s="10" t="n">
        <v>0</v>
      </c>
      <c r="Q509" s="10" t="n">
        <v>0</v>
      </c>
      <c r="R509" s="10" t="n">
        <v>0</v>
      </c>
      <c r="S509" s="10" t="n">
        <v>0</v>
      </c>
    </row>
    <row r="510" ht="73" customHeight="1">
      <c r="A510" s="6">
        <f>IFERROR(__xludf.DUMMYFUNCTION("""COMPUTED_VALUE"""),"Robotic Arm")</f>
        <v/>
      </c>
      <c r="B510" s="6">
        <f>IFERROR(__xludf.DUMMYFUNCTION("""COMPUTED_VALUE"""),"Resource")</f>
        <v/>
      </c>
      <c r="C510" s="6">
        <f>IFERROR(__xludf.DUMMYFUNCTION("""COMPUTED_VALUE"""),"Log In | MindMeister")</f>
        <v/>
      </c>
      <c r="D510" s="7">
        <f>IFERROR(__xludf.DUMMYFUNCTION("""COMPUTED_VALUE"""),"No task description")</f>
        <v/>
      </c>
      <c r="E510" s="7">
        <f>IFERROR(__xludf.DUMMYFUNCTION("""COMPUTED_VALUE"""),"mindmeister.com: A mind mapping tool that allows users to create and share mind maps.")</f>
        <v/>
      </c>
      <c r="F510" s="7" t="n"/>
      <c r="G510" s="8" t="n">
        <v>0</v>
      </c>
      <c r="H510" s="8" t="n">
        <v>0</v>
      </c>
      <c r="I510" s="8" t="n">
        <v>0</v>
      </c>
      <c r="J510" s="8" t="n">
        <v>0</v>
      </c>
      <c r="K510" s="9" t="n">
        <v>0</v>
      </c>
      <c r="L510" s="9" t="n">
        <v>0</v>
      </c>
      <c r="M510" s="9" t="n">
        <v>0</v>
      </c>
      <c r="N510" s="9" t="n">
        <v>0</v>
      </c>
      <c r="O510" s="10" t="n">
        <v>0</v>
      </c>
      <c r="P510" s="10" t="n">
        <v>0</v>
      </c>
      <c r="Q510" s="10" t="n">
        <v>0</v>
      </c>
      <c r="R510" s="10" t="n">
        <v>0</v>
      </c>
      <c r="S510" s="10" t="n">
        <v>0</v>
      </c>
    </row>
    <row r="511" ht="25" customHeight="1">
      <c r="A511" s="6">
        <f>IFERROR(__xludf.DUMMYFUNCTION("""COMPUTED_VALUE"""),"Robotic Arm")</f>
        <v/>
      </c>
      <c r="B511" s="6">
        <f>IFERROR(__xludf.DUMMYFUNCTION("""COMPUTED_VALUE"""),"Space")</f>
        <v/>
      </c>
      <c r="C511" s="6">
        <f>IFERROR(__xludf.DUMMYFUNCTION("""COMPUTED_VALUE"""),"Teacher")</f>
        <v/>
      </c>
      <c r="D511" s="7">
        <f>IFERROR(__xludf.DUMMYFUNCTION("""COMPUTED_VALUE"""),"No task description")</f>
        <v/>
      </c>
      <c r="E511" s="7">
        <f>IFERROR(__xludf.DUMMYFUNCTION("""COMPUTED_VALUE"""),"No artifact embedded")</f>
        <v/>
      </c>
      <c r="F511" s="7" t="n"/>
      <c r="G511" s="8" t="n">
        <v>0</v>
      </c>
      <c r="H511" s="8" t="n">
        <v>0</v>
      </c>
      <c r="I511" s="8" t="n">
        <v>0</v>
      </c>
      <c r="J511" s="8" t="n">
        <v>0</v>
      </c>
      <c r="K511" s="9" t="n">
        <v>0</v>
      </c>
      <c r="L511" s="9" t="n">
        <v>0</v>
      </c>
      <c r="M511" s="9" t="n">
        <v>0</v>
      </c>
      <c r="N511" s="9" t="n">
        <v>0</v>
      </c>
      <c r="O511" s="10" t="n">
        <v>0</v>
      </c>
      <c r="P511" s="10" t="n">
        <v>0</v>
      </c>
      <c r="Q511" s="10" t="n">
        <v>0</v>
      </c>
      <c r="R511" s="10" t="n">
        <v>0</v>
      </c>
      <c r="S511" s="10" t="n">
        <v>0</v>
      </c>
    </row>
    <row r="512" ht="25" customHeight="1">
      <c r="A512" s="6">
        <f>IFERROR(__xludf.DUMMYFUNCTION("""COMPUTED_VALUE"""),"Robotic Arm")</f>
        <v/>
      </c>
      <c r="B512" s="6">
        <f>IFERROR(__xludf.DUMMYFUNCTION("""COMPUTED_VALUE"""),"Application")</f>
        <v/>
      </c>
      <c r="C512" s="6">
        <f>IFERROR(__xludf.DUMMYFUNCTION("""COMPUTED_VALUE"""),"Hypothesis Scratchpad")</f>
        <v/>
      </c>
      <c r="D512" s="7">
        <f>IFERROR(__xludf.DUMMYFUNCTION("""COMPUTED_VALUE"""),"No task description")</f>
        <v/>
      </c>
      <c r="E512" s="7">
        <f>IFERROR(__xludf.DUMMYFUNCTION("""COMPUTED_VALUE"""),"No artifact embedded")</f>
        <v/>
      </c>
      <c r="F512" s="7" t="n"/>
      <c r="G512" s="8" t="n">
        <v>0</v>
      </c>
      <c r="H512" s="8" t="n">
        <v>0</v>
      </c>
      <c r="I512" s="8" t="n">
        <v>0</v>
      </c>
      <c r="J512" s="8" t="n">
        <v>0</v>
      </c>
      <c r="K512" s="9" t="n">
        <v>0</v>
      </c>
      <c r="L512" s="9" t="n">
        <v>0</v>
      </c>
      <c r="M512" s="9" t="n">
        <v>0</v>
      </c>
      <c r="N512" s="9" t="n">
        <v>0</v>
      </c>
      <c r="O512" s="10" t="n">
        <v>0</v>
      </c>
      <c r="P512" s="10" t="n">
        <v>0</v>
      </c>
      <c r="Q512" s="10" t="n">
        <v>0</v>
      </c>
      <c r="R512" s="10" t="n">
        <v>0</v>
      </c>
      <c r="S512" s="10" t="n">
        <v>0</v>
      </c>
    </row>
    <row r="513" ht="25" customHeight="1">
      <c r="A513" s="6">
        <f>IFERROR(__xludf.DUMMYFUNCTION("""COMPUTED_VALUE"""),"Robotic Arm")</f>
        <v/>
      </c>
      <c r="B513" s="6">
        <f>IFERROR(__xludf.DUMMYFUNCTION("""COMPUTED_VALUE"""),"Application")</f>
        <v/>
      </c>
      <c r="C513" s="6">
        <f>IFERROR(__xludf.DUMMYFUNCTION("""COMPUTED_VALUE"""),"F.A.Q")</f>
        <v/>
      </c>
      <c r="D513" s="7">
        <f>IFERROR(__xludf.DUMMYFUNCTION("""COMPUTED_VALUE"""),"&lt;p&gt;F.A.Q.&lt;/p&gt;")</f>
        <v/>
      </c>
      <c r="E513" s="7">
        <f>IFERROR(__xludf.DUMMYFUNCTION("""COMPUTED_VALUE"""),"No artifact embedded")</f>
        <v/>
      </c>
      <c r="F513" s="7" t="n"/>
      <c r="G513" s="8" t="n">
        <v>0</v>
      </c>
      <c r="H513" s="8" t="n">
        <v>0</v>
      </c>
      <c r="I513" s="8" t="n">
        <v>0</v>
      </c>
      <c r="J513" s="8" t="n">
        <v>0</v>
      </c>
      <c r="K513" s="9" t="n">
        <v>0</v>
      </c>
      <c r="L513" s="9" t="n">
        <v>0</v>
      </c>
      <c r="M513" s="9" t="n">
        <v>0</v>
      </c>
      <c r="N513" s="9" t="n">
        <v>0</v>
      </c>
      <c r="O513" s="10" t="n">
        <v>0</v>
      </c>
      <c r="P513" s="10" t="n">
        <v>0</v>
      </c>
      <c r="Q513" s="10" t="n">
        <v>0</v>
      </c>
      <c r="R513" s="10" t="n">
        <v>0</v>
      </c>
      <c r="S513" s="10" t="n">
        <v>0</v>
      </c>
    </row>
    <row r="514" ht="25" customHeight="1">
      <c r="A514" s="6">
        <f>IFERROR(__xludf.DUMMYFUNCTION("""COMPUTED_VALUE"""),"Robotic Arm")</f>
        <v/>
      </c>
      <c r="B514" s="6">
        <f>IFERROR(__xludf.DUMMYFUNCTION("""COMPUTED_VALUE"""),"Application")</f>
        <v/>
      </c>
      <c r="C514" s="6">
        <f>IFERROR(__xludf.DUMMYFUNCTION("""COMPUTED_VALUE"""),"Mechanical Equivalent of Heat")</f>
        <v/>
      </c>
      <c r="D514" s="7">
        <f>IFERROR(__xludf.DUMMYFUNCTION("""COMPUTED_VALUE"""),"No task description")</f>
        <v/>
      </c>
      <c r="E514" s="7">
        <f>IFERROR(__xludf.DUMMYFUNCTION("""COMPUTED_VALUE"""),"No artifact embedded")</f>
        <v/>
      </c>
      <c r="F514" s="7" t="n"/>
      <c r="G514" s="8" t="n">
        <v>0</v>
      </c>
      <c r="H514" s="8" t="n">
        <v>0</v>
      </c>
      <c r="I514" s="8" t="n">
        <v>0</v>
      </c>
      <c r="J514" s="8" t="n">
        <v>0</v>
      </c>
      <c r="K514" s="9" t="n">
        <v>0</v>
      </c>
      <c r="L514" s="9" t="n">
        <v>0</v>
      </c>
      <c r="M514" s="9" t="n">
        <v>0</v>
      </c>
      <c r="N514" s="9" t="n">
        <v>0</v>
      </c>
      <c r="O514" s="10" t="n">
        <v>0</v>
      </c>
      <c r="P514" s="10" t="n">
        <v>0</v>
      </c>
      <c r="Q514" s="10" t="n">
        <v>0</v>
      </c>
      <c r="R514" s="10" t="n">
        <v>0</v>
      </c>
      <c r="S514" s="10" t="n">
        <v>0</v>
      </c>
    </row>
    <row r="515" ht="25" customHeight="1">
      <c r="A515" s="6">
        <f>IFERROR(__xludf.DUMMYFUNCTION("""COMPUTED_VALUE"""),"Robotic Arm")</f>
        <v/>
      </c>
      <c r="B515" s="6">
        <f>IFERROR(__xludf.DUMMYFUNCTION("""COMPUTED_VALUE"""),"Application")</f>
        <v/>
      </c>
      <c r="C515" s="6">
        <f>IFERROR(__xludf.DUMMYFUNCTION("""COMPUTED_VALUE"""),"Universal Gravity Lab")</f>
        <v/>
      </c>
      <c r="D515" s="7">
        <f>IFERROR(__xludf.DUMMYFUNCTION("""COMPUTED_VALUE"""),"No task description")</f>
        <v/>
      </c>
      <c r="E515" s="7">
        <f>IFERROR(__xludf.DUMMYFUNCTION("""COMPUTED_VALUE"""),"No artifact embedded")</f>
        <v/>
      </c>
      <c r="F515" s="7" t="n"/>
      <c r="G515" s="8" t="n">
        <v>0</v>
      </c>
      <c r="H515" s="8" t="n">
        <v>0</v>
      </c>
      <c r="I515" s="8" t="n">
        <v>0</v>
      </c>
      <c r="J515" s="8" t="n">
        <v>0</v>
      </c>
      <c r="K515" s="9" t="n">
        <v>0</v>
      </c>
      <c r="L515" s="9" t="n">
        <v>0</v>
      </c>
      <c r="M515" s="9" t="n">
        <v>0</v>
      </c>
      <c r="N515" s="9" t="n">
        <v>0</v>
      </c>
      <c r="O515" s="10" t="n">
        <v>0</v>
      </c>
      <c r="P515" s="10" t="n">
        <v>0</v>
      </c>
      <c r="Q515" s="10" t="n">
        <v>0</v>
      </c>
      <c r="R515" s="10" t="n">
        <v>0</v>
      </c>
      <c r="S515" s="10" t="n">
        <v>0</v>
      </c>
    </row>
    <row r="516" ht="409.5" customHeight="1">
      <c r="A516" s="6">
        <f>IFERROR(__xludf.DUMMYFUNCTION("""COMPUTED_VALUE"""),"Racism in modern society")</f>
        <v/>
      </c>
      <c r="B516" s="6">
        <f>IFERROR(__xludf.DUMMYFUNCTION("""COMPUTED_VALUE"""),"Space")</f>
        <v/>
      </c>
      <c r="C516" s="6">
        <f>IFERROR(__xludf.DUMMYFUNCTION("""COMPUTED_VALUE"""),"Orientation")</f>
        <v/>
      </c>
      <c r="D516" s="7">
        <f>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
      </c>
      <c r="E516" s="7">
        <f>IFERROR(__xludf.DUMMYFUNCTION("""COMPUTED_VALUE"""),"No artifact embedded")</f>
        <v/>
      </c>
      <c r="F516" s="7" t="n"/>
      <c r="G516" s="8" t="n">
        <v>1</v>
      </c>
      <c r="H516" s="8" t="n">
        <v>0</v>
      </c>
      <c r="I516" s="8" t="n">
        <v>0</v>
      </c>
      <c r="J516" s="8" t="n">
        <v>0</v>
      </c>
      <c r="K516" s="9" t="n">
        <v>1</v>
      </c>
      <c r="L516" s="9" t="n">
        <v>0</v>
      </c>
      <c r="M516" s="9" t="n">
        <v>0</v>
      </c>
      <c r="N516" s="9" t="n">
        <v>0</v>
      </c>
      <c r="O516" s="10" t="n">
        <v>1</v>
      </c>
      <c r="P516" s="10" t="n">
        <v>0</v>
      </c>
      <c r="Q516" s="10" t="n">
        <v>0</v>
      </c>
      <c r="R516" s="10" t="n">
        <v>0</v>
      </c>
      <c r="S516" s="10" t="n">
        <v>0</v>
      </c>
    </row>
    <row r="517" ht="121" customHeight="1">
      <c r="A517" s="6">
        <f>IFERROR(__xludf.DUMMYFUNCTION("""COMPUTED_VALUE"""),"Racism in modern society")</f>
        <v/>
      </c>
      <c r="B517" s="6">
        <f>IFERROR(__xludf.DUMMYFUNCTION("""COMPUTED_VALUE"""),"Resource")</f>
        <v/>
      </c>
      <c r="C517" s="6">
        <f>IFERROR(__xludf.DUMMYFUNCTION("""COMPUTED_VALUE"""),"Stop racism")</f>
        <v/>
      </c>
      <c r="D517" s="7">
        <f>IFERROR(__xludf.DUMMYFUNCTION("""COMPUTED_VALUE"""),"No task description")</f>
        <v/>
      </c>
      <c r="E517" s="7">
        <f>IFERROR(__xludf.DUMMYFUNCTION("""COMPUTED_VALUE"""),"image/jpeg – A digital photograph or web image stored in a compressed format, often used for photography and web graphics.")</f>
        <v/>
      </c>
      <c r="F517" s="7" t="n"/>
      <c r="G517" s="8" t="n">
        <v>1</v>
      </c>
      <c r="H517" s="8" t="n">
        <v>0</v>
      </c>
      <c r="I517" s="8" t="n">
        <v>0</v>
      </c>
      <c r="J517" s="8" t="n">
        <v>0</v>
      </c>
      <c r="K517" s="9" t="n">
        <v>1</v>
      </c>
      <c r="L517" s="9" t="n">
        <v>0</v>
      </c>
      <c r="M517" s="9" t="n">
        <v>0</v>
      </c>
      <c r="N517" s="9" t="n">
        <v>0</v>
      </c>
      <c r="O517" s="10" t="n">
        <v>0</v>
      </c>
      <c r="P517" s="10" t="n">
        <v>0</v>
      </c>
      <c r="Q517" s="10" t="n">
        <v>0</v>
      </c>
      <c r="R517" s="10" t="n">
        <v>0</v>
      </c>
      <c r="S517" s="10" t="n">
        <v>0</v>
      </c>
    </row>
    <row r="518" ht="121" customHeight="1">
      <c r="A518" s="6">
        <f>IFERROR(__xludf.DUMMYFUNCTION("""COMPUTED_VALUE"""),"Racism in modern society")</f>
        <v/>
      </c>
      <c r="B518" s="6">
        <f>IFERROR(__xludf.DUMMYFUNCTION("""COMPUTED_VALUE"""),"Resource")</f>
        <v/>
      </c>
      <c r="C518" s="6">
        <f>IFERROR(__xludf.DUMMYFUNCTION("""COMPUTED_VALUE"""),"Stop racism (1)")</f>
        <v/>
      </c>
      <c r="D518" s="7">
        <f>IFERROR(__xludf.DUMMYFUNCTION("""COMPUTED_VALUE"""),"41s""")</f>
        <v/>
      </c>
      <c r="E518" s="7">
        <f>IFERROR(__xludf.DUMMYFUNCTION("""COMPUTED_VALUE"""),"image/jpeg – A digital photograph or web image stored in a compressed format, often used for photography and web graphics.")</f>
        <v/>
      </c>
      <c r="F518" s="7" t="n"/>
      <c r="G518" s="8" t="n">
        <v>1</v>
      </c>
      <c r="H518" s="8" t="n">
        <v>0</v>
      </c>
      <c r="I518" s="8" t="n">
        <v>0</v>
      </c>
      <c r="J518" s="8" t="n">
        <v>0</v>
      </c>
      <c r="K518" s="9" t="n">
        <v>1</v>
      </c>
      <c r="L518" s="9" t="n">
        <v>0</v>
      </c>
      <c r="M518" s="9" t="n">
        <v>0</v>
      </c>
      <c r="N518" s="9" t="n">
        <v>0</v>
      </c>
      <c r="O518" s="10" t="n">
        <v>0</v>
      </c>
      <c r="P518" s="10" t="n">
        <v>0</v>
      </c>
      <c r="Q518" s="10" t="n">
        <v>0</v>
      </c>
      <c r="R518" s="10" t="n">
        <v>0</v>
      </c>
      <c r="S518" s="10" t="n">
        <v>0</v>
      </c>
    </row>
    <row r="519" ht="121" customHeight="1">
      <c r="A519" s="6">
        <f>IFERROR(__xludf.DUMMYFUNCTION("""COMPUTED_VALUE"""),"Racism in modern society")</f>
        <v/>
      </c>
      <c r="B519" s="6">
        <f>IFERROR(__xludf.DUMMYFUNCTION("""COMPUTED_VALUE"""),"Resource")</f>
        <v/>
      </c>
      <c r="C519" s="6">
        <f>IFERROR(__xludf.DUMMYFUNCTION("""COMPUTED_VALUE"""),"Stop racism (2)")</f>
        <v/>
      </c>
      <c r="D519" s="7">
        <f>IFERROR(__xludf.DUMMYFUNCTION("""COMPUTED_VALUE"""),"No task description")</f>
        <v/>
      </c>
      <c r="E519" s="7">
        <f>IFERROR(__xludf.DUMMYFUNCTION("""COMPUTED_VALUE"""),"image/jpeg – A digital photograph or web image stored in a compressed format, often used for photography and web graphics.")</f>
        <v/>
      </c>
      <c r="F519" s="7" t="n"/>
      <c r="G519" s="8" t="n">
        <v>1</v>
      </c>
      <c r="H519" s="8" t="n">
        <v>0</v>
      </c>
      <c r="I519" s="8" t="n">
        <v>0</v>
      </c>
      <c r="J519" s="8" t="n">
        <v>0</v>
      </c>
      <c r="K519" s="9" t="n">
        <v>1</v>
      </c>
      <c r="L519" s="9" t="n">
        <v>0</v>
      </c>
      <c r="M519" s="9" t="n">
        <v>0</v>
      </c>
      <c r="N519" s="9" t="n">
        <v>0</v>
      </c>
      <c r="O519" s="10" t="n">
        <v>0</v>
      </c>
      <c r="P519" s="10" t="n">
        <v>0</v>
      </c>
      <c r="Q519" s="10" t="n">
        <v>0</v>
      </c>
      <c r="R519" s="10" t="n">
        <v>0</v>
      </c>
      <c r="S519" s="10" t="n">
        <v>0</v>
      </c>
    </row>
    <row r="520" ht="157" customHeight="1">
      <c r="A520" s="6">
        <f>IFERROR(__xludf.DUMMYFUNCTION("""COMPUTED_VALUE"""),"Racism in modern society")</f>
        <v/>
      </c>
      <c r="B520" s="6">
        <f>IFERROR(__xludf.DUMMYFUNCTION("""COMPUTED_VALUE"""),"Space")</f>
        <v/>
      </c>
      <c r="C520" s="6">
        <f>IFERROR(__xludf.DUMMYFUNCTION("""COMPUTED_VALUE"""),"Conceptualisation")</f>
        <v/>
      </c>
      <c r="D520" s="7">
        <f>IFERROR(__xludf.DUMMYFUNCTION("""COMPUTED_VALUE"""),"&lt;p&gt;Work through the materials attached and watch the videos to be ready for discussion concerning our topic as well as to express your own thoughts and attitude to it.&lt;br&gt;&lt;/p&gt;")</f>
        <v/>
      </c>
      <c r="E520" s="7">
        <f>IFERROR(__xludf.DUMMYFUNCTION("""COMPUTED_VALUE"""),"No artifact embedded")</f>
        <v/>
      </c>
      <c r="F520" s="7" t="n"/>
      <c r="G520" s="8" t="n">
        <v>0</v>
      </c>
      <c r="H520" s="8" t="n">
        <v>0</v>
      </c>
      <c r="I520" s="8" t="n">
        <v>0</v>
      </c>
      <c r="J520" s="8" t="n">
        <v>1</v>
      </c>
      <c r="K520" s="9" t="n">
        <v>1</v>
      </c>
      <c r="L520" s="9" t="n">
        <v>0</v>
      </c>
      <c r="M520" s="9" t="n">
        <v>1</v>
      </c>
      <c r="N520" s="9" t="n">
        <v>0</v>
      </c>
      <c r="O520" s="10" t="n">
        <v>1</v>
      </c>
      <c r="P520" s="10" t="n">
        <v>0</v>
      </c>
      <c r="Q520" s="10" t="n">
        <v>0</v>
      </c>
      <c r="R520" s="10" t="n">
        <v>0</v>
      </c>
      <c r="S520" s="10" t="n">
        <v>1</v>
      </c>
    </row>
    <row r="521" ht="109" customHeight="1">
      <c r="A521" s="6">
        <f>IFERROR(__xludf.DUMMYFUNCTION("""COMPUTED_VALUE"""),"Racism in modern society")</f>
        <v/>
      </c>
      <c r="B521" s="6">
        <f>IFERROR(__xludf.DUMMYFUNCTION("""COMPUTED_VALUE"""),"Resource")</f>
        <v/>
      </c>
      <c r="C521" s="6">
        <f>IFERROR(__xludf.DUMMYFUNCTION("""COMPUTED_VALUE"""),"Racism")</f>
        <v/>
      </c>
      <c r="D521" s="7">
        <f>IFERROR(__xludf.DUMMYFUNCTION("""COMPUTED_VALUE"""),"No task description")</f>
        <v/>
      </c>
      <c r="E521" s="7">
        <f>IFERROR(__xludf.DUMMYFUNCTION("""COMPUTED_VALUE"""),"internesque.com: This domain appears to host essays or articles on various topics, including discussions on racism.")</f>
        <v/>
      </c>
      <c r="F521" s="7" t="n"/>
      <c r="G521" s="8" t="n">
        <v>1</v>
      </c>
      <c r="H521" s="8" t="n">
        <v>0</v>
      </c>
      <c r="I521" s="8" t="n">
        <v>0</v>
      </c>
      <c r="J521" s="8" t="n">
        <v>0</v>
      </c>
      <c r="K521" s="9" t="n">
        <v>1</v>
      </c>
      <c r="L521" s="9" t="n">
        <v>0</v>
      </c>
      <c r="M521" s="9" t="n">
        <v>0</v>
      </c>
      <c r="N521" s="9" t="n">
        <v>0</v>
      </c>
      <c r="O521" s="10" t="n">
        <v>0</v>
      </c>
      <c r="P521" s="10" t="n">
        <v>0</v>
      </c>
      <c r="Q521" s="10" t="n">
        <v>0</v>
      </c>
      <c r="R521" s="10" t="n">
        <v>0</v>
      </c>
      <c r="S521" s="10" t="n">
        <v>0</v>
      </c>
    </row>
    <row r="522" ht="97" customHeight="1">
      <c r="A522" s="6">
        <f>IFERROR(__xludf.DUMMYFUNCTION("""COMPUTED_VALUE"""),"Racism in modern society")</f>
        <v/>
      </c>
      <c r="B522" s="6">
        <f>IFERROR(__xludf.DUMMYFUNCTION("""COMPUTED_VALUE"""),"Resource")</f>
        <v/>
      </c>
      <c r="C522" s="6">
        <f>IFERROR(__xludf.DUMMYFUNCTION("""COMPUTED_VALUE"""),"MODERN RACISM: THE CAUSE, CULTURE, AND EFFECTS-THE RESULT OF SOCIAL LEARNING")</f>
        <v/>
      </c>
      <c r="D522" s="7">
        <f>IFERROR(__xludf.DUMMYFUNCTION("""COMPUTED_VALUE"""),"No task description")</f>
        <v/>
      </c>
      <c r="E522" s="7">
        <f>IFERROR(__xludf.DUMMYFUNCTION("""COMPUTED_VALUE"""),"psychsocialissues.com: Discusses psychological and social issues, including articles on modern racism.")</f>
        <v/>
      </c>
      <c r="F522" s="7" t="n"/>
      <c r="G522" s="8" t="n">
        <v>1</v>
      </c>
      <c r="H522" s="8" t="n">
        <v>0</v>
      </c>
      <c r="I522" s="8" t="n">
        <v>0</v>
      </c>
      <c r="J522" s="8" t="n">
        <v>0</v>
      </c>
      <c r="K522" s="9" t="n">
        <v>1</v>
      </c>
      <c r="L522" s="9" t="n">
        <v>0</v>
      </c>
      <c r="M522" s="9" t="n">
        <v>0</v>
      </c>
      <c r="N522" s="9" t="n">
        <v>0</v>
      </c>
      <c r="O522" s="10" t="n">
        <v>0</v>
      </c>
      <c r="P522" s="10" t="n">
        <v>0</v>
      </c>
      <c r="Q522" s="10" t="n">
        <v>0</v>
      </c>
      <c r="R522" s="10" t="n">
        <v>0</v>
      </c>
      <c r="S522" s="10" t="n">
        <v>0</v>
      </c>
    </row>
    <row r="523" ht="133" customHeight="1">
      <c r="A523" s="6">
        <f>IFERROR(__xludf.DUMMYFUNCTION("""COMPUTED_VALUE"""),"Racism in modern society")</f>
        <v/>
      </c>
      <c r="B523" s="6">
        <f>IFERROR(__xludf.DUMMYFUNCTION("""COMPUTED_VALUE"""),"Resource")</f>
        <v/>
      </c>
      <c r="C523" s="6">
        <f>IFERROR(__xludf.DUMMYFUNCTION("""COMPUTED_VALUE"""),"Racism and discrimination in Ukraine")</f>
        <v/>
      </c>
      <c r="D523" s="7">
        <f>IFERROR(__xludf.DUMMYFUNCTION("""COMPUTED_VALUE"""),"No task description")</f>
        <v/>
      </c>
      <c r="E523" s="7">
        <f>IFERROR(__xludf.DUMMYFUNCTION("""COMPUTED_VALUE"""),"en.wikipedia.org: The English version of Wikipedia, a free online encyclopedia, offering articles on topics like racism and discrimination in Ukraine.")</f>
        <v/>
      </c>
      <c r="F523" s="7" t="n"/>
      <c r="G523" s="8" t="n">
        <v>1</v>
      </c>
      <c r="H523" s="8" t="n">
        <v>0</v>
      </c>
      <c r="I523" s="8" t="n">
        <v>0</v>
      </c>
      <c r="J523" s="8" t="n">
        <v>0</v>
      </c>
      <c r="K523" s="9" t="n">
        <v>1</v>
      </c>
      <c r="L523" s="9" t="n">
        <v>0</v>
      </c>
      <c r="M523" s="9" t="n">
        <v>0</v>
      </c>
      <c r="N523" s="9" t="n">
        <v>0</v>
      </c>
      <c r="O523" s="10" t="n">
        <v>0</v>
      </c>
      <c r="P523" s="10" t="n">
        <v>0</v>
      </c>
      <c r="Q523" s="10" t="n">
        <v>0</v>
      </c>
      <c r="R523" s="10" t="n">
        <v>0</v>
      </c>
      <c r="S523" s="10" t="n">
        <v>0</v>
      </c>
    </row>
    <row r="524" ht="121" customHeight="1">
      <c r="A524" s="6">
        <f>IFERROR(__xludf.DUMMYFUNCTION("""COMPUTED_VALUE"""),"Racism in modern society")</f>
        <v/>
      </c>
      <c r="B524" s="6">
        <f>IFERROR(__xludf.DUMMYFUNCTION("""COMPUTED_VALUE"""),"Resource")</f>
        <v/>
      </c>
      <c r="C524" s="6">
        <f>IFERROR(__xludf.DUMMYFUNCTION("""COMPUTED_VALUE"""),"The Science Of Racism")</f>
        <v/>
      </c>
      <c r="D524" s="7">
        <f>IFERROR(__xludf.DUMMYFUNCTION("""COMPUTED_VALUE"""),"&lt;p&gt;Why are some people racist, but others are not?&lt;/p&gt;")</f>
        <v/>
      </c>
      <c r="E524" s="7">
        <f>IFERROR(__xludf.DUMMYFUNCTION("""COMPUTED_VALUE"""),"youtube.com: A widely known video-sharing platform where users can watch videos on a vast array of topics, including educational content.")</f>
        <v/>
      </c>
      <c r="F524" s="7" t="n"/>
      <c r="G524" s="8" t="n">
        <v>1</v>
      </c>
      <c r="H524" s="8" t="n">
        <v>0</v>
      </c>
      <c r="I524" s="8" t="n">
        <v>0</v>
      </c>
      <c r="J524" s="8" t="n">
        <v>0</v>
      </c>
      <c r="K524" s="9" t="n">
        <v>1</v>
      </c>
      <c r="L524" s="9" t="n">
        <v>0</v>
      </c>
      <c r="M524" s="9" t="n">
        <v>0</v>
      </c>
      <c r="N524" s="9" t="n">
        <v>0</v>
      </c>
      <c r="O524" s="10" t="n">
        <v>1</v>
      </c>
      <c r="P524" s="10" t="n">
        <v>0</v>
      </c>
      <c r="Q524" s="10" t="n">
        <v>0</v>
      </c>
      <c r="R524" s="10" t="n">
        <v>0</v>
      </c>
      <c r="S524" s="10" t="n">
        <v>0</v>
      </c>
    </row>
    <row r="525" ht="121" customHeight="1">
      <c r="A525" s="6">
        <f>IFERROR(__xludf.DUMMYFUNCTION("""COMPUTED_VALUE"""),"Racism in modern society")</f>
        <v/>
      </c>
      <c r="B525" s="6">
        <f>IFERROR(__xludf.DUMMYFUNCTION("""COMPUTED_VALUE"""),"Resource")</f>
        <v/>
      </c>
      <c r="C525" s="6">
        <f>IFERROR(__xludf.DUMMYFUNCTION("""COMPUTED_VALUE"""),"THE RACISM EXPERIMENT!")</f>
        <v/>
      </c>
      <c r="D525" s="7">
        <f>IFERROR(__xludf.DUMMYFUNCTION("""COMPUTED_VALUE"""),"No task description")</f>
        <v/>
      </c>
      <c r="E525" s="7">
        <f>IFERROR(__xludf.DUMMYFUNCTION("""COMPUTED_VALUE"""),"youtube.com: A widely known video-sharing platform where users can watch videos on a vast array of topics, including educational content.")</f>
        <v/>
      </c>
      <c r="F525" s="7" t="n"/>
      <c r="G525" s="8" t="n">
        <v>1</v>
      </c>
      <c r="H525" s="8" t="n">
        <v>0</v>
      </c>
      <c r="I525" s="8" t="n">
        <v>0</v>
      </c>
      <c r="J525" s="8" t="n">
        <v>0</v>
      </c>
      <c r="K525" s="9" t="n">
        <v>1</v>
      </c>
      <c r="L525" s="9" t="n">
        <v>0</v>
      </c>
      <c r="M525" s="9" t="n">
        <v>0</v>
      </c>
      <c r="N525" s="9" t="n">
        <v>0</v>
      </c>
      <c r="O525" s="10" t="n">
        <v>0</v>
      </c>
      <c r="P525" s="10" t="n">
        <v>0</v>
      </c>
      <c r="Q525" s="10" t="n">
        <v>0</v>
      </c>
      <c r="R525" s="10" t="n">
        <v>0</v>
      </c>
      <c r="S525" s="10" t="n">
        <v>0</v>
      </c>
    </row>
    <row r="526" ht="181" customHeight="1">
      <c r="A526" s="6">
        <f>IFERROR(__xludf.DUMMYFUNCTION("""COMPUTED_VALUE"""),"Racism in modern society")</f>
        <v/>
      </c>
      <c r="B526" s="6">
        <f>IFERROR(__xludf.DUMMYFUNCTION("""COMPUTED_VALUE"""),"Space")</f>
        <v/>
      </c>
      <c r="C526" s="6">
        <f>IFERROR(__xludf.DUMMYFUNCTION("""COMPUTED_VALUE"""),"Discussion")</f>
        <v/>
      </c>
      <c r="D526" s="7">
        <f>IFERROR(__xludf.DUMMYFUNCTION("""COMPUTED_VALUE"""),"&lt;p&gt;Here you can find the discussion concerning racism in modern society. You're welcome to express your opinion as well as comment opinions of your peers.&lt;/p&gt;&lt;p&gt;The questions are inside the discussion.&lt;/p&gt;")</f>
        <v/>
      </c>
      <c r="E526" s="7">
        <f>IFERROR(__xludf.DUMMYFUNCTION("""COMPUTED_VALUE"""),"No artifact embedded")</f>
        <v/>
      </c>
      <c r="F526" s="7" t="n"/>
      <c r="G526" s="8" t="n">
        <v>0</v>
      </c>
      <c r="H526" s="8" t="n">
        <v>0</v>
      </c>
      <c r="I526" s="8" t="n">
        <v>0</v>
      </c>
      <c r="J526" s="8" t="n">
        <v>1</v>
      </c>
      <c r="K526" s="9" t="n">
        <v>0</v>
      </c>
      <c r="L526" s="9" t="n">
        <v>0</v>
      </c>
      <c r="M526" s="9" t="n">
        <v>1</v>
      </c>
      <c r="N526" s="9" t="n">
        <v>0</v>
      </c>
      <c r="O526" s="10" t="n">
        <v>0</v>
      </c>
      <c r="P526" s="10" t="n">
        <v>0</v>
      </c>
      <c r="Q526" s="10" t="n">
        <v>0</v>
      </c>
      <c r="R526" s="10" t="n">
        <v>0</v>
      </c>
      <c r="S526" s="10" t="n">
        <v>1</v>
      </c>
    </row>
    <row r="527" ht="285" customHeight="1">
      <c r="A527" s="6">
        <f>IFERROR(__xludf.DUMMYFUNCTION("""COMPUTED_VALUE"""),"Racism in modern society")</f>
        <v/>
      </c>
      <c r="B527" s="6">
        <f>IFERROR(__xludf.DUMMYFUNCTION("""COMPUTED_VALUE"""),"Topic")</f>
        <v/>
      </c>
      <c r="C527" s="6">
        <f>IFERROR(__xludf.DUMMYFUNCTION("""COMPUTED_VALUE"""),"Your attitude to racism")</f>
        <v/>
      </c>
      <c r="D527" s="7">
        <f>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
      </c>
      <c r="E527" s="7">
        <f>IFERROR(__xludf.DUMMYFUNCTION("""COMPUTED_VALUE"""),"text/html – A webpage or web document that contains structured text, images, and links, designed for display in a web browser.")</f>
        <v/>
      </c>
      <c r="F527" s="7" t="n"/>
      <c r="G527" s="8" t="n">
        <v>0</v>
      </c>
      <c r="H527" s="8" t="n">
        <v>0</v>
      </c>
      <c r="I527" s="8" t="n">
        <v>1</v>
      </c>
      <c r="J527" s="8" t="n">
        <v>0</v>
      </c>
      <c r="K527" s="9" t="n">
        <v>0</v>
      </c>
      <c r="L527" s="9" t="n">
        <v>1</v>
      </c>
      <c r="M527" s="9" t="n">
        <v>0</v>
      </c>
      <c r="N527" s="9" t="n">
        <v>0</v>
      </c>
      <c r="O527" s="10" t="n">
        <v>0</v>
      </c>
      <c r="P527" s="10" t="n">
        <v>0</v>
      </c>
      <c r="Q527" s="10" t="n">
        <v>0</v>
      </c>
      <c r="R527" s="10" t="n">
        <v>0</v>
      </c>
      <c r="S527" s="10" t="n">
        <v>1</v>
      </c>
    </row>
    <row r="528" ht="409.5" customHeight="1">
      <c r="A528" s="6">
        <f>IFERROR(__xludf.DUMMYFUNCTION("""COMPUTED_VALUE"""),"Racism in modern society")</f>
        <v/>
      </c>
      <c r="B528" s="6">
        <f>IFERROR(__xludf.DUMMYFUNCTION("""COMPUTED_VALUE"""),"Space")</f>
        <v/>
      </c>
      <c r="C528" s="6">
        <f>IFERROR(__xludf.DUMMYFUNCTION("""COMPUTED_VALUE"""),"Investigation")</f>
        <v/>
      </c>
      <c r="D528" s="7">
        <f>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
      </c>
      <c r="E528" s="7">
        <f>IFERROR(__xludf.DUMMYFUNCTION("""COMPUTED_VALUE"""),"No artifact embedded")</f>
        <v/>
      </c>
      <c r="F528" s="7" t="n"/>
      <c r="G528" s="8" t="n">
        <v>0</v>
      </c>
      <c r="H528" s="8" t="n">
        <v>0</v>
      </c>
      <c r="I528" s="8" t="n">
        <v>1</v>
      </c>
      <c r="J528" s="8" t="n">
        <v>0</v>
      </c>
      <c r="K528" s="9" t="n">
        <v>0</v>
      </c>
      <c r="L528" s="9" t="n">
        <v>1</v>
      </c>
      <c r="M528" s="9" t="n">
        <v>0</v>
      </c>
      <c r="N528" s="9" t="n">
        <v>0</v>
      </c>
      <c r="O528" s="10" t="n">
        <v>1</v>
      </c>
      <c r="P528" s="10" t="n">
        <v>0</v>
      </c>
      <c r="Q528" s="10" t="n">
        <v>0</v>
      </c>
      <c r="R528" s="10" t="n">
        <v>0</v>
      </c>
      <c r="S528" s="10" t="n">
        <v>0</v>
      </c>
    </row>
    <row r="529" ht="241" customHeight="1">
      <c r="A529" s="6">
        <f>IFERROR(__xludf.DUMMYFUNCTION("""COMPUTED_VALUE"""),"Racism in modern society")</f>
        <v/>
      </c>
      <c r="B529" s="6">
        <f>IFERROR(__xludf.DUMMYFUNCTION("""COMPUTED_VALUE"""),"Application")</f>
        <v/>
      </c>
      <c r="C529" s="6">
        <f>IFERROR(__xludf.DUMMYFUNCTION("""COMPUTED_VALUE"""),"Summary")</f>
        <v/>
      </c>
      <c r="D529" s="7">
        <f>IFERROR(__xludf.DUMMYFUNCTION("""COMPUTED_VALUE"""),"No task description")</f>
        <v/>
      </c>
      <c r="E52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29" s="7" t="n"/>
      <c r="G529" s="8" t="n">
        <v>0</v>
      </c>
      <c r="H529" s="8" t="n">
        <v>0</v>
      </c>
      <c r="I529" s="8" t="n">
        <v>1</v>
      </c>
      <c r="J529" s="8" t="n">
        <v>0</v>
      </c>
      <c r="K529" s="9" t="n">
        <v>0</v>
      </c>
      <c r="L529" s="9" t="n">
        <v>1</v>
      </c>
      <c r="M529" s="9" t="n">
        <v>0</v>
      </c>
      <c r="N529" s="9" t="n">
        <v>0</v>
      </c>
      <c r="O529" s="10" t="n">
        <v>0</v>
      </c>
      <c r="P529" s="10" t="n">
        <v>0</v>
      </c>
      <c r="Q529" s="10" t="n">
        <v>0</v>
      </c>
      <c r="R529" s="10" t="n">
        <v>0</v>
      </c>
      <c r="S529" s="10" t="n">
        <v>0</v>
      </c>
    </row>
    <row r="530" ht="241" customHeight="1">
      <c r="A530" s="6">
        <f>IFERROR(__xludf.DUMMYFUNCTION("""COMPUTED_VALUE"""),"Racism in modern society")</f>
        <v/>
      </c>
      <c r="B530" s="6">
        <f>IFERROR(__xludf.DUMMYFUNCTION("""COMPUTED_VALUE"""),"Application")</f>
        <v/>
      </c>
      <c r="C530" s="6">
        <f>IFERROR(__xludf.DUMMYFUNCTION("""COMPUTED_VALUE"""),"Questions")</f>
        <v/>
      </c>
      <c r="D530" s="7">
        <f>IFERROR(__xludf.DUMMYFUNCTION("""COMPUTED_VALUE"""),"No task description")</f>
        <v/>
      </c>
      <c r="E530"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30" s="7" t="n"/>
      <c r="G530" s="8" t="n">
        <v>0</v>
      </c>
      <c r="H530" s="8" t="n">
        <v>0</v>
      </c>
      <c r="I530" s="8" t="n">
        <v>1</v>
      </c>
      <c r="J530" s="8" t="n">
        <v>0</v>
      </c>
      <c r="K530" s="9" t="n">
        <v>0</v>
      </c>
      <c r="L530" s="9" t="n">
        <v>1</v>
      </c>
      <c r="M530" s="9" t="n">
        <v>0</v>
      </c>
      <c r="N530" s="9" t="n">
        <v>0</v>
      </c>
      <c r="O530" s="10" t="n">
        <v>0</v>
      </c>
      <c r="P530" s="10" t="n">
        <v>0</v>
      </c>
      <c r="Q530" s="10" t="n">
        <v>0</v>
      </c>
      <c r="R530" s="10" t="n">
        <v>0</v>
      </c>
      <c r="S530" s="10" t="n">
        <v>0</v>
      </c>
    </row>
    <row r="531" ht="73" customHeight="1">
      <c r="A531" s="6">
        <f>IFERROR(__xludf.DUMMYFUNCTION("""COMPUTED_VALUE"""),"Racism in modern society")</f>
        <v/>
      </c>
      <c r="B531" s="6">
        <f>IFERROR(__xludf.DUMMYFUNCTION("""COMPUTED_VALUE"""),"Application")</f>
        <v/>
      </c>
      <c r="C531" s="6">
        <f>IFERROR(__xludf.DUMMYFUNCTION("""COMPUTED_VALUE"""),"Teacher Feedback")</f>
        <v/>
      </c>
      <c r="D531" s="7">
        <f>IFERROR(__xludf.DUMMYFUNCTION("""COMPUTED_VALUE"""),"No task description")</f>
        <v/>
      </c>
      <c r="E531" s="7">
        <f>IFERROR(__xludf.DUMMYFUNCTION("""COMPUTED_VALUE"""),"Golabz app/lab: ""&lt;p&gt;A tool where teachers can provide feedback to students&lt;/p&gt;\r\n""")</f>
        <v/>
      </c>
      <c r="F531" s="7" t="n"/>
      <c r="G531" s="8" t="n">
        <v>1</v>
      </c>
      <c r="H531" s="8" t="n">
        <v>0</v>
      </c>
      <c r="I531" s="8" t="n">
        <v>0</v>
      </c>
      <c r="J531" s="8" t="n">
        <v>0</v>
      </c>
      <c r="K531" s="9" t="n">
        <v>1</v>
      </c>
      <c r="L531" s="9" t="n">
        <v>0</v>
      </c>
      <c r="M531" s="9" t="n">
        <v>0</v>
      </c>
      <c r="N531" s="9" t="n">
        <v>0</v>
      </c>
      <c r="O531" s="10" t="n">
        <v>0</v>
      </c>
      <c r="P531" s="10" t="n">
        <v>0</v>
      </c>
      <c r="Q531" s="10" t="n">
        <v>0</v>
      </c>
      <c r="R531" s="10" t="n">
        <v>0</v>
      </c>
      <c r="S531" s="10" t="n">
        <v>1</v>
      </c>
    </row>
    <row r="532" ht="307" customHeight="1">
      <c r="A532" s="6">
        <f>IFERROR(__xludf.DUMMYFUNCTION("""COMPUTED_VALUE"""),"Racism in modern society")</f>
        <v/>
      </c>
      <c r="B532" s="6">
        <f>IFERROR(__xludf.DUMMYFUNCTION("""COMPUTED_VALUE"""),"Space")</f>
        <v/>
      </c>
      <c r="C532" s="6">
        <f>IFERROR(__xludf.DUMMYFUNCTION("""COMPUTED_VALUE"""),"Conclusion")</f>
        <v/>
      </c>
      <c r="D532" s="7">
        <f>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
      </c>
      <c r="E532" s="7">
        <f>IFERROR(__xludf.DUMMYFUNCTION("""COMPUTED_VALUE"""),"No artifact embedded")</f>
        <v/>
      </c>
      <c r="F532" s="7" t="n"/>
      <c r="G532" s="8" t="n">
        <v>0</v>
      </c>
      <c r="H532" s="8" t="n">
        <v>0</v>
      </c>
      <c r="I532" s="8" t="n">
        <v>0</v>
      </c>
      <c r="J532" s="8" t="n">
        <v>1</v>
      </c>
      <c r="K532" s="9" t="n">
        <v>0</v>
      </c>
      <c r="L532" s="9" t="n">
        <v>1</v>
      </c>
      <c r="M532" s="9" t="n">
        <v>0</v>
      </c>
      <c r="N532" s="9" t="n">
        <v>0</v>
      </c>
      <c r="O532" s="10" t="n">
        <v>0</v>
      </c>
      <c r="P532" s="10" t="n">
        <v>0</v>
      </c>
      <c r="Q532" s="10" t="n">
        <v>0</v>
      </c>
      <c r="R532" s="10" t="n">
        <v>0</v>
      </c>
      <c r="S532" s="10" t="n">
        <v>1</v>
      </c>
    </row>
    <row r="533" ht="133" customHeight="1">
      <c r="A533" s="6">
        <f>IFERROR(__xludf.DUMMYFUNCTION("""COMPUTED_VALUE"""),"Racism in modern society")</f>
        <v/>
      </c>
      <c r="B533" s="6">
        <f>IFERROR(__xludf.DUMMYFUNCTION("""COMPUTED_VALUE"""),"Resource")</f>
        <v/>
      </c>
      <c r="C533" s="6">
        <f>IFERROR(__xludf.DUMMYFUNCTION("""COMPUTED_VALUE"""),"Are You Racist? Quiz - ProProfs Quiz")</f>
        <v/>
      </c>
      <c r="D533" s="7">
        <f>IFERROR(__xludf.DUMMYFUNCTION("""COMPUTED_VALUE"""),"Have you ever thought about the act of racism? Do you ever wonder if you are a racist? This quiz will make you think about this topic more in depth and hopefull...")</f>
        <v/>
      </c>
      <c r="E533" s="7">
        <f>IFERROR(__xludf.DUMMYFUNCTION("""COMPUTED_VALUE"""),"proprofs.com: Provides quizzes and educational tools, including personality quizzes on topics like racism.")</f>
        <v/>
      </c>
      <c r="F533" s="7" t="n"/>
      <c r="G533" s="8" t="n">
        <v>0</v>
      </c>
      <c r="H533" s="8" t="n">
        <v>0</v>
      </c>
      <c r="I533" s="8" t="n">
        <v>1</v>
      </c>
      <c r="J533" s="8" t="n">
        <v>0</v>
      </c>
      <c r="K533" s="9" t="n">
        <v>0</v>
      </c>
      <c r="L533" s="9" t="n">
        <v>1</v>
      </c>
      <c r="M533" s="9" t="n">
        <v>0</v>
      </c>
      <c r="N533" s="9" t="n">
        <v>0</v>
      </c>
      <c r="O533" s="10" t="n">
        <v>0</v>
      </c>
      <c r="P533" s="10" t="n">
        <v>0</v>
      </c>
      <c r="Q533" s="10" t="n">
        <v>0</v>
      </c>
      <c r="R533" s="10" t="n">
        <v>0</v>
      </c>
      <c r="S533" s="10" t="n">
        <v>1</v>
      </c>
    </row>
    <row r="534" ht="25" customHeight="1">
      <c r="A534" s="6">
        <f>IFERROR(__xludf.DUMMYFUNCTION("""COMPUTED_VALUE"""),"Bending of Light")</f>
        <v/>
      </c>
      <c r="B534" s="6">
        <f>IFERROR(__xludf.DUMMYFUNCTION("""COMPUTED_VALUE"""),"Space")</f>
        <v/>
      </c>
      <c r="C534" s="6">
        <f>IFERROR(__xludf.DUMMYFUNCTION("""COMPUTED_VALUE"""),"Orientation")</f>
        <v/>
      </c>
      <c r="D534" s="7">
        <f>IFERROR(__xludf.DUMMYFUNCTION("""COMPUTED_VALUE"""),"&lt;p&gt;Background&lt;/p&gt;")</f>
        <v/>
      </c>
      <c r="E534" s="7">
        <f>IFERROR(__xludf.DUMMYFUNCTION("""COMPUTED_VALUE"""),"No artifact embedded")</f>
        <v/>
      </c>
      <c r="F534" s="7" t="n"/>
      <c r="G534" s="8" t="n">
        <v>0</v>
      </c>
      <c r="H534" s="8" t="n">
        <v>0</v>
      </c>
      <c r="I534" s="8" t="n">
        <v>0</v>
      </c>
      <c r="J534" s="8" t="n">
        <v>0</v>
      </c>
      <c r="K534" s="9" t="n">
        <v>0</v>
      </c>
      <c r="L534" s="9" t="n">
        <v>0</v>
      </c>
      <c r="M534" s="9" t="n">
        <v>0</v>
      </c>
      <c r="N534" s="9" t="n">
        <v>0</v>
      </c>
      <c r="O534" s="10" t="n">
        <v>0</v>
      </c>
      <c r="P534" s="10" t="n">
        <v>0</v>
      </c>
      <c r="Q534" s="10" t="n">
        <v>0</v>
      </c>
      <c r="R534" s="10" t="n">
        <v>0</v>
      </c>
      <c r="S534" s="10" t="n">
        <v>0</v>
      </c>
    </row>
    <row r="535" ht="409.5" customHeight="1">
      <c r="A535" s="6">
        <f>IFERROR(__xludf.DUMMYFUNCTION("""COMPUTED_VALUE"""),"Bending of Light")</f>
        <v/>
      </c>
      <c r="B535" s="6">
        <f>IFERROR(__xludf.DUMMYFUNCTION("""COMPUTED_VALUE"""),"Resource")</f>
        <v/>
      </c>
      <c r="C535" s="6">
        <f>IFERROR(__xludf.DUMMYFUNCTION("""COMPUTED_VALUE"""),"Hello Scientists.docx")</f>
        <v/>
      </c>
      <c r="D535" s="7">
        <f>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
      </c>
      <c r="E535" s="7">
        <f>IFERROR(__xludf.DUMMYFUNCTION("""COMPUTED_VALUE"""),"application/vnd.openxmlformats-officedocument.wordprocessingml.document – A Microsoft Word document (DOCX), typically containing formatted text, images, and tables.")</f>
        <v/>
      </c>
      <c r="F535" s="7" t="n"/>
      <c r="G535" s="8" t="n">
        <v>1</v>
      </c>
      <c r="H535" s="8" t="n">
        <v>0</v>
      </c>
      <c r="I535" s="8" t="n">
        <v>0</v>
      </c>
      <c r="J535" s="8" t="n">
        <v>0</v>
      </c>
      <c r="K535" s="9" t="n">
        <v>1</v>
      </c>
      <c r="L535" s="9" t="n">
        <v>0</v>
      </c>
      <c r="M535" s="9" t="n">
        <v>0</v>
      </c>
      <c r="N535" s="9" t="n">
        <v>0</v>
      </c>
      <c r="O535" s="10" t="n">
        <v>1</v>
      </c>
      <c r="P535" s="10" t="n">
        <v>0</v>
      </c>
      <c r="Q535" s="10" t="n">
        <v>0</v>
      </c>
      <c r="R535" s="10" t="n">
        <v>0</v>
      </c>
      <c r="S535" s="10" t="n">
        <v>0</v>
      </c>
    </row>
    <row r="536" ht="121" customHeight="1">
      <c r="A536" s="6">
        <f>IFERROR(__xludf.DUMMYFUNCTION("""COMPUTED_VALUE"""),"Bending of Light")</f>
        <v/>
      </c>
      <c r="B536" s="6">
        <f>IFERROR(__xludf.DUMMYFUNCTION("""COMPUTED_VALUE"""),"Resource")</f>
        <v/>
      </c>
      <c r="C536" s="6">
        <f>IFERROR(__xludf.DUMMYFUNCTION("""COMPUTED_VALUE"""),"straight line.mp4")</f>
        <v/>
      </c>
      <c r="D536" s="7">
        <f>IFERROR(__xludf.DUMMYFUNCTION("""COMPUTED_VALUE"""),"No task description")</f>
        <v/>
      </c>
      <c r="E536" s="7">
        <f>IFERROR(__xludf.DUMMYFUNCTION("""COMPUTED_VALUE"""),"video/mp4 – A video file containing moving images and possibly audio, suitable for playback on most modern devices and platforms.")</f>
        <v/>
      </c>
      <c r="F536" s="7" t="n"/>
      <c r="G536" s="8" t="n">
        <v>1</v>
      </c>
      <c r="H536" s="8" t="n">
        <v>0</v>
      </c>
      <c r="I536" s="8" t="n">
        <v>0</v>
      </c>
      <c r="J536" s="8" t="n">
        <v>0</v>
      </c>
      <c r="K536" s="9" t="n">
        <v>1</v>
      </c>
      <c r="L536" s="9" t="n">
        <v>0</v>
      </c>
      <c r="M536" s="9" t="n">
        <v>0</v>
      </c>
      <c r="N536" s="9" t="n">
        <v>0</v>
      </c>
      <c r="O536" s="10" t="n">
        <v>0</v>
      </c>
      <c r="P536" s="10" t="n">
        <v>0</v>
      </c>
      <c r="Q536" s="10" t="n">
        <v>0</v>
      </c>
      <c r="R536" s="10" t="n">
        <v>0</v>
      </c>
      <c r="S536" s="10" t="n">
        <v>0</v>
      </c>
    </row>
    <row r="537" ht="121" customHeight="1">
      <c r="A537" s="6">
        <f>IFERROR(__xludf.DUMMYFUNCTION("""COMPUTED_VALUE"""),"Bending of Light")</f>
        <v/>
      </c>
      <c r="B537" s="6">
        <f>IFERROR(__xludf.DUMMYFUNCTION("""COMPUTED_VALUE"""),"Resource")</f>
        <v/>
      </c>
      <c r="C537" s="6">
        <f>IFERROR(__xludf.DUMMYFUNCTION("""COMPUTED_VALUE"""),"Bending of Light.mp4")</f>
        <v/>
      </c>
      <c r="D537" s="7">
        <f>IFERROR(__xludf.DUMMYFUNCTION("""COMPUTED_VALUE"""),"&lt;p&gt;Now, watch this video very carefully.&lt;/p&gt;")</f>
        <v/>
      </c>
      <c r="E537" s="7">
        <f>IFERROR(__xludf.DUMMYFUNCTION("""COMPUTED_VALUE"""),"video/mp4 – A video file containing moving images and possibly audio, suitable for playback on most modern devices and platforms.")</f>
        <v/>
      </c>
      <c r="F537" s="7" t="n"/>
      <c r="G537" s="8" t="n">
        <v>1</v>
      </c>
      <c r="H537" s="8" t="n">
        <v>0</v>
      </c>
      <c r="I537" s="8" t="n">
        <v>0</v>
      </c>
      <c r="J537" s="8" t="n">
        <v>0</v>
      </c>
      <c r="K537" s="9" t="n">
        <v>1</v>
      </c>
      <c r="L537" s="9" t="n">
        <v>0</v>
      </c>
      <c r="M537" s="9" t="n">
        <v>0</v>
      </c>
      <c r="N537" s="9" t="n">
        <v>0</v>
      </c>
      <c r="O537" s="10" t="n">
        <v>1</v>
      </c>
      <c r="P537" s="10" t="n">
        <v>0</v>
      </c>
      <c r="Q537" s="10" t="n">
        <v>0</v>
      </c>
      <c r="R537" s="10" t="n">
        <v>0</v>
      </c>
      <c r="S537" s="10" t="n">
        <v>0</v>
      </c>
    </row>
    <row r="538" ht="329" customHeight="1">
      <c r="A538" s="6">
        <f>IFERROR(__xludf.DUMMYFUNCTION("""COMPUTED_VALUE"""),"Bending of Light")</f>
        <v/>
      </c>
      <c r="B538" s="6">
        <f>IFERROR(__xludf.DUMMYFUNCTION("""COMPUTED_VALUE"""),"Application")</f>
        <v/>
      </c>
      <c r="C538" s="6">
        <f>IFERROR(__xludf.DUMMYFUNCTION("""COMPUTED_VALUE"""),"Input Box")</f>
        <v/>
      </c>
      <c r="D538" s="7">
        <f>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
      </c>
      <c r="E5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38" s="7" t="n"/>
      <c r="G538" s="8" t="n">
        <v>0</v>
      </c>
      <c r="H538" s="8" t="n">
        <v>0</v>
      </c>
      <c r="I538" s="8" t="n">
        <v>0</v>
      </c>
      <c r="J538" s="8" t="n">
        <v>1</v>
      </c>
      <c r="K538" s="9" t="n">
        <v>0</v>
      </c>
      <c r="L538" s="9" t="n">
        <v>1</v>
      </c>
      <c r="M538" s="9" t="n">
        <v>1</v>
      </c>
      <c r="N538" s="9" t="n">
        <v>0</v>
      </c>
      <c r="O538" s="10" t="n">
        <v>1</v>
      </c>
      <c r="P538" s="10" t="n">
        <v>0</v>
      </c>
      <c r="Q538" s="10" t="n">
        <v>0</v>
      </c>
      <c r="R538" s="10" t="n">
        <v>0</v>
      </c>
      <c r="S538" s="10" t="n">
        <v>1</v>
      </c>
    </row>
    <row r="539" ht="409.5" customHeight="1">
      <c r="A539" s="6">
        <f>IFERROR(__xludf.DUMMYFUNCTION("""COMPUTED_VALUE"""),"Bending of Light")</f>
        <v/>
      </c>
      <c r="B539" s="6">
        <f>IFERROR(__xludf.DUMMYFUNCTION("""COMPUTED_VALUE"""),"Space")</f>
        <v/>
      </c>
      <c r="C539" s="6">
        <f>IFERROR(__xludf.DUMMYFUNCTION("""COMPUTED_VALUE"""),"Conceptualisation")</f>
        <v/>
      </c>
      <c r="D539" s="7">
        <f>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
      </c>
      <c r="E539" s="7">
        <f>IFERROR(__xludf.DUMMYFUNCTION("""COMPUTED_VALUE"""),"No artifact embedded")</f>
        <v/>
      </c>
      <c r="F539" s="7" t="n"/>
      <c r="G539" s="8" t="n">
        <v>0</v>
      </c>
      <c r="H539" s="8" t="n">
        <v>0</v>
      </c>
      <c r="I539" s="8" t="n">
        <v>0</v>
      </c>
      <c r="J539" s="8" t="n">
        <v>1</v>
      </c>
      <c r="K539" s="9" t="n">
        <v>0</v>
      </c>
      <c r="L539" s="9" t="n">
        <v>1</v>
      </c>
      <c r="M539" s="9" t="n">
        <v>1</v>
      </c>
      <c r="N539" s="9" t="n">
        <v>0</v>
      </c>
      <c r="O539" s="10" t="n">
        <v>0</v>
      </c>
      <c r="P539" s="10" t="n">
        <v>0</v>
      </c>
      <c r="Q539" s="10" t="n">
        <v>0</v>
      </c>
      <c r="R539" s="10" t="n">
        <v>0</v>
      </c>
      <c r="S539" s="10" t="n">
        <v>1</v>
      </c>
    </row>
    <row r="540" ht="49" customHeight="1">
      <c r="A540" s="6">
        <f>IFERROR(__xludf.DUMMYFUNCTION("""COMPUTED_VALUE"""),"Bending of Light")</f>
        <v/>
      </c>
      <c r="B540" s="6">
        <f>IFERROR(__xludf.DUMMYFUNCTION("""COMPUTED_VALUE"""),"Application")</f>
        <v/>
      </c>
      <c r="C540" s="6">
        <f>IFERROR(__xludf.DUMMYFUNCTION("""COMPUTED_VALUE"""),"Padlet")</f>
        <v/>
      </c>
      <c r="D540" s="7">
        <f>IFERROR(__xludf.DUMMYFUNCTION("""COMPUTED_VALUE"""),"No task description")</f>
        <v/>
      </c>
      <c r="E540" s="7">
        <f>IFERROR(__xludf.DUMMYFUNCTION("""COMPUTED_VALUE"""),"Golabz app/lab: Wrong URL. Impossible to access it")</f>
        <v/>
      </c>
      <c r="F540" s="7" t="n"/>
      <c r="G540" s="8" t="n">
        <v>0</v>
      </c>
      <c r="H540" s="8" t="n">
        <v>0</v>
      </c>
      <c r="I540" s="8" t="n">
        <v>0</v>
      </c>
      <c r="J540" s="8" t="n">
        <v>0</v>
      </c>
      <c r="K540" s="9" t="n">
        <v>0</v>
      </c>
      <c r="L540" s="9" t="n">
        <v>0</v>
      </c>
      <c r="M540" s="9" t="n">
        <v>0</v>
      </c>
      <c r="N540" s="9" t="n">
        <v>0</v>
      </c>
      <c r="O540" s="10" t="n">
        <v>0</v>
      </c>
      <c r="P540" s="10" t="n">
        <v>0</v>
      </c>
      <c r="Q540" s="10" t="n">
        <v>0</v>
      </c>
      <c r="R540" s="10" t="n">
        <v>0</v>
      </c>
      <c r="S540" s="10" t="n">
        <v>0</v>
      </c>
    </row>
    <row r="541" ht="409.5" customHeight="1">
      <c r="A541" s="6">
        <f>IFERROR(__xludf.DUMMYFUNCTION("""COMPUTED_VALUE"""),"Bending of Light")</f>
        <v/>
      </c>
      <c r="B541" s="6">
        <f>IFERROR(__xludf.DUMMYFUNCTION("""COMPUTED_VALUE"""),"Application")</f>
        <v/>
      </c>
      <c r="C541" s="6">
        <f>IFERROR(__xludf.DUMMYFUNCTION("""COMPUTED_VALUE"""),"Concept Mapper")</f>
        <v/>
      </c>
      <c r="D541" s="7">
        <f>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
      </c>
      <c r="E54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541" s="7" t="n"/>
      <c r="G541" s="8" t="n">
        <v>0</v>
      </c>
      <c r="H541" s="8" t="n">
        <v>0</v>
      </c>
      <c r="I541" s="8" t="n">
        <v>1</v>
      </c>
      <c r="J541" s="8" t="n">
        <v>0</v>
      </c>
      <c r="K541" s="9" t="n">
        <v>0</v>
      </c>
      <c r="L541" s="9" t="n">
        <v>1</v>
      </c>
      <c r="M541" s="9" t="n">
        <v>0</v>
      </c>
      <c r="N541" s="9" t="n">
        <v>0</v>
      </c>
      <c r="O541" s="10" t="n">
        <v>1</v>
      </c>
      <c r="P541" s="10" t="n">
        <v>1</v>
      </c>
      <c r="Q541" s="10" t="n">
        <v>0</v>
      </c>
      <c r="R541" s="10" t="n">
        <v>0</v>
      </c>
      <c r="S541" s="10" t="n">
        <v>0</v>
      </c>
    </row>
    <row r="542" ht="409.5" customHeight="1">
      <c r="A542" s="6">
        <f>IFERROR(__xludf.DUMMYFUNCTION("""COMPUTED_VALUE"""),"Bending of Light")</f>
        <v/>
      </c>
      <c r="B542" s="6">
        <f>IFERROR(__xludf.DUMMYFUNCTION("""COMPUTED_VALUE"""),"Application")</f>
        <v/>
      </c>
      <c r="C542" s="6">
        <f>IFERROR(__xludf.DUMMYFUNCTION("""COMPUTED_VALUE"""),"Hypothesis Scratchpad")</f>
        <v/>
      </c>
      <c r="D542" s="7">
        <f>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
      </c>
      <c r="E5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542" s="7" t="n"/>
      <c r="G542" s="8" t="n">
        <v>0</v>
      </c>
      <c r="H542" s="8" t="n">
        <v>0</v>
      </c>
      <c r="I542" s="8" t="n">
        <v>1</v>
      </c>
      <c r="J542" s="8" t="n">
        <v>0</v>
      </c>
      <c r="K542" s="9" t="n">
        <v>0</v>
      </c>
      <c r="L542" s="9" t="n">
        <v>1</v>
      </c>
      <c r="M542" s="9" t="n">
        <v>0</v>
      </c>
      <c r="N542" s="9" t="n">
        <v>0</v>
      </c>
      <c r="O542" s="10" t="n">
        <v>1</v>
      </c>
      <c r="P542" s="10" t="n">
        <v>1</v>
      </c>
      <c r="Q542" s="10" t="n">
        <v>0</v>
      </c>
      <c r="R542" s="10" t="n">
        <v>0</v>
      </c>
      <c r="S542" s="10" t="n">
        <v>0</v>
      </c>
    </row>
    <row r="543" ht="73" customHeight="1">
      <c r="A543" s="6">
        <f>IFERROR(__xludf.DUMMYFUNCTION("""COMPUTED_VALUE"""),"Bending of Light")</f>
        <v/>
      </c>
      <c r="B543" s="6">
        <f>IFERROR(__xludf.DUMMYFUNCTION("""COMPUTED_VALUE"""),"Application")</f>
        <v/>
      </c>
      <c r="C543" s="6">
        <f>IFERROR(__xludf.DUMMYFUNCTION("""COMPUTED_VALUE"""),"Padlet (1)")</f>
        <v/>
      </c>
      <c r="D543" s="7">
        <f>IFERROR(__xludf.DUMMYFUNCTION("""COMPUTED_VALUE"""),"&lt;p&gt;Share your hypothesis on padlet wall below.  After discussion, you can &lt;/p&gt;")</f>
        <v/>
      </c>
      <c r="E543" s="7">
        <f>IFERROR(__xludf.DUMMYFUNCTION("""COMPUTED_VALUE"""),"Golabz app/lab: Wrong URL. Impossible to access it")</f>
        <v/>
      </c>
      <c r="F543" s="7" t="n"/>
      <c r="G543" s="8" t="n">
        <v>0</v>
      </c>
      <c r="H543" s="8" t="n">
        <v>0</v>
      </c>
      <c r="I543" s="8" t="n">
        <v>0</v>
      </c>
      <c r="J543" s="8" t="n">
        <v>1</v>
      </c>
      <c r="K543" s="9" t="n">
        <v>0</v>
      </c>
      <c r="L543" s="9" t="n">
        <v>1</v>
      </c>
      <c r="M543" s="9" t="n">
        <v>1</v>
      </c>
      <c r="N543" s="9" t="n">
        <v>0</v>
      </c>
      <c r="O543" s="10" t="n">
        <v>0</v>
      </c>
      <c r="P543" s="10" t="n">
        <v>1</v>
      </c>
      <c r="Q543" s="10" t="n">
        <v>0</v>
      </c>
      <c r="R543" s="10" t="n">
        <v>0</v>
      </c>
      <c r="S543" s="10" t="n">
        <v>1</v>
      </c>
    </row>
    <row r="544" ht="263" customHeight="1">
      <c r="A544" s="6">
        <f>IFERROR(__xludf.DUMMYFUNCTION("""COMPUTED_VALUE"""),"Bending of Light")</f>
        <v/>
      </c>
      <c r="B544" s="6">
        <f>IFERROR(__xludf.DUMMYFUNCTION("""COMPUTED_VALUE"""),"Space")</f>
        <v/>
      </c>
      <c r="C544" s="6">
        <f>IFERROR(__xludf.DUMMYFUNCTION("""COMPUTED_VALUE"""),"Investigation")</f>
        <v/>
      </c>
      <c r="D544" s="7">
        <f>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
      </c>
      <c r="E544" s="7">
        <f>IFERROR(__xludf.DUMMYFUNCTION("""COMPUTED_VALUE"""),"No artifact embedded")</f>
        <v/>
      </c>
      <c r="F544" s="7" t="n"/>
      <c r="G544" s="8" t="n">
        <v>0</v>
      </c>
      <c r="H544" s="8" t="n">
        <v>0</v>
      </c>
      <c r="I544" s="8" t="n">
        <v>0</v>
      </c>
      <c r="J544" s="8" t="n">
        <v>1</v>
      </c>
      <c r="K544" s="9" t="n">
        <v>0</v>
      </c>
      <c r="L544" s="9" t="n">
        <v>1</v>
      </c>
      <c r="M544" s="9" t="n">
        <v>1</v>
      </c>
      <c r="N544" s="9" t="n">
        <v>0</v>
      </c>
      <c r="O544" s="10" t="n">
        <v>0</v>
      </c>
      <c r="P544" s="10" t="n">
        <v>0</v>
      </c>
      <c r="Q544" s="10" t="n">
        <v>1</v>
      </c>
      <c r="R544" s="10" t="n">
        <v>0</v>
      </c>
      <c r="S544" s="10" t="n">
        <v>1</v>
      </c>
    </row>
    <row r="545" ht="49" customHeight="1">
      <c r="A545" s="6">
        <f>IFERROR(__xludf.DUMMYFUNCTION("""COMPUTED_VALUE"""),"Bending of Light")</f>
        <v/>
      </c>
      <c r="B545" s="6">
        <f>IFERROR(__xludf.DUMMYFUNCTION("""COMPUTED_VALUE"""),"Application")</f>
        <v/>
      </c>
      <c r="C545" s="6">
        <f>IFERROR(__xludf.DUMMYFUNCTION("""COMPUTED_VALUE"""),"Padlet")</f>
        <v/>
      </c>
      <c r="D545" s="7">
        <f>IFERROR(__xludf.DUMMYFUNCTION("""COMPUTED_VALUE"""),"No task description")</f>
        <v/>
      </c>
      <c r="E545" s="7">
        <f>IFERROR(__xludf.DUMMYFUNCTION("""COMPUTED_VALUE"""),"Golabz app/lab: Wrong URL. Impossible to access it")</f>
        <v/>
      </c>
      <c r="F545" s="7" t="n"/>
      <c r="G545" s="8" t="n">
        <v>0</v>
      </c>
      <c r="H545" s="8" t="n">
        <v>0</v>
      </c>
      <c r="I545" s="8" t="n">
        <v>0</v>
      </c>
      <c r="J545" s="8" t="n">
        <v>0</v>
      </c>
      <c r="K545" s="9" t="n">
        <v>0</v>
      </c>
      <c r="L545" s="9" t="n">
        <v>0</v>
      </c>
      <c r="M545" s="9" t="n">
        <v>0</v>
      </c>
      <c r="N545" s="9" t="n">
        <v>0</v>
      </c>
      <c r="O545" s="10" t="n">
        <v>0</v>
      </c>
      <c r="P545" s="10" t="n">
        <v>0</v>
      </c>
      <c r="Q545" s="10" t="n">
        <v>0</v>
      </c>
      <c r="R545" s="10" t="n">
        <v>0</v>
      </c>
      <c r="S545" s="10" t="n">
        <v>0</v>
      </c>
    </row>
    <row r="546" ht="409.5" customHeight="1">
      <c r="A546" s="6">
        <f>IFERROR(__xludf.DUMMYFUNCTION("""COMPUTED_VALUE"""),"Bending of Light")</f>
        <v/>
      </c>
      <c r="B546" s="6">
        <f>IFERROR(__xludf.DUMMYFUNCTION("""COMPUTED_VALUE"""),"Application")</f>
        <v/>
      </c>
      <c r="C546" s="6">
        <f>IFERROR(__xludf.DUMMYFUNCTION("""COMPUTED_VALUE"""),"Experiment Design Tool")</f>
        <v/>
      </c>
      <c r="D546" s="7">
        <f>IFERROR(__xludf.DUMMYFUNCTION("""COMPUTED_VALUE"""),"&lt;p&gt;Now, you will use the Experiment Design tool to plan and design your experiments. Follow the step by step instructions in order to complete your experiment&lt;/p&gt;&lt;p&gt;&lt;br&gt;&lt;/p&gt;")</f>
        <v/>
      </c>
      <c r="E546"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546" s="7" t="n"/>
      <c r="G546" s="8" t="n">
        <v>0</v>
      </c>
      <c r="H546" s="8" t="n">
        <v>0</v>
      </c>
      <c r="I546" s="8" t="n">
        <v>1</v>
      </c>
      <c r="J546" s="8" t="n">
        <v>0</v>
      </c>
      <c r="K546" s="9" t="n">
        <v>0</v>
      </c>
      <c r="L546" s="9" t="n">
        <v>1</v>
      </c>
      <c r="M546" s="9" t="n">
        <v>0</v>
      </c>
      <c r="N546" s="9" t="n">
        <v>0</v>
      </c>
      <c r="O546" s="10" t="n">
        <v>0</v>
      </c>
      <c r="P546" s="10" t="n">
        <v>0</v>
      </c>
      <c r="Q546" s="10" t="n">
        <v>1</v>
      </c>
      <c r="R546" s="10" t="n">
        <v>0</v>
      </c>
      <c r="S546" s="10" t="n">
        <v>0</v>
      </c>
    </row>
    <row r="547" ht="145" customHeight="1">
      <c r="A547" s="6">
        <f>IFERROR(__xludf.DUMMYFUNCTION("""COMPUTED_VALUE"""),"Bending of Light")</f>
        <v/>
      </c>
      <c r="B547" s="6">
        <f>IFERROR(__xludf.DUMMYFUNCTION("""COMPUTED_VALUE"""),"Resource")</f>
        <v/>
      </c>
      <c r="C547" s="6">
        <f>IFERROR(__xludf.DUMMYFUNCTION("""COMPUTED_VALUE"""),"Recording #1.mp4")</f>
        <v/>
      </c>
      <c r="D547" s="7">
        <f>IFERROR(__xludf.DUMMYFUNCTION("""COMPUTED_VALUE"""),"&lt;p&gt;Watch the video below in order to familiarize yourself with the Experiment Lab .In this video you will see how to use the lab equipment to perform your experiments.&lt;/p&gt;")</f>
        <v/>
      </c>
      <c r="E547" s="7">
        <f>IFERROR(__xludf.DUMMYFUNCTION("""COMPUTED_VALUE"""),"video/mp4 – A video file containing moving images and possibly audio, suitable for playback on most modern devices and platforms.")</f>
        <v/>
      </c>
      <c r="F547" s="7" t="n"/>
      <c r="G547" s="8" t="n">
        <v>1</v>
      </c>
      <c r="H547" s="8" t="n">
        <v>0</v>
      </c>
      <c r="I547" s="8" t="n">
        <v>0</v>
      </c>
      <c r="J547" s="8" t="n">
        <v>0</v>
      </c>
      <c r="K547" s="9" t="n">
        <v>1</v>
      </c>
      <c r="L547" s="9" t="n">
        <v>0</v>
      </c>
      <c r="M547" s="9" t="n">
        <v>0</v>
      </c>
      <c r="N547" s="9" t="n">
        <v>0</v>
      </c>
      <c r="O547" s="10" t="n">
        <v>1</v>
      </c>
      <c r="P547" s="10" t="n">
        <v>0</v>
      </c>
      <c r="Q547" s="10" t="n">
        <v>1</v>
      </c>
      <c r="R547" s="10" t="n">
        <v>0</v>
      </c>
      <c r="S547" s="10" t="n">
        <v>0</v>
      </c>
    </row>
    <row r="548" ht="205" customHeight="1">
      <c r="A548" s="6">
        <f>IFERROR(__xludf.DUMMYFUNCTION("""COMPUTED_VALUE"""),"Bending of Light")</f>
        <v/>
      </c>
      <c r="B548" s="6">
        <f>IFERROR(__xludf.DUMMYFUNCTION("""COMPUTED_VALUE"""),"Application")</f>
        <v/>
      </c>
      <c r="C548" s="6">
        <f>IFERROR(__xludf.DUMMYFUNCTION("""COMPUTED_VALUE"""),"Bending Light")</f>
        <v/>
      </c>
      <c r="D548" s="7">
        <f>IFERROR(__xludf.DUMMYFUNCTION("""COMPUTED_VALUE"""),"&lt;p&gt;This is your Bending Light Lab. You can now perform the experiments you just designed.&lt;/p&gt;")</f>
        <v/>
      </c>
      <c r="E548"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548" s="7" t="n"/>
      <c r="G548" s="8" t="n">
        <v>0</v>
      </c>
      <c r="H548" s="8" t="n">
        <v>1</v>
      </c>
      <c r="I548" s="8" t="n">
        <v>0</v>
      </c>
      <c r="J548" s="8" t="n">
        <v>0</v>
      </c>
      <c r="K548" s="9" t="n">
        <v>1</v>
      </c>
      <c r="L548" s="9" t="n">
        <v>0</v>
      </c>
      <c r="M548" s="9" t="n">
        <v>0</v>
      </c>
      <c r="N548" s="9" t="n">
        <v>0</v>
      </c>
      <c r="O548" s="10" t="n">
        <v>0</v>
      </c>
      <c r="P548" s="10" t="n">
        <v>0</v>
      </c>
      <c r="Q548" s="10" t="n">
        <v>1</v>
      </c>
      <c r="R548" s="10" t="n">
        <v>0</v>
      </c>
      <c r="S548" s="10" t="n">
        <v>0</v>
      </c>
    </row>
    <row r="549" ht="329" customHeight="1">
      <c r="A549" s="6">
        <f>IFERROR(__xludf.DUMMYFUNCTION("""COMPUTED_VALUE"""),"Bending of Light")</f>
        <v/>
      </c>
      <c r="B549" s="6">
        <f>IFERROR(__xludf.DUMMYFUNCTION("""COMPUTED_VALUE"""),"Application")</f>
        <v/>
      </c>
      <c r="C549" s="6">
        <f>IFERROR(__xludf.DUMMYFUNCTION("""COMPUTED_VALUE"""),"Input Box")</f>
        <v/>
      </c>
      <c r="D549" s="7">
        <f>IFERROR(__xludf.DUMMYFUNCTION("""COMPUTED_VALUE"""),"&lt;p&gt;If any of their experimental design was not supported by the Phet simulation, Please write your requirements in the space provided below and inform your teacher.&lt;/p&gt;")</f>
        <v/>
      </c>
      <c r="E5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49" s="7" t="n"/>
      <c r="G549" s="8" t="n">
        <v>0</v>
      </c>
      <c r="H549" s="8" t="n">
        <v>0</v>
      </c>
      <c r="I549" s="8" t="n">
        <v>0</v>
      </c>
      <c r="J549" s="8" t="n">
        <v>1</v>
      </c>
      <c r="K549" s="9" t="n">
        <v>0</v>
      </c>
      <c r="L549" s="9" t="n">
        <v>1</v>
      </c>
      <c r="M549" s="9" t="n">
        <v>0</v>
      </c>
      <c r="N549" s="9" t="n">
        <v>0</v>
      </c>
      <c r="O549" s="10" t="n">
        <v>0</v>
      </c>
      <c r="P549" s="10" t="n">
        <v>0</v>
      </c>
      <c r="Q549" s="10" t="n">
        <v>1</v>
      </c>
      <c r="R549" s="10" t="n">
        <v>0</v>
      </c>
      <c r="S549" s="10" t="n">
        <v>1</v>
      </c>
    </row>
    <row r="550" ht="395" customHeight="1">
      <c r="A550" s="6">
        <f>IFERROR(__xludf.DUMMYFUNCTION("""COMPUTED_VALUE"""),"Bending of Light")</f>
        <v/>
      </c>
      <c r="B550" s="6">
        <f>IFERROR(__xludf.DUMMYFUNCTION("""COMPUTED_VALUE"""),"Application")</f>
        <v/>
      </c>
      <c r="C550" s="6">
        <f>IFERROR(__xludf.DUMMYFUNCTION("""COMPUTED_VALUE"""),"Observation Tool")</f>
        <v/>
      </c>
      <c r="D550" s="7">
        <f>IFERROR(__xludf.DUMMYFUNCTION("""COMPUTED_VALUE"""),"&lt;p&gt;&lt;br&gt;&lt;/p&gt;&lt;p&gt;Write your Observations using the Observation tool below. Click on ""?"" to know how to use the tool.&lt;/p&gt;")</f>
        <v/>
      </c>
      <c r="E55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550" s="7" t="n"/>
      <c r="G550" s="8" t="n">
        <v>0</v>
      </c>
      <c r="H550" s="8" t="n">
        <v>0</v>
      </c>
      <c r="I550" s="8" t="n">
        <v>1</v>
      </c>
      <c r="J550" s="8" t="n">
        <v>0</v>
      </c>
      <c r="K550" s="9" t="n">
        <v>0</v>
      </c>
      <c r="L550" s="9" t="n">
        <v>1</v>
      </c>
      <c r="M550" s="9" t="n">
        <v>0</v>
      </c>
      <c r="N550" s="9" t="n">
        <v>0</v>
      </c>
      <c r="O550" s="10" t="n">
        <v>0</v>
      </c>
      <c r="P550" s="10" t="n">
        <v>0</v>
      </c>
      <c r="Q550" s="10" t="n">
        <v>1</v>
      </c>
      <c r="R550" s="10" t="n">
        <v>0</v>
      </c>
      <c r="S550" s="10" t="n">
        <v>0</v>
      </c>
    </row>
    <row r="551" ht="296" customHeight="1">
      <c r="A551" s="6">
        <f>IFERROR(__xludf.DUMMYFUNCTION("""COMPUTED_VALUE"""),"Bending of Light")</f>
        <v/>
      </c>
      <c r="B551" s="6">
        <f>IFERROR(__xludf.DUMMYFUNCTION("""COMPUTED_VALUE"""),"Space")</f>
        <v/>
      </c>
      <c r="C551" s="6">
        <f>IFERROR(__xludf.DUMMYFUNCTION("""COMPUTED_VALUE"""),"Data Interpretation")</f>
        <v/>
      </c>
      <c r="D551" s="7">
        <f>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
      </c>
      <c r="E551" s="7">
        <f>IFERROR(__xludf.DUMMYFUNCTION("""COMPUTED_VALUE"""),"No artifact embedded")</f>
        <v/>
      </c>
      <c r="F551" s="7" t="n"/>
      <c r="G551" s="8" t="n">
        <v>0</v>
      </c>
      <c r="H551" s="8" t="n">
        <v>0</v>
      </c>
      <c r="I551" s="8" t="n">
        <v>1</v>
      </c>
      <c r="J551" s="8" t="n">
        <v>0</v>
      </c>
      <c r="K551" s="9" t="n">
        <v>0</v>
      </c>
      <c r="L551" s="9" t="n">
        <v>1</v>
      </c>
      <c r="M551" s="9" t="n">
        <v>0</v>
      </c>
      <c r="N551" s="9" t="n">
        <v>0</v>
      </c>
      <c r="O551" s="10" t="n">
        <v>1</v>
      </c>
      <c r="P551" s="10" t="n">
        <v>0</v>
      </c>
      <c r="Q551" s="10" t="n">
        <v>1</v>
      </c>
      <c r="R551" s="10" t="n">
        <v>0</v>
      </c>
      <c r="S551" s="10" t="n">
        <v>0</v>
      </c>
    </row>
    <row r="552" ht="409.5" customHeight="1">
      <c r="A552" s="6">
        <f>IFERROR(__xludf.DUMMYFUNCTION("""COMPUTED_VALUE"""),"Bending of Light")</f>
        <v/>
      </c>
      <c r="B552" s="6">
        <f>IFERROR(__xludf.DUMMYFUNCTION("""COMPUTED_VALUE"""),"Application")</f>
        <v/>
      </c>
      <c r="C552" s="6">
        <f>IFERROR(__xludf.DUMMYFUNCTION("""COMPUTED_VALUE"""),"Data Viewer")</f>
        <v/>
      </c>
      <c r="D552" s="7">
        <f>IFERROR(__xludf.DUMMYFUNCTION("""COMPUTED_VALUE"""),"No task description")</f>
        <v/>
      </c>
      <c r="E552"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552" s="7" t="n"/>
      <c r="G552" s="8" t="n">
        <v>0</v>
      </c>
      <c r="H552" s="8" t="n">
        <v>1</v>
      </c>
      <c r="I552" s="8" t="n">
        <v>0</v>
      </c>
      <c r="J552" s="8" t="n">
        <v>0</v>
      </c>
      <c r="K552" s="9" t="n">
        <v>1</v>
      </c>
      <c r="L552" s="9" t="n">
        <v>0</v>
      </c>
      <c r="M552" s="9" t="n">
        <v>0</v>
      </c>
      <c r="N552" s="9" t="n">
        <v>0</v>
      </c>
      <c r="O552" s="10" t="n">
        <v>0</v>
      </c>
      <c r="P552" s="10" t="n">
        <v>0</v>
      </c>
      <c r="Q552" s="10" t="n">
        <v>1</v>
      </c>
      <c r="R552" s="10" t="n">
        <v>0</v>
      </c>
      <c r="S552" s="10" t="n">
        <v>0</v>
      </c>
    </row>
    <row r="553" ht="329" customHeight="1">
      <c r="A553" s="6">
        <f>IFERROR(__xludf.DUMMYFUNCTION("""COMPUTED_VALUE"""),"Bending of Light")</f>
        <v/>
      </c>
      <c r="B553" s="6">
        <f>IFERROR(__xludf.DUMMYFUNCTION("""COMPUTED_VALUE"""),"Application")</f>
        <v/>
      </c>
      <c r="C553" s="6">
        <f>IFERROR(__xludf.DUMMYFUNCTION("""COMPUTED_VALUE"""),"Input Box")</f>
        <v/>
      </c>
      <c r="D553" s="7">
        <f>IFERROR(__xludf.DUMMYFUNCTION("""COMPUTED_VALUE"""),"&lt;p&gt;Interpret your data trying to find relations among variables. If you don't have enough data, return to the Experimentation phase and collect more data. Write your interpretation in the text box below.&lt;/p&gt;")</f>
        <v/>
      </c>
      <c r="E5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53" s="7" t="n"/>
      <c r="G553" s="8" t="n">
        <v>0</v>
      </c>
      <c r="H553" s="8" t="n">
        <v>0</v>
      </c>
      <c r="I553" s="8" t="n">
        <v>1</v>
      </c>
      <c r="J553" s="8" t="n">
        <v>0</v>
      </c>
      <c r="K553" s="9" t="n">
        <v>0</v>
      </c>
      <c r="L553" s="9" t="n">
        <v>1</v>
      </c>
      <c r="M553" s="9" t="n">
        <v>0</v>
      </c>
      <c r="N553" s="9" t="n">
        <v>0</v>
      </c>
      <c r="O553" s="10" t="n">
        <v>0</v>
      </c>
      <c r="P553" s="10" t="n">
        <v>0</v>
      </c>
      <c r="Q553" s="10" t="n">
        <v>1</v>
      </c>
      <c r="R553" s="10" t="n">
        <v>0</v>
      </c>
      <c r="S553" s="10" t="n">
        <v>0</v>
      </c>
    </row>
    <row r="554" ht="340" customHeight="1">
      <c r="A554" s="6">
        <f>IFERROR(__xludf.DUMMYFUNCTION("""COMPUTED_VALUE"""),"Bending of Light")</f>
        <v/>
      </c>
      <c r="B554" s="6">
        <f>IFERROR(__xludf.DUMMYFUNCTION("""COMPUTED_VALUE"""),"Space")</f>
        <v/>
      </c>
      <c r="C554" s="6">
        <f>IFERROR(__xludf.DUMMYFUNCTION("""COMPUTED_VALUE"""),"Conclusion")</f>
        <v/>
      </c>
      <c r="D554" s="7">
        <f>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
      </c>
      <c r="E554" s="7">
        <f>IFERROR(__xludf.DUMMYFUNCTION("""COMPUTED_VALUE"""),"No artifact embedded")</f>
        <v/>
      </c>
      <c r="F554" s="7" t="n"/>
      <c r="G554" s="8" t="n">
        <v>0</v>
      </c>
      <c r="H554" s="8" t="n">
        <v>0</v>
      </c>
      <c r="I554" s="8" t="n">
        <v>1</v>
      </c>
      <c r="J554" s="8" t="n">
        <v>0</v>
      </c>
      <c r="K554" s="9" t="n">
        <v>0</v>
      </c>
      <c r="L554" s="9" t="n">
        <v>1</v>
      </c>
      <c r="M554" s="9" t="n">
        <v>0</v>
      </c>
      <c r="N554" s="9" t="n">
        <v>0</v>
      </c>
      <c r="O554" s="10" t="n">
        <v>0</v>
      </c>
      <c r="P554" s="10" t="n">
        <v>0</v>
      </c>
      <c r="Q554" s="10" t="n">
        <v>0</v>
      </c>
      <c r="R554" s="10" t="n">
        <v>1</v>
      </c>
      <c r="S554" s="10" t="n">
        <v>0</v>
      </c>
    </row>
    <row r="555" ht="409.5" customHeight="1">
      <c r="A555" s="6">
        <f>IFERROR(__xludf.DUMMYFUNCTION("""COMPUTED_VALUE"""),"Bending of Light")</f>
        <v/>
      </c>
      <c r="B555" s="6">
        <f>IFERROR(__xludf.DUMMYFUNCTION("""COMPUTED_VALUE"""),"Application")</f>
        <v/>
      </c>
      <c r="C555" s="6">
        <f>IFERROR(__xludf.DUMMYFUNCTION("""COMPUTED_VALUE"""),"Conclusion Tool")</f>
        <v/>
      </c>
      <c r="D555" s="7">
        <f>IFERROR(__xludf.DUMMYFUNCTION("""COMPUTED_VALUE"""),"No task description")</f>
        <v/>
      </c>
      <c r="E555"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555" s="7" t="n"/>
      <c r="G555" s="8" t="n">
        <v>0</v>
      </c>
      <c r="H555" s="8" t="n">
        <v>0</v>
      </c>
      <c r="I555" s="8" t="n">
        <v>1</v>
      </c>
      <c r="J555" s="8" t="n">
        <v>0</v>
      </c>
      <c r="K555" s="9" t="n">
        <v>0</v>
      </c>
      <c r="L555" s="9" t="n">
        <v>1</v>
      </c>
      <c r="M555" s="9" t="n">
        <v>0</v>
      </c>
      <c r="N555" s="9" t="n">
        <v>0</v>
      </c>
      <c r="O555" s="10" t="n">
        <v>0</v>
      </c>
      <c r="P555" s="10" t="n">
        <v>0</v>
      </c>
      <c r="Q555" s="10" t="n">
        <v>0</v>
      </c>
      <c r="R555" s="10" t="n">
        <v>1</v>
      </c>
      <c r="S555" s="10" t="n">
        <v>0</v>
      </c>
    </row>
    <row r="556" ht="409.5" customHeight="1">
      <c r="A556" s="6">
        <f>IFERROR(__xludf.DUMMYFUNCTION("""COMPUTED_VALUE"""),"Bending of Light")</f>
        <v/>
      </c>
      <c r="B556" s="6">
        <f>IFERROR(__xludf.DUMMYFUNCTION("""COMPUTED_VALUE"""),"Application")</f>
        <v/>
      </c>
      <c r="C556" s="6">
        <f>IFERROR(__xludf.DUMMYFUNCTION("""COMPUTED_VALUE"""),"File Drop")</f>
        <v/>
      </c>
      <c r="D556" s="7">
        <f>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
      </c>
      <c r="E556" s="7">
        <f>IFERROR(__xludf.DUMMYFUNCTION("""COMPUTED_VALUE"""),"Golabz app/lab: ""&lt;p&gt;This app allows students to upload files, e.g., assignment and reports, to the Inquiry learning Space. The app also allows teachers to download the uploaded files.&lt;/p&gt;\r\n""")</f>
        <v/>
      </c>
      <c r="F556" s="7" t="n"/>
      <c r="G556" s="8" t="n">
        <v>0</v>
      </c>
      <c r="H556" s="8" t="n">
        <v>0</v>
      </c>
      <c r="I556" s="8" t="n">
        <v>1</v>
      </c>
      <c r="J556" s="8" t="n">
        <v>0</v>
      </c>
      <c r="K556" s="9" t="n">
        <v>0</v>
      </c>
      <c r="L556" s="9" t="n">
        <v>1</v>
      </c>
      <c r="M556" s="9" t="n">
        <v>0</v>
      </c>
      <c r="N556" s="9" t="n">
        <v>0</v>
      </c>
      <c r="O556" s="10" t="n">
        <v>1</v>
      </c>
      <c r="P556" s="10" t="n">
        <v>0</v>
      </c>
      <c r="Q556" s="10" t="n">
        <v>0</v>
      </c>
      <c r="R556" s="10" t="n">
        <v>1</v>
      </c>
      <c r="S556" s="10" t="n">
        <v>0</v>
      </c>
    </row>
    <row r="557" ht="97" customHeight="1">
      <c r="A557" s="6">
        <f>IFERROR(__xludf.DUMMYFUNCTION("""COMPUTED_VALUE"""),"Bending of Light")</f>
        <v/>
      </c>
      <c r="B557" s="6">
        <f>IFERROR(__xludf.DUMMYFUNCTION("""COMPUTED_VALUE"""),"Space")</f>
        <v/>
      </c>
      <c r="C557" s="6">
        <f>IFERROR(__xludf.DUMMYFUNCTION("""COMPUTED_VALUE"""),"Discussion")</f>
        <v/>
      </c>
      <c r="D557" s="7">
        <f>IFERROR(__xludf.DUMMYFUNCTION("""COMPUTED_VALUE"""),"&lt;p&gt;Please share your conclusions with you class teacher and your friends and find out what are their conclusions !!!&lt;/p&gt;")</f>
        <v/>
      </c>
      <c r="E557" s="7">
        <f>IFERROR(__xludf.DUMMYFUNCTION("""COMPUTED_VALUE"""),"No artifact embedded")</f>
        <v/>
      </c>
      <c r="F557" s="7" t="n"/>
      <c r="G557" s="8" t="n">
        <v>0</v>
      </c>
      <c r="H557" s="8" t="n">
        <v>0</v>
      </c>
      <c r="I557" s="8" t="n">
        <v>0</v>
      </c>
      <c r="J557" s="8" t="n">
        <v>1</v>
      </c>
      <c r="K557" s="9" t="n">
        <v>0</v>
      </c>
      <c r="L557" s="9" t="n">
        <v>0</v>
      </c>
      <c r="M557" s="9" t="n">
        <v>1</v>
      </c>
      <c r="N557" s="9" t="n">
        <v>0</v>
      </c>
      <c r="O557" s="10" t="n">
        <v>0</v>
      </c>
      <c r="P557" s="10" t="n">
        <v>0</v>
      </c>
      <c r="Q557" s="10" t="n">
        <v>0</v>
      </c>
      <c r="R557" s="10" t="n">
        <v>0</v>
      </c>
      <c r="S557" s="10" t="n">
        <v>1</v>
      </c>
    </row>
    <row r="558" ht="109" customHeight="1">
      <c r="A558" s="6">
        <f>IFERROR(__xludf.DUMMYFUNCTION("""COMPUTED_VALUE"""),"Bending of Light")</f>
        <v/>
      </c>
      <c r="B558" s="6">
        <f>IFERROR(__xludf.DUMMYFUNCTION("""COMPUTED_VALUE"""),"Topic")</f>
        <v/>
      </c>
      <c r="C558" s="6">
        <f>IFERROR(__xludf.DUMMYFUNCTION("""COMPUTED_VALUE"""),"Conclusions on Bending of Light")</f>
        <v/>
      </c>
      <c r="D558" s="7">
        <f>IFERROR(__xludf.DUMMYFUNCTION("""COMPUTED_VALUE"""),"Time to Discuss")</f>
        <v/>
      </c>
      <c r="E558" s="7">
        <f>IFERROR(__xludf.DUMMYFUNCTION("""COMPUTED_VALUE"""),"text/html – A webpage or web document that contains structured text, images, and links, designed for display in a web browser.")</f>
        <v/>
      </c>
      <c r="F558" s="7" t="n"/>
      <c r="G558" s="8" t="n">
        <v>0</v>
      </c>
      <c r="H558" s="8" t="n">
        <v>0</v>
      </c>
      <c r="I558" s="8" t="n">
        <v>0</v>
      </c>
      <c r="J558" s="8" t="n">
        <v>1</v>
      </c>
      <c r="K558" s="9" t="n">
        <v>0</v>
      </c>
      <c r="L558" s="9" t="n">
        <v>0</v>
      </c>
      <c r="M558" s="9" t="n">
        <v>1</v>
      </c>
      <c r="N558" s="9" t="n">
        <v>0</v>
      </c>
      <c r="O558" s="10" t="n">
        <v>0</v>
      </c>
      <c r="P558" s="10" t="n">
        <v>0</v>
      </c>
      <c r="Q558" s="10" t="n">
        <v>0</v>
      </c>
      <c r="R558" s="10" t="n">
        <v>0</v>
      </c>
      <c r="S558" s="10" t="n">
        <v>1</v>
      </c>
    </row>
    <row r="559" ht="229" customHeight="1">
      <c r="A559" s="6">
        <f>IFERROR(__xludf.DUMMYFUNCTION("""COMPUTED_VALUE"""),"Bending of Light")</f>
        <v/>
      </c>
      <c r="B559" s="6">
        <f>IFERROR(__xludf.DUMMYFUNCTION("""COMPUTED_VALUE"""),"Application")</f>
        <v/>
      </c>
      <c r="C559" s="6">
        <f>IFERROR(__xludf.DUMMYFUNCTION("""COMPUTED_VALUE"""),"Reflection Tool")</f>
        <v/>
      </c>
      <c r="D559" s="7">
        <f>IFERROR(__xludf.DUMMYFUNCTION("""COMPUTED_VALUE"""),"&lt;p&gt;In the Reflection phase you will engage in reflection activities which will help you to think critically about your learning process. In order to do so, you will use the Reflection Tool below.&lt;/p&gt;")</f>
        <v/>
      </c>
      <c r="E559"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559" s="7" t="n"/>
      <c r="G559" s="8" t="n">
        <v>1</v>
      </c>
      <c r="H559" s="8" t="n">
        <v>0</v>
      </c>
      <c r="I559" s="8" t="n">
        <v>0</v>
      </c>
      <c r="J559" s="8" t="n">
        <v>0</v>
      </c>
      <c r="K559" s="9" t="n">
        <v>1</v>
      </c>
      <c r="L559" s="9" t="n">
        <v>0</v>
      </c>
      <c r="M559" s="9" t="n">
        <v>0</v>
      </c>
      <c r="N559" s="9" t="n">
        <v>0</v>
      </c>
      <c r="O559" s="10" t="n">
        <v>0</v>
      </c>
      <c r="P559" s="10" t="n">
        <v>0</v>
      </c>
      <c r="Q559" s="10" t="n">
        <v>0</v>
      </c>
      <c r="R559" s="10" t="n">
        <v>0</v>
      </c>
      <c r="S559" s="10" t="n">
        <v>1</v>
      </c>
    </row>
    <row r="560" ht="25" customHeight="1">
      <c r="A560" s="6">
        <f>IFERROR(__xludf.DUMMYFUNCTION("""COMPUTED_VALUE"""),"Bending of Light")</f>
        <v/>
      </c>
      <c r="B560" s="6">
        <f>IFERROR(__xludf.DUMMYFUNCTION("""COMPUTED_VALUE"""),"Space")</f>
        <v/>
      </c>
      <c r="C560" s="6">
        <f>IFERROR(__xludf.DUMMYFUNCTION("""COMPUTED_VALUE"""),"QUIZ")</f>
        <v/>
      </c>
      <c r="D560" s="7">
        <f>IFERROR(__xludf.DUMMYFUNCTION("""COMPUTED_VALUE"""),"No task description")</f>
        <v/>
      </c>
      <c r="E560" s="7">
        <f>IFERROR(__xludf.DUMMYFUNCTION("""COMPUTED_VALUE"""),"No artifact embedded")</f>
        <v/>
      </c>
      <c r="F560" s="7" t="n"/>
      <c r="G560" s="8" t="n">
        <v>0</v>
      </c>
      <c r="H560" s="8" t="n">
        <v>0</v>
      </c>
      <c r="I560" s="8" t="n">
        <v>0</v>
      </c>
      <c r="J560" s="8" t="n">
        <v>0</v>
      </c>
      <c r="K560" s="9" t="n">
        <v>0</v>
      </c>
      <c r="L560" s="9" t="n">
        <v>0</v>
      </c>
      <c r="M560" s="9" t="n">
        <v>0</v>
      </c>
      <c r="N560" s="9" t="n">
        <v>0</v>
      </c>
      <c r="O560" s="10" t="n">
        <v>0</v>
      </c>
      <c r="P560" s="10" t="n">
        <v>0</v>
      </c>
      <c r="Q560" s="10" t="n">
        <v>0</v>
      </c>
      <c r="R560" s="10" t="n">
        <v>0</v>
      </c>
      <c r="S560" s="10" t="n">
        <v>0</v>
      </c>
    </row>
    <row r="561" ht="296" customHeight="1">
      <c r="A561" s="6">
        <f>IFERROR(__xludf.DUMMYFUNCTION("""COMPUTED_VALUE"""),"Bending of Light")</f>
        <v/>
      </c>
      <c r="B561" s="6">
        <f>IFERROR(__xludf.DUMMYFUNCTION("""COMPUTED_VALUE"""),"Application")</f>
        <v/>
      </c>
      <c r="C561" s="6">
        <f>IFERROR(__xludf.DUMMYFUNCTION("""COMPUTED_VALUE"""),"Quiz Tool")</f>
        <v/>
      </c>
      <c r="D561" s="7">
        <f>IFERROR(__xludf.DUMMYFUNCTION("""COMPUTED_VALUE"""),"No task description")</f>
        <v/>
      </c>
      <c r="E56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61" s="7" t="n"/>
      <c r="G561" s="8" t="n">
        <v>0</v>
      </c>
      <c r="H561" s="8" t="n">
        <v>0</v>
      </c>
      <c r="I561" s="8" t="n">
        <v>0</v>
      </c>
      <c r="J561" s="8" t="n">
        <v>1</v>
      </c>
      <c r="K561" s="9" t="n">
        <v>0</v>
      </c>
      <c r="L561" s="9" t="n">
        <v>1</v>
      </c>
      <c r="M561" s="9" t="n">
        <v>0</v>
      </c>
      <c r="N561" s="9" t="n">
        <v>0</v>
      </c>
      <c r="O561" s="10" t="n">
        <v>0</v>
      </c>
      <c r="P561" s="10" t="n">
        <v>0</v>
      </c>
      <c r="Q561" s="10" t="n">
        <v>0</v>
      </c>
      <c r="R561" s="10" t="n">
        <v>0</v>
      </c>
      <c r="S561" s="10" t="n">
        <v>1</v>
      </c>
    </row>
    <row r="562" ht="25" customHeight="1">
      <c r="A562" s="6">
        <f>IFERROR(__xludf.DUMMYFUNCTION("""COMPUTED_VALUE"""),"MATHS GROUP 3")</f>
        <v/>
      </c>
      <c r="B562" s="6">
        <f>IFERROR(__xludf.DUMMYFUNCTION("""COMPUTED_VALUE"""),"Space")</f>
        <v/>
      </c>
      <c r="C562" s="6">
        <f>IFERROR(__xludf.DUMMYFUNCTION("""COMPUTED_VALUE"""),"Orientation")</f>
        <v/>
      </c>
      <c r="D562" s="7">
        <f>IFERROR(__xludf.DUMMYFUNCTION("""COMPUTED_VALUE"""),"No task description")</f>
        <v/>
      </c>
      <c r="E562" s="7">
        <f>IFERROR(__xludf.DUMMYFUNCTION("""COMPUTED_VALUE"""),"No artifact embedded")</f>
        <v/>
      </c>
      <c r="F562" s="7" t="n"/>
      <c r="G562" s="8" t="n">
        <v>0</v>
      </c>
      <c r="H562" s="8" t="n">
        <v>0</v>
      </c>
      <c r="I562" s="8" t="n">
        <v>0</v>
      </c>
      <c r="J562" s="8" t="n">
        <v>0</v>
      </c>
      <c r="K562" s="9" t="n">
        <v>0</v>
      </c>
      <c r="L562" s="9" t="n">
        <v>0</v>
      </c>
      <c r="M562" s="9" t="n">
        <v>0</v>
      </c>
      <c r="N562" s="9" t="n">
        <v>0</v>
      </c>
      <c r="O562" s="10" t="n">
        <v>0</v>
      </c>
      <c r="P562" s="10" t="n">
        <v>0</v>
      </c>
      <c r="Q562" s="10" t="n">
        <v>0</v>
      </c>
      <c r="R562" s="10" t="n">
        <v>0</v>
      </c>
      <c r="S562" s="10" t="n">
        <v>0</v>
      </c>
    </row>
    <row r="563" ht="85" customHeight="1">
      <c r="A563" s="6">
        <f>IFERROR(__xludf.DUMMYFUNCTION("""COMPUTED_VALUE"""),"MATHS GROUP 3")</f>
        <v/>
      </c>
      <c r="B563" s="6">
        <f>IFERROR(__xludf.DUMMYFUNCTION("""COMPUTED_VALUE"""),"Resource")</f>
        <v/>
      </c>
      <c r="C563" s="6">
        <f>IFERROR(__xludf.DUMMYFUNCTION("""COMPUTED_VALUE"""),"Algebra.graasp")</f>
        <v/>
      </c>
      <c r="D563" s="7">
        <f>IFERROR(__xludf.DUMMYFUNCTION("""COMPUTED_VALUE"""),"&lt;p&gt;Today we will be learning Quadratic Equation &lt;/p&gt;&lt;p&gt;using the quadratic  formula.&lt;/p&gt;")</f>
        <v/>
      </c>
      <c r="E563" s="7">
        <f>IFERROR(__xludf.DUMMYFUNCTION("""COMPUTED_VALUE"""),"No artifact embedded")</f>
        <v/>
      </c>
      <c r="F563" s="7" t="n"/>
      <c r="G563" s="8" t="n">
        <v>1</v>
      </c>
      <c r="H563" s="8" t="n">
        <v>0</v>
      </c>
      <c r="I563" s="8" t="n">
        <v>0</v>
      </c>
      <c r="J563" s="8" t="n">
        <v>0</v>
      </c>
      <c r="K563" s="9" t="n">
        <v>1</v>
      </c>
      <c r="L563" s="9" t="n">
        <v>0</v>
      </c>
      <c r="M563" s="9" t="n">
        <v>0</v>
      </c>
      <c r="N563" s="9" t="n">
        <v>0</v>
      </c>
      <c r="O563" s="10" t="n">
        <v>1</v>
      </c>
      <c r="P563" s="10" t="n">
        <v>0</v>
      </c>
      <c r="Q563" s="10" t="n">
        <v>0</v>
      </c>
      <c r="R563" s="10" t="n">
        <v>0</v>
      </c>
      <c r="S563" s="10" t="n">
        <v>0</v>
      </c>
    </row>
    <row r="564" ht="97" customHeight="1">
      <c r="A564" s="6">
        <f>IFERROR(__xludf.DUMMYFUNCTION("""COMPUTED_VALUE"""),"MATHS GROUP 3")</f>
        <v/>
      </c>
      <c r="B564" s="6">
        <f>IFERROR(__xludf.DUMMYFUNCTION("""COMPUTED_VALUE"""),"Resource")</f>
        <v/>
      </c>
      <c r="C564" s="6">
        <f>IFERROR(__xludf.DUMMYFUNCTION("""COMPUTED_VALUE"""),"Quadratic_formula.png")</f>
        <v/>
      </c>
      <c r="D564" s="7">
        <f>IFERROR(__xludf.DUMMYFUNCTION("""COMPUTED_VALUE"""),"—b:"":\/ ()2 —4ac 2a")</f>
        <v/>
      </c>
      <c r="E564" s="7">
        <f>IFERROR(__xludf.DUMMYFUNCTION("""COMPUTED_VALUE"""),"image/png – A high-quality image with support for transparency, often used in design and web applications.")</f>
        <v/>
      </c>
      <c r="F564" s="7" t="n"/>
      <c r="G564" s="8" t="n">
        <v>1</v>
      </c>
      <c r="H564" s="8" t="n">
        <v>0</v>
      </c>
      <c r="I564" s="8" t="n">
        <v>0</v>
      </c>
      <c r="J564" s="8" t="n">
        <v>0</v>
      </c>
      <c r="K564" s="9" t="n">
        <v>1</v>
      </c>
      <c r="L564" s="9" t="n">
        <v>0</v>
      </c>
      <c r="M564" s="9" t="n">
        <v>0</v>
      </c>
      <c r="N564" s="9" t="n">
        <v>0</v>
      </c>
      <c r="O564" s="10" t="n">
        <v>0</v>
      </c>
      <c r="P564" s="10" t="n">
        <v>0</v>
      </c>
      <c r="Q564" s="10" t="n">
        <v>0</v>
      </c>
      <c r="R564" s="10" t="n">
        <v>0</v>
      </c>
      <c r="S564" s="10" t="n">
        <v>0</v>
      </c>
    </row>
    <row r="565" ht="97" customHeight="1">
      <c r="A565" s="6">
        <f>IFERROR(__xludf.DUMMYFUNCTION("""COMPUTED_VALUE"""),"MATHS GROUP 3")</f>
        <v/>
      </c>
      <c r="B565" s="6">
        <f>IFERROR(__xludf.DUMMYFUNCTION("""COMPUTED_VALUE"""),"Resource")</f>
        <v/>
      </c>
      <c r="C565" s="6">
        <f>IFERROR(__xludf.DUMMYFUNCTION("""COMPUTED_VALUE"""),"Solve Quadratic Equations using Quadratic Formula")</f>
        <v/>
      </c>
      <c r="D565" s="7">
        <f>IFERROR(__xludf.DUMMYFUNCTION("""COMPUTED_VALUE"""),"Visit http://MathMeeting.com for Free videos on the quadratic formula and all other topics in algebra.")</f>
        <v/>
      </c>
      <c r="E565" s="7">
        <f>IFERROR(__xludf.DUMMYFUNCTION("""COMPUTED_VALUE"""),"youtu.be: A shortened URL service for YouTube, leading to various videos on the platform.")</f>
        <v/>
      </c>
      <c r="F565" s="7" t="n"/>
      <c r="G565" s="8" t="n">
        <v>1</v>
      </c>
      <c r="H565" s="8" t="n">
        <v>0</v>
      </c>
      <c r="I565" s="8" t="n">
        <v>0</v>
      </c>
      <c r="J565" s="8" t="n">
        <v>0</v>
      </c>
      <c r="K565" s="9" t="n">
        <v>1</v>
      </c>
      <c r="L565" s="9" t="n">
        <v>0</v>
      </c>
      <c r="M565" s="9" t="n">
        <v>0</v>
      </c>
      <c r="N565" s="9" t="n">
        <v>0</v>
      </c>
      <c r="O565" s="10" t="n">
        <v>1</v>
      </c>
      <c r="P565" s="10" t="n">
        <v>0</v>
      </c>
      <c r="Q565" s="10" t="n">
        <v>0</v>
      </c>
      <c r="R565" s="10" t="n">
        <v>0</v>
      </c>
      <c r="S565" s="10" t="n">
        <v>0</v>
      </c>
    </row>
    <row r="566" ht="169" customHeight="1">
      <c r="A566" s="6">
        <f>IFERROR(__xludf.DUMMYFUNCTION("""COMPUTED_VALUE"""),"MATHS GROUP 3")</f>
        <v/>
      </c>
      <c r="B566" s="6">
        <f>IFERROR(__xludf.DUMMYFUNCTION("""COMPUTED_VALUE"""),"Resource")</f>
        <v/>
      </c>
      <c r="C566" s="6">
        <f>IFERROR(__xludf.DUMMYFUNCTION("""COMPUTED_VALUE"""),"Ex 1:  Solving Quadratic Equations Graphically Using x-Intercepts")</f>
        <v/>
      </c>
      <c r="D566" s="7">
        <f>IFERROR(__xludf.DUMMYFUNCTION("""COMPUTED_VALUE"""),"This video provides several examples of how to use the graph of a quadratic function to solve a quadratic equation.   Library:  http://mathispower4u.com Search:  http://mathispoweru4.wordpress.com")</f>
        <v/>
      </c>
      <c r="E566" s="7">
        <f>IFERROR(__xludf.DUMMYFUNCTION("""COMPUTED_VALUE"""),"youtu.be: A shortened URL service for YouTube, leading to various videos on the platform.")</f>
        <v/>
      </c>
      <c r="F566" s="7" t="n"/>
      <c r="G566" s="8" t="n">
        <v>1</v>
      </c>
      <c r="H566" s="8" t="n">
        <v>0</v>
      </c>
      <c r="I566" s="8" t="n">
        <v>0</v>
      </c>
      <c r="J566" s="8" t="n">
        <v>0</v>
      </c>
      <c r="K566" s="9" t="n">
        <v>1</v>
      </c>
      <c r="L566" s="9" t="n">
        <v>0</v>
      </c>
      <c r="M566" s="9" t="n">
        <v>0</v>
      </c>
      <c r="N566" s="9" t="n">
        <v>0</v>
      </c>
      <c r="O566" s="10" t="n">
        <v>1</v>
      </c>
      <c r="P566" s="10" t="n">
        <v>0</v>
      </c>
      <c r="Q566" s="10" t="n">
        <v>0</v>
      </c>
      <c r="R566" s="10" t="n">
        <v>0</v>
      </c>
      <c r="S566" s="10" t="n">
        <v>0</v>
      </c>
    </row>
    <row r="567" ht="409.5" customHeight="1">
      <c r="A567" s="6">
        <f>IFERROR(__xludf.DUMMYFUNCTION("""COMPUTED_VALUE"""),"MATHS GROUP 3")</f>
        <v/>
      </c>
      <c r="B567" s="6">
        <f>IFERROR(__xludf.DUMMYFUNCTION("""COMPUTED_VALUE"""),"Application")</f>
        <v/>
      </c>
      <c r="C567" s="6">
        <f>IFERROR(__xludf.DUMMYFUNCTION("""COMPUTED_VALUE"""),"Graphing Lines")</f>
        <v/>
      </c>
      <c r="D567" s="7">
        <f>IFERROR(__xludf.DUMMYFUNCTION("""COMPUTED_VALUE"""),"No task description")</f>
        <v/>
      </c>
      <c r="E567"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67" s="7" t="n"/>
      <c r="G567" s="8" t="n">
        <v>0</v>
      </c>
      <c r="H567" s="8" t="n">
        <v>1</v>
      </c>
      <c r="I567" s="8" t="n">
        <v>0</v>
      </c>
      <c r="J567" s="8" t="n">
        <v>0</v>
      </c>
      <c r="K567" s="9" t="n">
        <v>1</v>
      </c>
      <c r="L567" s="9" t="n">
        <v>0</v>
      </c>
      <c r="M567" s="9" t="n">
        <v>0</v>
      </c>
      <c r="N567" s="9" t="n">
        <v>0</v>
      </c>
      <c r="O567" s="10" t="n">
        <v>0</v>
      </c>
      <c r="P567" s="10" t="n">
        <v>0</v>
      </c>
      <c r="Q567" s="10" t="n">
        <v>1</v>
      </c>
      <c r="R567" s="10" t="n">
        <v>0</v>
      </c>
      <c r="S567" s="10" t="n">
        <v>0</v>
      </c>
    </row>
    <row r="568" ht="25" customHeight="1">
      <c r="A568" s="6">
        <f>IFERROR(__xludf.DUMMYFUNCTION("""COMPUTED_VALUE"""),"MATHS GROUP 3")</f>
        <v/>
      </c>
      <c r="B568" s="6">
        <f>IFERROR(__xludf.DUMMYFUNCTION("""COMPUTED_VALUE"""),"Space")</f>
        <v/>
      </c>
      <c r="C568" s="6">
        <f>IFERROR(__xludf.DUMMYFUNCTION("""COMPUTED_VALUE"""),"Conceptualisation")</f>
        <v/>
      </c>
      <c r="D568" s="7">
        <f>IFERROR(__xludf.DUMMYFUNCTION("""COMPUTED_VALUE"""),"No task description")</f>
        <v/>
      </c>
      <c r="E568" s="7">
        <f>IFERROR(__xludf.DUMMYFUNCTION("""COMPUTED_VALUE"""),"No artifact embedded")</f>
        <v/>
      </c>
      <c r="F568" s="7" t="n"/>
      <c r="G568" s="8" t="n">
        <v>0</v>
      </c>
      <c r="H568" s="8" t="n">
        <v>0</v>
      </c>
      <c r="I568" s="8" t="n">
        <v>0</v>
      </c>
      <c r="J568" s="8" t="n">
        <v>0</v>
      </c>
      <c r="K568" s="9" t="n">
        <v>0</v>
      </c>
      <c r="L568" s="9" t="n">
        <v>0</v>
      </c>
      <c r="M568" s="9" t="n">
        <v>0</v>
      </c>
      <c r="N568" s="9" t="n">
        <v>0</v>
      </c>
      <c r="O568" s="10" t="n">
        <v>0</v>
      </c>
      <c r="P568" s="10" t="n">
        <v>0</v>
      </c>
      <c r="Q568" s="10" t="n">
        <v>0</v>
      </c>
      <c r="R568" s="10" t="n">
        <v>0</v>
      </c>
      <c r="S568" s="10" t="n">
        <v>0</v>
      </c>
    </row>
    <row r="569" ht="73" customHeight="1">
      <c r="A569" s="6">
        <f>IFERROR(__xludf.DUMMYFUNCTION("""COMPUTED_VALUE"""),"MATHS GROUP 3")</f>
        <v/>
      </c>
      <c r="B569" s="6">
        <f>IFERROR(__xludf.DUMMYFUNCTION("""COMPUTED_VALUE"""),"Resource")</f>
        <v/>
      </c>
      <c r="C569" s="6">
        <f>IFERROR(__xludf.DUMMYFUNCTION("""COMPUTED_VALUE"""),"Hypothesis.graasp")</f>
        <v/>
      </c>
      <c r="D569" s="7">
        <f>IFERROR(__xludf.DUMMYFUNCTION("""COMPUTED_VALUE"""),"&lt;p&gt;ALl quadratic equations could be solved using graphical formular method.&lt;/p&gt;")</f>
        <v/>
      </c>
      <c r="E569" s="7">
        <f>IFERROR(__xludf.DUMMYFUNCTION("""COMPUTED_VALUE"""),"No artifact embedded")</f>
        <v/>
      </c>
      <c r="F569" s="7" t="n"/>
      <c r="G569" s="8" t="n">
        <v>1</v>
      </c>
      <c r="H569" s="8" t="n">
        <v>0</v>
      </c>
      <c r="I569" s="8" t="n">
        <v>0</v>
      </c>
      <c r="J569" s="8" t="n">
        <v>0</v>
      </c>
      <c r="K569" s="9" t="n">
        <v>1</v>
      </c>
      <c r="L569" s="9" t="n">
        <v>0</v>
      </c>
      <c r="M569" s="9" t="n">
        <v>0</v>
      </c>
      <c r="N569" s="9" t="n">
        <v>0</v>
      </c>
      <c r="O569" s="10" t="n">
        <v>1</v>
      </c>
      <c r="P569" s="10" t="n">
        <v>0</v>
      </c>
      <c r="Q569" s="10" t="n">
        <v>0</v>
      </c>
      <c r="R569" s="10" t="n">
        <v>0</v>
      </c>
      <c r="S569" s="10" t="n">
        <v>0</v>
      </c>
    </row>
    <row r="570" ht="409.5" customHeight="1">
      <c r="A570" s="6">
        <f>IFERROR(__xludf.DUMMYFUNCTION("""COMPUTED_VALUE"""),"MATHS GROUP 3")</f>
        <v/>
      </c>
      <c r="B570" s="6">
        <f>IFERROR(__xludf.DUMMYFUNCTION("""COMPUTED_VALUE"""),"Application")</f>
        <v/>
      </c>
      <c r="C570" s="6">
        <f>IFERROR(__xludf.DUMMYFUNCTION("""COMPUTED_VALUE"""),"Graphing Lines Source")</f>
        <v/>
      </c>
      <c r="D570" s="7">
        <f>IFERROR(__xludf.DUMMYFUNCTION("""COMPUTED_VALUE"""),"No task description")</f>
        <v/>
      </c>
      <c r="E570"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70" s="7" t="n"/>
      <c r="G570" s="8" t="n">
        <v>0</v>
      </c>
      <c r="H570" s="8" t="n">
        <v>1</v>
      </c>
      <c r="I570" s="8" t="n">
        <v>0</v>
      </c>
      <c r="J570" s="8" t="n">
        <v>0</v>
      </c>
      <c r="K570" s="9" t="n">
        <v>1</v>
      </c>
      <c r="L570" s="9" t="n">
        <v>0</v>
      </c>
      <c r="M570" s="9" t="n">
        <v>0</v>
      </c>
      <c r="N570" s="9" t="n">
        <v>0</v>
      </c>
      <c r="O570" s="10" t="n">
        <v>0</v>
      </c>
      <c r="P570" s="10" t="n">
        <v>0</v>
      </c>
      <c r="Q570" s="10" t="n">
        <v>1</v>
      </c>
      <c r="R570" s="10" t="n">
        <v>0</v>
      </c>
      <c r="S570" s="10" t="n">
        <v>0</v>
      </c>
    </row>
    <row r="571" ht="25" customHeight="1">
      <c r="A571" s="6">
        <f>IFERROR(__xludf.DUMMYFUNCTION("""COMPUTED_VALUE"""),"MATHS GROUP 3")</f>
        <v/>
      </c>
      <c r="B571" s="6">
        <f>IFERROR(__xludf.DUMMYFUNCTION("""COMPUTED_VALUE"""),"Space")</f>
        <v/>
      </c>
      <c r="C571" s="6">
        <f>IFERROR(__xludf.DUMMYFUNCTION("""COMPUTED_VALUE"""),"Investigation")</f>
        <v/>
      </c>
      <c r="D571" s="7">
        <f>IFERROR(__xludf.DUMMYFUNCTION("""COMPUTED_VALUE"""),"No task description")</f>
        <v/>
      </c>
      <c r="E571" s="7">
        <f>IFERROR(__xludf.DUMMYFUNCTION("""COMPUTED_VALUE"""),"No artifact embedded")</f>
        <v/>
      </c>
      <c r="F571" s="7" t="n"/>
      <c r="G571" s="8" t="n">
        <v>0</v>
      </c>
      <c r="H571" s="8" t="n">
        <v>0</v>
      </c>
      <c r="I571" s="8" t="n">
        <v>0</v>
      </c>
      <c r="J571" s="8" t="n">
        <v>0</v>
      </c>
      <c r="K571" s="9" t="n">
        <v>0</v>
      </c>
      <c r="L571" s="9" t="n">
        <v>0</v>
      </c>
      <c r="M571" s="9" t="n">
        <v>0</v>
      </c>
      <c r="N571" s="9" t="n">
        <v>0</v>
      </c>
      <c r="O571" s="10" t="n">
        <v>0</v>
      </c>
      <c r="P571" s="10" t="n">
        <v>0</v>
      </c>
      <c r="Q571" s="10" t="n">
        <v>0</v>
      </c>
      <c r="R571" s="10" t="n">
        <v>0</v>
      </c>
      <c r="S571" s="10" t="n">
        <v>0</v>
      </c>
    </row>
    <row r="572" ht="49" customHeight="1">
      <c r="A572" s="6">
        <f>IFERROR(__xludf.DUMMYFUNCTION("""COMPUTED_VALUE"""),"MATHS GROUP 3")</f>
        <v/>
      </c>
      <c r="B572" s="6">
        <f>IFERROR(__xludf.DUMMYFUNCTION("""COMPUTED_VALUE"""),"Resource")</f>
        <v/>
      </c>
      <c r="C572" s="6">
        <f>IFERROR(__xludf.DUMMYFUNCTION("""COMPUTED_VALUE"""),"Word Problem.graasp")</f>
        <v/>
      </c>
      <c r="D572" s="7">
        <f>IFERROR(__xludf.DUMMYFUNCTION("""COMPUTED_VALUE"""),"&lt;p&gt;if y=0 and a,b,c are known then we can get values for x.&lt;/p&gt;")</f>
        <v/>
      </c>
      <c r="E572" s="7">
        <f>IFERROR(__xludf.DUMMYFUNCTION("""COMPUTED_VALUE"""),"No artifact embedded")</f>
        <v/>
      </c>
      <c r="F572" s="7" t="n"/>
      <c r="G572" s="8" t="n">
        <v>1</v>
      </c>
      <c r="H572" s="8" t="n">
        <v>0</v>
      </c>
      <c r="I572" s="8" t="n">
        <v>0</v>
      </c>
      <c r="J572" s="8" t="n">
        <v>0</v>
      </c>
      <c r="K572" s="9" t="n">
        <v>1</v>
      </c>
      <c r="L572" s="9" t="n">
        <v>0</v>
      </c>
      <c r="M572" s="9" t="n">
        <v>0</v>
      </c>
      <c r="N572" s="9" t="n">
        <v>0</v>
      </c>
      <c r="O572" s="10" t="n">
        <v>1</v>
      </c>
      <c r="P572" s="10" t="n">
        <v>0</v>
      </c>
      <c r="Q572" s="10" t="n">
        <v>0</v>
      </c>
      <c r="R572" s="10" t="n">
        <v>0</v>
      </c>
      <c r="S572" s="10" t="n">
        <v>0</v>
      </c>
    </row>
    <row r="573" ht="25" customHeight="1">
      <c r="A573" s="6">
        <f>IFERROR(__xludf.DUMMYFUNCTION("""COMPUTED_VALUE"""),"MATHS GROUP 3")</f>
        <v/>
      </c>
      <c r="B573" s="6">
        <f>IFERROR(__xludf.DUMMYFUNCTION("""COMPUTED_VALUE"""),"Space")</f>
        <v/>
      </c>
      <c r="C573" s="6">
        <f>IFERROR(__xludf.DUMMYFUNCTION("""COMPUTED_VALUE"""),"Conclusion")</f>
        <v/>
      </c>
      <c r="D573" s="7">
        <f>IFERROR(__xludf.DUMMYFUNCTION("""COMPUTED_VALUE"""),"No task description")</f>
        <v/>
      </c>
      <c r="E573" s="7">
        <f>IFERROR(__xludf.DUMMYFUNCTION("""COMPUTED_VALUE"""),"No artifact embedded")</f>
        <v/>
      </c>
      <c r="F573" s="7" t="n"/>
      <c r="G573" s="8" t="n">
        <v>0</v>
      </c>
      <c r="H573" s="8" t="n">
        <v>0</v>
      </c>
      <c r="I573" s="8" t="n">
        <v>0</v>
      </c>
      <c r="J573" s="8" t="n">
        <v>0</v>
      </c>
      <c r="K573" s="9" t="n">
        <v>0</v>
      </c>
      <c r="L573" s="9" t="n">
        <v>0</v>
      </c>
      <c r="M573" s="9" t="n">
        <v>0</v>
      </c>
      <c r="N573" s="9" t="n">
        <v>0</v>
      </c>
      <c r="O573" s="10" t="n">
        <v>0</v>
      </c>
      <c r="P573" s="10" t="n">
        <v>0</v>
      </c>
      <c r="Q573" s="10" t="n">
        <v>0</v>
      </c>
      <c r="R573" s="10" t="n">
        <v>0</v>
      </c>
      <c r="S573" s="10" t="n">
        <v>0</v>
      </c>
    </row>
    <row r="574" ht="49" customHeight="1">
      <c r="A574" s="6">
        <f>IFERROR(__xludf.DUMMYFUNCTION("""COMPUTED_VALUE"""),"MATHS GROUP 3")</f>
        <v/>
      </c>
      <c r="B574" s="6">
        <f>IFERROR(__xludf.DUMMYFUNCTION("""COMPUTED_VALUE"""),"Resource")</f>
        <v/>
      </c>
      <c r="C574" s="6">
        <f>IFERROR(__xludf.DUMMYFUNCTION("""COMPUTED_VALUE"""),"Results.graasp")</f>
        <v/>
      </c>
      <c r="D574" s="7">
        <f>IFERROR(__xludf.DUMMYFUNCTION("""COMPUTED_VALUE"""),"&lt;p&gt;Both methods give the same values for x.&lt;/p&gt;")</f>
        <v/>
      </c>
      <c r="E574" s="7">
        <f>IFERROR(__xludf.DUMMYFUNCTION("""COMPUTED_VALUE"""),"No artifact embedded")</f>
        <v/>
      </c>
      <c r="F574" s="7" t="n"/>
      <c r="G574" s="8" t="n">
        <v>1</v>
      </c>
      <c r="H574" s="8" t="n">
        <v>0</v>
      </c>
      <c r="I574" s="8" t="n">
        <v>0</v>
      </c>
      <c r="J574" s="8" t="n">
        <v>0</v>
      </c>
      <c r="K574" s="9" t="n">
        <v>1</v>
      </c>
      <c r="L574" s="9" t="n">
        <v>0</v>
      </c>
      <c r="M574" s="9" t="n">
        <v>0</v>
      </c>
      <c r="N574" s="9" t="n">
        <v>0</v>
      </c>
      <c r="O574" s="10" t="n">
        <v>1</v>
      </c>
      <c r="P574" s="10" t="n">
        <v>0</v>
      </c>
      <c r="Q574" s="10" t="n">
        <v>0</v>
      </c>
      <c r="R574" s="10" t="n">
        <v>0</v>
      </c>
      <c r="S574" s="10" t="n">
        <v>0</v>
      </c>
    </row>
    <row r="575" ht="25" customHeight="1">
      <c r="A575" s="6">
        <f>IFERROR(__xludf.DUMMYFUNCTION("""COMPUTED_VALUE"""),"MATHS GROUP 3")</f>
        <v/>
      </c>
      <c r="B575" s="6">
        <f>IFERROR(__xludf.DUMMYFUNCTION("""COMPUTED_VALUE"""),"Space")</f>
        <v/>
      </c>
      <c r="C575" s="6">
        <f>IFERROR(__xludf.DUMMYFUNCTION("""COMPUTED_VALUE"""),"Discussion")</f>
        <v/>
      </c>
      <c r="D575" s="7">
        <f>IFERROR(__xludf.DUMMYFUNCTION("""COMPUTED_VALUE"""),"No task description")</f>
        <v/>
      </c>
      <c r="E575" s="7">
        <f>IFERROR(__xludf.DUMMYFUNCTION("""COMPUTED_VALUE"""),"No artifact embedded")</f>
        <v/>
      </c>
      <c r="F575" s="7" t="n"/>
      <c r="G575" s="8" t="n">
        <v>0</v>
      </c>
      <c r="H575" s="8" t="n">
        <v>0</v>
      </c>
      <c r="I575" s="8" t="n">
        <v>0</v>
      </c>
      <c r="J575" s="8" t="n">
        <v>0</v>
      </c>
      <c r="K575" s="9" t="n">
        <v>0</v>
      </c>
      <c r="L575" s="9" t="n">
        <v>0</v>
      </c>
      <c r="M575" s="9" t="n">
        <v>0</v>
      </c>
      <c r="N575" s="9" t="n">
        <v>0</v>
      </c>
      <c r="O575" s="10" t="n">
        <v>0</v>
      </c>
      <c r="P575" s="10" t="n">
        <v>0</v>
      </c>
      <c r="Q575" s="10" t="n">
        <v>0</v>
      </c>
      <c r="R575" s="10" t="n">
        <v>0</v>
      </c>
      <c r="S575" s="10" t="n">
        <v>0</v>
      </c>
    </row>
    <row r="576" ht="109" customHeight="1">
      <c r="A576" s="6">
        <f>IFERROR(__xludf.DUMMYFUNCTION("""COMPUTED_VALUE"""),"MATHS GROUP 3")</f>
        <v/>
      </c>
      <c r="B576" s="6">
        <f>IFERROR(__xludf.DUMMYFUNCTION("""COMPUTED_VALUE"""),"Topic")</f>
        <v/>
      </c>
      <c r="C576" s="6">
        <f>IFERROR(__xludf.DUMMYFUNCTION("""COMPUTED_VALUE"""),"Quadratic equations")</f>
        <v/>
      </c>
      <c r="D576" s="7">
        <f>IFERROR(__xludf.DUMMYFUNCTION("""COMPUTED_VALUE"""),"Try both methods for solving quadratic equations and discuss your findings")</f>
        <v/>
      </c>
      <c r="E576" s="7">
        <f>IFERROR(__xludf.DUMMYFUNCTION("""COMPUTED_VALUE"""),"text/html – A webpage or web document that contains structured text, images, and links, designed for display in a web browser.")</f>
        <v/>
      </c>
      <c r="F576" s="7" t="n"/>
      <c r="G576" s="8" t="n">
        <v>0</v>
      </c>
      <c r="H576" s="8" t="n">
        <v>0</v>
      </c>
      <c r="I576" s="8" t="n">
        <v>0</v>
      </c>
      <c r="J576" s="8" t="n">
        <v>1</v>
      </c>
      <c r="K576" s="9" t="n">
        <v>1</v>
      </c>
      <c r="L576" s="9" t="n">
        <v>0</v>
      </c>
      <c r="M576" s="9" t="n">
        <v>1</v>
      </c>
      <c r="N576" s="9" t="n">
        <v>0</v>
      </c>
      <c r="O576" s="10" t="n">
        <v>0</v>
      </c>
      <c r="P576" s="10" t="n">
        <v>0</v>
      </c>
      <c r="Q576" s="10" t="n">
        <v>1</v>
      </c>
      <c r="R576" s="10" t="n">
        <v>0</v>
      </c>
      <c r="S576" s="10" t="n">
        <v>1</v>
      </c>
    </row>
    <row r="577" ht="409.5" customHeight="1">
      <c r="A577" s="6">
        <f>IFERROR(__xludf.DUMMYFUNCTION("""COMPUTED_VALUE"""),"Leadership in your life")</f>
        <v/>
      </c>
      <c r="B577" s="6">
        <f>IFERROR(__xludf.DUMMYFUNCTION("""COMPUTED_VALUE"""),"Space")</f>
        <v/>
      </c>
      <c r="C577" s="6">
        <f>IFERROR(__xludf.DUMMYFUNCTION("""COMPUTED_VALUE"""),"Orientation")</f>
        <v/>
      </c>
      <c r="D577" s="7">
        <f>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
      </c>
      <c r="E577" s="7">
        <f>IFERROR(__xludf.DUMMYFUNCTION("""COMPUTED_VALUE"""),"No artifact embedded")</f>
        <v/>
      </c>
      <c r="F577" s="7" t="n"/>
      <c r="G577" s="8" t="n">
        <v>1</v>
      </c>
      <c r="H577" s="8" t="n">
        <v>0</v>
      </c>
      <c r="I577" s="8" t="n">
        <v>0</v>
      </c>
      <c r="J577" s="8" t="n">
        <v>0</v>
      </c>
      <c r="K577" s="9" t="n">
        <v>1</v>
      </c>
      <c r="L577" s="9" t="n">
        <v>0</v>
      </c>
      <c r="M577" s="9" t="n">
        <v>0</v>
      </c>
      <c r="N577" s="9" t="n">
        <v>0</v>
      </c>
      <c r="O577" s="10" t="n">
        <v>1</v>
      </c>
      <c r="P577" s="10" t="n">
        <v>0</v>
      </c>
      <c r="Q577" s="10" t="n">
        <v>0</v>
      </c>
      <c r="R577" s="10" t="n">
        <v>0</v>
      </c>
      <c r="S577" s="10" t="n">
        <v>0</v>
      </c>
    </row>
    <row r="578" ht="121" customHeight="1">
      <c r="A578" s="6">
        <f>IFERROR(__xludf.DUMMYFUNCTION("""COMPUTED_VALUE"""),"Leadership in your life")</f>
        <v/>
      </c>
      <c r="B578" s="6">
        <f>IFERROR(__xludf.DUMMYFUNCTION("""COMPUTED_VALUE"""),"Resource")</f>
        <v/>
      </c>
      <c r="C578" s="6">
        <f>IFERROR(__xludf.DUMMYFUNCTION("""COMPUTED_VALUE"""),"What is a Leader.mp4")</f>
        <v/>
      </c>
      <c r="D578" s="7">
        <f>IFERROR(__xludf.DUMMYFUNCTION("""COMPUTED_VALUE"""),"No task description")</f>
        <v/>
      </c>
      <c r="E578" s="7">
        <f>IFERROR(__xludf.DUMMYFUNCTION("""COMPUTED_VALUE"""),"video/mp4 – A video file containing moving images and possibly audio, suitable for playback on most modern devices and platforms.")</f>
        <v/>
      </c>
      <c r="F578" s="7" t="n"/>
      <c r="G578" s="8" t="n">
        <v>1</v>
      </c>
      <c r="H578" s="8" t="n">
        <v>0</v>
      </c>
      <c r="I578" s="8" t="n">
        <v>0</v>
      </c>
      <c r="J578" s="8" t="n">
        <v>0</v>
      </c>
      <c r="K578" s="9" t="n">
        <v>1</v>
      </c>
      <c r="L578" s="9" t="n">
        <v>0</v>
      </c>
      <c r="M578" s="9" t="n">
        <v>0</v>
      </c>
      <c r="N578" s="9" t="n">
        <v>0</v>
      </c>
      <c r="O578" s="10" t="n">
        <v>0</v>
      </c>
      <c r="P578" s="10" t="n">
        <v>0</v>
      </c>
      <c r="Q578" s="10" t="n">
        <v>0</v>
      </c>
      <c r="R578" s="10" t="n">
        <v>0</v>
      </c>
      <c r="S578" s="10" t="n">
        <v>0</v>
      </c>
    </row>
    <row r="579" ht="409.5" customHeight="1">
      <c r="A579" s="6">
        <f>IFERROR(__xludf.DUMMYFUNCTION("""COMPUTED_VALUE"""),"Leadership in your life")</f>
        <v/>
      </c>
      <c r="B579" s="6">
        <f>IFERROR(__xludf.DUMMYFUNCTION("""COMPUTED_VALUE"""),"Space")</f>
        <v/>
      </c>
      <c r="C579" s="6">
        <f>IFERROR(__xludf.DUMMYFUNCTION("""COMPUTED_VALUE"""),"Conceptualisation")</f>
        <v/>
      </c>
      <c r="D579" s="7">
        <f>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
      </c>
      <c r="E579" s="7">
        <f>IFERROR(__xludf.DUMMYFUNCTION("""COMPUTED_VALUE"""),"No artifact embedded")</f>
        <v/>
      </c>
      <c r="F579" s="7" t="n"/>
      <c r="G579" s="8" t="n">
        <v>0</v>
      </c>
      <c r="H579" s="8" t="n">
        <v>0</v>
      </c>
      <c r="I579" s="8" t="n">
        <v>1</v>
      </c>
      <c r="J579" s="8" t="n">
        <v>0</v>
      </c>
      <c r="K579" s="9" t="n">
        <v>0</v>
      </c>
      <c r="L579" s="9" t="n">
        <v>1</v>
      </c>
      <c r="M579" s="9" t="n">
        <v>0</v>
      </c>
      <c r="N579" s="9" t="n">
        <v>0</v>
      </c>
      <c r="O579" s="10" t="n">
        <v>1</v>
      </c>
      <c r="P579" s="10" t="n">
        <v>0</v>
      </c>
      <c r="Q579" s="10" t="n">
        <v>0</v>
      </c>
      <c r="R579" s="10" t="n">
        <v>0</v>
      </c>
      <c r="S579" s="10" t="n">
        <v>0</v>
      </c>
    </row>
    <row r="580" ht="85" customHeight="1">
      <c r="A580" s="6">
        <f>IFERROR(__xludf.DUMMYFUNCTION("""COMPUTED_VALUE"""),"Leadership in your life")</f>
        <v/>
      </c>
      <c r="B580" s="6">
        <f>IFERROR(__xludf.DUMMYFUNCTION("""COMPUTED_VALUE"""),"Resource")</f>
        <v/>
      </c>
      <c r="C580" s="6">
        <f>IFERROR(__xludf.DUMMYFUNCTION("""COMPUTED_VALUE"""),"Is Everyone a Leader?")</f>
        <v/>
      </c>
      <c r="D580" s="7">
        <f>IFERROR(__xludf.DUMMYFUNCTION("""COMPUTED_VALUE"""),"A question I get almost everywhere I go: “Is everyone a leader?”")</f>
        <v/>
      </c>
      <c r="E580" s="7">
        <f>IFERROR(__xludf.DUMMYFUNCTION("""COMPUTED_VALUE"""),"psychologytoday.com: Features articles on psychological topics, such as discussions on leadership.")</f>
        <v/>
      </c>
      <c r="F580" s="7" t="n"/>
      <c r="G580" s="8" t="n">
        <v>1</v>
      </c>
      <c r="H580" s="8" t="n">
        <v>0</v>
      </c>
      <c r="I580" s="8" t="n">
        <v>0</v>
      </c>
      <c r="J580" s="8" t="n">
        <v>0</v>
      </c>
      <c r="K580" s="9" t="n">
        <v>1</v>
      </c>
      <c r="L580" s="9" t="n">
        <v>0</v>
      </c>
      <c r="M580" s="9" t="n">
        <v>0</v>
      </c>
      <c r="N580" s="9" t="n">
        <v>0</v>
      </c>
      <c r="O580" s="10" t="n">
        <v>1</v>
      </c>
      <c r="P580" s="10" t="n">
        <v>0</v>
      </c>
      <c r="Q580" s="10" t="n">
        <v>0</v>
      </c>
      <c r="R580" s="10" t="n">
        <v>0</v>
      </c>
      <c r="S580" s="10" t="n">
        <v>0</v>
      </c>
    </row>
    <row r="581" ht="109" customHeight="1">
      <c r="A581" s="6">
        <f>IFERROR(__xludf.DUMMYFUNCTION("""COMPUTED_VALUE"""),"Leadership in your life")</f>
        <v/>
      </c>
      <c r="B581" s="6">
        <f>IFERROR(__xludf.DUMMYFUNCTION("""COMPUTED_VALUE"""),"Resource")</f>
        <v/>
      </c>
      <c r="C581" s="6">
        <f>IFERROR(__xludf.DUMMYFUNCTION("""COMPUTED_VALUE"""),"7 Common Leadership Styles: Which Type of a Leader Are You?")</f>
        <v/>
      </c>
      <c r="D581" s="7">
        <f>IFERROR(__xludf.DUMMYFUNCTION("""COMPUTED_VALUE"""),"‘Leadership is not a position or a title, it is action and example’ — Unknown")</f>
        <v/>
      </c>
      <c r="E581" s="7">
        <f>IFERROR(__xludf.DUMMYFUNCTION("""COMPUTED_VALUE"""),"blog.proofhub.com: The blog section of ProofHub provides articles on leadership styles and project management.")</f>
        <v/>
      </c>
      <c r="F581" s="7" t="n"/>
      <c r="G581" s="8" t="n">
        <v>1</v>
      </c>
      <c r="H581" s="8" t="n">
        <v>0</v>
      </c>
      <c r="I581" s="8" t="n">
        <v>0</v>
      </c>
      <c r="J581" s="8" t="n">
        <v>0</v>
      </c>
      <c r="K581" s="9" t="n">
        <v>1</v>
      </c>
      <c r="L581" s="9" t="n">
        <v>0</v>
      </c>
      <c r="M581" s="9" t="n">
        <v>0</v>
      </c>
      <c r="N581" s="9" t="n">
        <v>0</v>
      </c>
      <c r="O581" s="10" t="n">
        <v>1</v>
      </c>
      <c r="P581" s="10" t="n">
        <v>0</v>
      </c>
      <c r="Q581" s="10" t="n">
        <v>0</v>
      </c>
      <c r="R581" s="10" t="n">
        <v>0</v>
      </c>
      <c r="S581" s="10" t="n">
        <v>0</v>
      </c>
    </row>
    <row r="582" ht="37" customHeight="1">
      <c r="A582" s="6">
        <f>IFERROR(__xludf.DUMMYFUNCTION("""COMPUTED_VALUE"""),"Leadership in your life")</f>
        <v/>
      </c>
      <c r="B582" s="6">
        <f>IFERROR(__xludf.DUMMYFUNCTION("""COMPUTED_VALUE"""),"Space")</f>
        <v/>
      </c>
      <c r="C582" s="6">
        <f>IFERROR(__xludf.DUMMYFUNCTION("""COMPUTED_VALUE"""),"Investigation")</f>
        <v/>
      </c>
      <c r="D582" s="7">
        <f>IFERROR(__xludf.DUMMYFUNCTION("""COMPUTED_VALUE"""),"&lt;p&gt;Now let's do some practical tasks. &lt;/p&gt;")</f>
        <v/>
      </c>
      <c r="E582" s="7">
        <f>IFERROR(__xludf.DUMMYFUNCTION("""COMPUTED_VALUE"""),"No artifact embedded")</f>
        <v/>
      </c>
      <c r="F582" s="7" t="n"/>
      <c r="G582" s="8" t="n">
        <v>0</v>
      </c>
      <c r="H582" s="8" t="n">
        <v>1</v>
      </c>
      <c r="I582" s="8" t="n">
        <v>0</v>
      </c>
      <c r="J582" s="8" t="n">
        <v>0</v>
      </c>
      <c r="K582" s="9" t="n">
        <v>1</v>
      </c>
      <c r="L582" s="9" t="n">
        <v>0</v>
      </c>
      <c r="M582" s="9" t="n">
        <v>0</v>
      </c>
      <c r="N582" s="9" t="n">
        <v>0</v>
      </c>
      <c r="O582" s="10" t="n">
        <v>0</v>
      </c>
      <c r="P582" s="10" t="n">
        <v>0</v>
      </c>
      <c r="Q582" s="10" t="n">
        <v>0</v>
      </c>
      <c r="R582" s="10" t="n">
        <v>0</v>
      </c>
      <c r="S582" s="10" t="n">
        <v>0</v>
      </c>
    </row>
    <row r="583" ht="406" customHeight="1">
      <c r="A583" s="6">
        <f>IFERROR(__xludf.DUMMYFUNCTION("""COMPUTED_VALUE"""),"Leadership in your life")</f>
        <v/>
      </c>
      <c r="B583" s="6">
        <f>IFERROR(__xludf.DUMMYFUNCTION("""COMPUTED_VALUE"""),"Resource")</f>
        <v/>
      </c>
      <c r="C583" s="6">
        <f>IFERROR(__xludf.DUMMYFUNCTION("""COMPUTED_VALUE"""),"Task 1")</f>
        <v/>
      </c>
      <c r="D583" s="7">
        <f>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
      </c>
      <c r="E583" s="7">
        <f>IFERROR(__xludf.DUMMYFUNCTION("""COMPUTED_VALUE"""),"image/jpeg – A digital photograph or web image stored in a compressed format, often used for photography and web graphics.")</f>
        <v/>
      </c>
      <c r="F583" s="7" t="n"/>
      <c r="G583" s="8" t="n">
        <v>0</v>
      </c>
      <c r="H583" s="8" t="n">
        <v>0</v>
      </c>
      <c r="I583" s="8" t="n">
        <v>1</v>
      </c>
      <c r="J583" s="8" t="n">
        <v>0</v>
      </c>
      <c r="K583" s="9" t="n">
        <v>0</v>
      </c>
      <c r="L583" s="9" t="n">
        <v>1</v>
      </c>
      <c r="M583" s="9" t="n">
        <v>0</v>
      </c>
      <c r="N583" s="9" t="n">
        <v>0</v>
      </c>
      <c r="O583" s="10" t="n">
        <v>1</v>
      </c>
      <c r="P583" s="10" t="n">
        <v>0</v>
      </c>
      <c r="Q583" s="10" t="n">
        <v>0</v>
      </c>
      <c r="R583" s="10" t="n">
        <v>0</v>
      </c>
      <c r="S583" s="10" t="n">
        <v>0</v>
      </c>
    </row>
    <row r="584" ht="409.5" customHeight="1">
      <c r="A584" s="6">
        <f>IFERROR(__xludf.DUMMYFUNCTION("""COMPUTED_VALUE"""),"Leadership in your life")</f>
        <v/>
      </c>
      <c r="B584" s="6">
        <f>IFERROR(__xludf.DUMMYFUNCTION("""COMPUTED_VALUE"""),"Resource")</f>
        <v/>
      </c>
      <c r="C584" s="6">
        <f>IFERROR(__xludf.DUMMYFUNCTION("""COMPUTED_VALUE"""),"Task 2")</f>
        <v/>
      </c>
      <c r="D584" s="7">
        <f>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
      </c>
      <c r="E584" s="7">
        <f>IFERROR(__xludf.DUMMYFUNCTION("""COMPUTED_VALUE"""),"image/jpeg – A digital photograph or web image stored in a compressed format, often used for photography and web graphics.")</f>
        <v/>
      </c>
      <c r="F584" s="7" t="n"/>
      <c r="G584" s="8" t="n">
        <v>0</v>
      </c>
      <c r="H584" s="8" t="n">
        <v>0</v>
      </c>
      <c r="I584" s="8" t="n">
        <v>0</v>
      </c>
      <c r="J584" s="8" t="n">
        <v>1</v>
      </c>
      <c r="K584" s="9" t="n">
        <v>0</v>
      </c>
      <c r="L584" s="9" t="n">
        <v>0</v>
      </c>
      <c r="M584" s="9" t="n">
        <v>1</v>
      </c>
      <c r="N584" s="9" t="n">
        <v>0</v>
      </c>
      <c r="O584" s="10" t="n">
        <v>0</v>
      </c>
      <c r="P584" s="10" t="n">
        <v>0</v>
      </c>
      <c r="Q584" s="10" t="n">
        <v>1</v>
      </c>
      <c r="R584" s="10" t="n">
        <v>0</v>
      </c>
      <c r="S584" s="10" t="n">
        <v>1</v>
      </c>
    </row>
    <row r="585" ht="409.5" customHeight="1">
      <c r="A585" s="6">
        <f>IFERROR(__xludf.DUMMYFUNCTION("""COMPUTED_VALUE"""),"Leadership in your life")</f>
        <v/>
      </c>
      <c r="B585" s="6">
        <f>IFERROR(__xludf.DUMMYFUNCTION("""COMPUTED_VALUE"""),"Space")</f>
        <v/>
      </c>
      <c r="C585" s="6">
        <f>IFERROR(__xludf.DUMMYFUNCTION("""COMPUTED_VALUE"""),"Discussion")</f>
        <v/>
      </c>
      <c r="D585" s="7">
        <f>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
      </c>
      <c r="E585" s="7">
        <f>IFERROR(__xludf.DUMMYFUNCTION("""COMPUTED_VALUE"""),"No artifact embedded")</f>
        <v/>
      </c>
      <c r="F585" s="7" t="n"/>
      <c r="G585" s="8" t="n">
        <v>0</v>
      </c>
      <c r="H585" s="8" t="n">
        <v>1</v>
      </c>
      <c r="I585" s="8" t="n">
        <v>0</v>
      </c>
      <c r="J585" s="8" t="n">
        <v>0</v>
      </c>
      <c r="K585" s="9" t="n">
        <v>1</v>
      </c>
      <c r="L585" s="9" t="n">
        <v>0</v>
      </c>
      <c r="M585" s="9" t="n">
        <v>0</v>
      </c>
      <c r="N585" s="9" t="n">
        <v>0</v>
      </c>
      <c r="O585" s="10" t="n">
        <v>0</v>
      </c>
      <c r="P585" s="10" t="n">
        <v>0</v>
      </c>
      <c r="Q585" s="10" t="n">
        <v>0</v>
      </c>
      <c r="R585" s="10" t="n">
        <v>0</v>
      </c>
      <c r="S585" s="10" t="n">
        <v>1</v>
      </c>
    </row>
    <row r="586" ht="121" customHeight="1">
      <c r="A586" s="6">
        <f>IFERROR(__xludf.DUMMYFUNCTION("""COMPUTED_VALUE"""),"Leadership in your life")</f>
        <v/>
      </c>
      <c r="B586" s="6">
        <f>IFERROR(__xludf.DUMMYFUNCTION("""COMPUTED_VALUE"""),"Resource")</f>
        <v/>
      </c>
      <c r="C586" s="6">
        <f>IFERROR(__xludf.DUMMYFUNCTION("""COMPUTED_VALUE"""),"Think about it!")</f>
        <v/>
      </c>
      <c r="D586" s="7">
        <f>IFERROR(__xludf.DUMMYFUNCTION("""COMPUTED_VALUE"""),"No task description")</f>
        <v/>
      </c>
      <c r="E586" s="7">
        <f>IFERROR(__xludf.DUMMYFUNCTION("""COMPUTED_VALUE"""),"image/jpeg – A digital photograph or web image stored in a compressed format, often used for photography and web graphics.")</f>
        <v/>
      </c>
      <c r="F586" s="7" t="n"/>
      <c r="G586" s="8" t="n">
        <v>0</v>
      </c>
      <c r="H586" s="8" t="n">
        <v>0</v>
      </c>
      <c r="I586" s="8" t="n">
        <v>0</v>
      </c>
      <c r="J586" s="8" t="n">
        <v>0</v>
      </c>
      <c r="K586" s="9" t="n">
        <v>0</v>
      </c>
      <c r="L586" s="9" t="n">
        <v>0</v>
      </c>
      <c r="M586" s="9" t="n">
        <v>0</v>
      </c>
      <c r="N586" s="9" t="n">
        <v>0</v>
      </c>
      <c r="O586" s="10" t="n">
        <v>0</v>
      </c>
      <c r="P586" s="10" t="n">
        <v>0</v>
      </c>
      <c r="Q586" s="10" t="n">
        <v>0</v>
      </c>
      <c r="R586" s="10" t="n">
        <v>0</v>
      </c>
      <c r="S586" s="10" t="n">
        <v>0</v>
      </c>
    </row>
    <row r="587" ht="409.5" customHeight="1">
      <c r="A587" s="6">
        <f>IFERROR(__xludf.DUMMYFUNCTION("""COMPUTED_VALUE"""),"Leadership in your life")</f>
        <v/>
      </c>
      <c r="B587" s="6">
        <f>IFERROR(__xludf.DUMMYFUNCTION("""COMPUTED_VALUE"""),"Space")</f>
        <v/>
      </c>
      <c r="C587" s="6">
        <f>IFERROR(__xludf.DUMMYFUNCTION("""COMPUTED_VALUE"""),"Conclusion")</f>
        <v/>
      </c>
      <c r="D587" s="7">
        <f>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
      </c>
      <c r="E587" s="7">
        <f>IFERROR(__xludf.DUMMYFUNCTION("""COMPUTED_VALUE"""),"No artifact embedded")</f>
        <v/>
      </c>
      <c r="F587" s="7" t="n"/>
      <c r="G587" s="8" t="n">
        <v>0</v>
      </c>
      <c r="H587" s="8" t="n">
        <v>0</v>
      </c>
      <c r="I587" s="8" t="n">
        <v>1</v>
      </c>
      <c r="J587" s="8" t="n">
        <v>0</v>
      </c>
      <c r="K587" s="9" t="n">
        <v>0</v>
      </c>
      <c r="L587" s="9" t="n">
        <v>1</v>
      </c>
      <c r="M587" s="9" t="n">
        <v>0</v>
      </c>
      <c r="N587" s="9" t="n">
        <v>0</v>
      </c>
      <c r="O587" s="10" t="n">
        <v>1</v>
      </c>
      <c r="P587" s="10" t="n">
        <v>0</v>
      </c>
      <c r="Q587" s="10" t="n">
        <v>0</v>
      </c>
      <c r="R587" s="10" t="n">
        <v>0</v>
      </c>
      <c r="S587" s="10" t="n">
        <v>0</v>
      </c>
    </row>
    <row r="588" ht="133" customHeight="1">
      <c r="A588" s="6">
        <f>IFERROR(__xludf.DUMMYFUNCTION("""COMPUTED_VALUE"""),"Leadership in your life")</f>
        <v/>
      </c>
      <c r="B588" s="6">
        <f>IFERROR(__xludf.DUMMYFUNCTION("""COMPUTED_VALUE"""),"Resource")</f>
        <v/>
      </c>
      <c r="C588" s="6">
        <f>IFERROR(__xludf.DUMMYFUNCTION("""COMPUTED_VALUE"""),"Take the Quiz! What Type of Leader Are You? | SEU Online")</f>
        <v/>
      </c>
      <c r="D588" s="7">
        <f>IFERROR(__xludf.DUMMYFUNCTION("""COMPUTED_VALUE"""),"How do you lead, and how do you prefer to be led? What personality do you look for in a boss? What type of leadership style do you have? Take the quiz here.")</f>
        <v/>
      </c>
      <c r="E588" s="7">
        <f>IFERROR(__xludf.DUMMYFUNCTION("""COMPUTED_VALUE"""),"online.seu.edu: Southeastern University's online platform, offering articles and quizzes on topics like leadership styles.")</f>
        <v/>
      </c>
      <c r="F588" s="7" t="n"/>
      <c r="G588" s="8" t="n">
        <v>0</v>
      </c>
      <c r="H588" s="8" t="n">
        <v>0</v>
      </c>
      <c r="I588" s="8" t="n">
        <v>1</v>
      </c>
      <c r="J588" s="8" t="n">
        <v>0</v>
      </c>
      <c r="K588" s="9" t="n">
        <v>0</v>
      </c>
      <c r="L588" s="9" t="n">
        <v>1</v>
      </c>
      <c r="M588" s="9" t="n">
        <v>0</v>
      </c>
      <c r="N588" s="9" t="n">
        <v>0</v>
      </c>
      <c r="O588" s="10" t="n">
        <v>0</v>
      </c>
      <c r="P588" s="10" t="n">
        <v>0</v>
      </c>
      <c r="Q588" s="10" t="n">
        <v>0</v>
      </c>
      <c r="R588" s="10" t="n">
        <v>0</v>
      </c>
      <c r="S588" s="10" t="n">
        <v>1</v>
      </c>
    </row>
    <row r="589" ht="241" customHeight="1">
      <c r="A589" s="6">
        <f>IFERROR(__xludf.DUMMYFUNCTION("""COMPUTED_VALUE"""),"Leadership in your life")</f>
        <v/>
      </c>
      <c r="B589" s="6">
        <f>IFERROR(__xludf.DUMMYFUNCTION("""COMPUTED_VALUE"""),"Space")</f>
        <v/>
      </c>
      <c r="C589" s="6">
        <f>IFERROR(__xludf.DUMMYFUNCTION("""COMPUTED_VALUE"""),"Homework")</f>
        <v/>
      </c>
      <c r="D589" s="7">
        <f>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
      </c>
      <c r="E589" s="7">
        <f>IFERROR(__xludf.DUMMYFUNCTION("""COMPUTED_VALUE"""),"No artifact embedded")</f>
        <v/>
      </c>
      <c r="F589" s="7" t="n"/>
      <c r="G589" s="8" t="n">
        <v>0</v>
      </c>
      <c r="H589" s="8" t="n">
        <v>0</v>
      </c>
      <c r="I589" s="8" t="n">
        <v>1</v>
      </c>
      <c r="J589" s="8" t="n">
        <v>0</v>
      </c>
      <c r="K589" s="9" t="n">
        <v>0</v>
      </c>
      <c r="L589" s="9" t="n">
        <v>1</v>
      </c>
      <c r="M589" s="9" t="n">
        <v>0</v>
      </c>
      <c r="N589" s="9" t="n">
        <v>0</v>
      </c>
      <c r="O589" s="10" t="n">
        <v>0</v>
      </c>
      <c r="P589" s="10" t="n">
        <v>0</v>
      </c>
      <c r="Q589" s="10" t="n">
        <v>0</v>
      </c>
      <c r="R589" s="10" t="n">
        <v>0</v>
      </c>
      <c r="S589" s="10" t="n">
        <v>1</v>
      </c>
    </row>
    <row r="590" ht="409.5" customHeight="1">
      <c r="A590" s="6">
        <f>IFERROR(__xludf.DUMMYFUNCTION("""COMPUTED_VALUE"""),"Leadership in your life")</f>
        <v/>
      </c>
      <c r="B590" s="6">
        <f>IFERROR(__xludf.DUMMYFUNCTION("""COMPUTED_VALUE"""),"Resource")</f>
        <v/>
      </c>
      <c r="C590" s="6">
        <f>IFERROR(__xludf.DUMMYFUNCTION("""COMPUTED_VALUE"""),"Great leadership starts with self-leadership | Lars Sudmann | TEDxUCLouvain")</f>
        <v/>
      </c>
      <c r="D590" s="7">
        <f>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
      </c>
      <c r="E590" s="7">
        <f>IFERROR(__xludf.DUMMYFUNCTION("""COMPUTED_VALUE"""),"youtube.com: A widely known video-sharing platform where users can watch videos on a vast array of topics, including educational content.")</f>
        <v/>
      </c>
      <c r="F590" s="7" t="n"/>
      <c r="G590" s="8" t="n">
        <v>1</v>
      </c>
      <c r="H590" s="8" t="n">
        <v>0</v>
      </c>
      <c r="I590" s="8" t="n">
        <v>0</v>
      </c>
      <c r="J590" s="8" t="n">
        <v>0</v>
      </c>
      <c r="K590" s="9" t="n">
        <v>1</v>
      </c>
      <c r="L590" s="9" t="n">
        <v>0</v>
      </c>
      <c r="M590" s="9" t="n">
        <v>0</v>
      </c>
      <c r="N590" s="9" t="n">
        <v>0</v>
      </c>
      <c r="O590" s="10" t="n">
        <v>1</v>
      </c>
      <c r="P590" s="10" t="n">
        <v>0</v>
      </c>
      <c r="Q590" s="10" t="n">
        <v>0</v>
      </c>
      <c r="R590" s="10" t="n">
        <v>0</v>
      </c>
      <c r="S590" s="10" t="n">
        <v>0</v>
      </c>
    </row>
    <row r="591" ht="37" customHeight="1">
      <c r="A591" s="6">
        <f>IFERROR(__xludf.DUMMYFUNCTION("""COMPUTED_VALUE"""),"PH OF SOLUTIONS")</f>
        <v/>
      </c>
      <c r="B591" s="6">
        <f>IFERROR(__xludf.DUMMYFUNCTION("""COMPUTED_VALUE"""),"Space")</f>
        <v/>
      </c>
      <c r="C591" s="6">
        <f>IFERROR(__xludf.DUMMYFUNCTION("""COMPUTED_VALUE"""),"ENGAGE")</f>
        <v/>
      </c>
      <c r="D591" s="7">
        <f>IFERROR(__xludf.DUMMYFUNCTION("""COMPUTED_VALUE"""),"&lt;p&gt;Form 2The ph of solutions lesson 2&lt;/p&gt;")</f>
        <v/>
      </c>
      <c r="E591" s="7">
        <f>IFERROR(__xludf.DUMMYFUNCTION("""COMPUTED_VALUE"""),"No artifact embedded")</f>
        <v/>
      </c>
      <c r="F591" s="7" t="n"/>
      <c r="G591" s="8" t="n">
        <v>0</v>
      </c>
      <c r="H591" s="8" t="n">
        <v>0</v>
      </c>
      <c r="I591" s="8" t="n">
        <v>0</v>
      </c>
      <c r="J591" s="8" t="n">
        <v>0</v>
      </c>
      <c r="K591" s="9" t="n">
        <v>0</v>
      </c>
      <c r="L591" s="9" t="n">
        <v>0</v>
      </c>
      <c r="M591" s="9" t="n">
        <v>0</v>
      </c>
      <c r="N591" s="9" t="n">
        <v>0</v>
      </c>
      <c r="O591" s="10" t="n">
        <v>0</v>
      </c>
      <c r="P591" s="10" t="n">
        <v>0</v>
      </c>
      <c r="Q591" s="10" t="n">
        <v>0</v>
      </c>
      <c r="R591" s="10" t="n">
        <v>0</v>
      </c>
      <c r="S591" s="10" t="n">
        <v>0</v>
      </c>
    </row>
    <row r="592" ht="97" customHeight="1">
      <c r="A592" s="6">
        <f>IFERROR(__xludf.DUMMYFUNCTION("""COMPUTED_VALUE"""),"PH OF SOLUTIONS")</f>
        <v/>
      </c>
      <c r="B592" s="6">
        <f>IFERROR(__xludf.DUMMYFUNCTION("""COMPUTED_VALUE"""),"Resource")</f>
        <v/>
      </c>
      <c r="C592" s="6">
        <f>IFERROR(__xludf.DUMMYFUNCTION("""COMPUTED_VALUE"""),"observe the folowing diagram and answer the questios that follow,.graasp")</f>
        <v/>
      </c>
      <c r="D592" s="7">
        <f>IFERROR(__xludf.DUMMYFUNCTION("""COMPUTED_VALUE"""),"&lt;p&gt;predict the colour changes.&lt;/p&gt;&lt;p&gt;what happens if water is add to the solution?&lt;/p&gt;&lt;p&gt;&lt;br&gt;&lt;/p&gt;")</f>
        <v/>
      </c>
      <c r="E592" s="7">
        <f>IFERROR(__xludf.DUMMYFUNCTION("""COMPUTED_VALUE"""),"No artifact embedded")</f>
        <v/>
      </c>
      <c r="F592" s="7" t="n"/>
      <c r="G592" s="8" t="n">
        <v>1</v>
      </c>
      <c r="H592" s="8" t="n">
        <v>0</v>
      </c>
      <c r="I592" s="8" t="n">
        <v>0</v>
      </c>
      <c r="J592" s="8" t="n">
        <v>0</v>
      </c>
      <c r="K592" s="9" t="n">
        <v>1</v>
      </c>
      <c r="L592" s="9" t="n">
        <v>0</v>
      </c>
      <c r="M592" s="9" t="n">
        <v>0</v>
      </c>
      <c r="N592" s="9" t="n">
        <v>0</v>
      </c>
      <c r="O592" s="10" t="n">
        <v>0</v>
      </c>
      <c r="P592" s="10" t="n">
        <v>1</v>
      </c>
      <c r="Q592" s="10" t="n">
        <v>0</v>
      </c>
      <c r="R592" s="10" t="n">
        <v>0</v>
      </c>
      <c r="S592" s="10" t="n">
        <v>0</v>
      </c>
    </row>
    <row r="593" ht="409.5" customHeight="1">
      <c r="A593" s="6">
        <f>IFERROR(__xludf.DUMMYFUNCTION("""COMPUTED_VALUE"""),"PH OF SOLUTIONS")</f>
        <v/>
      </c>
      <c r="B593" s="6">
        <f>IFERROR(__xludf.DUMMYFUNCTION("""COMPUTED_VALUE"""),"Application")</f>
        <v/>
      </c>
      <c r="C593" s="6">
        <f>IFERROR(__xludf.DUMMYFUNCTION("""COMPUTED_VALUE"""),"pH Scale: Basics")</f>
        <v/>
      </c>
      <c r="D593" s="7">
        <f>IFERROR(__xludf.DUMMYFUNCTION("""COMPUTED_VALUE"""),"No task description")</f>
        <v/>
      </c>
      <c r="E593" s="7">
        <f>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
      </c>
      <c r="F593" s="7" t="n"/>
      <c r="G593" s="8" t="n">
        <v>0</v>
      </c>
      <c r="H593" s="8" t="n">
        <v>1</v>
      </c>
      <c r="I593" s="8" t="n">
        <v>0</v>
      </c>
      <c r="J593" s="8" t="n">
        <v>0</v>
      </c>
      <c r="K593" s="9" t="n">
        <v>1</v>
      </c>
      <c r="L593" s="9" t="n">
        <v>0</v>
      </c>
      <c r="M593" s="9" t="n">
        <v>0</v>
      </c>
      <c r="N593" s="9" t="n">
        <v>0</v>
      </c>
      <c r="O593" s="10" t="n">
        <v>0</v>
      </c>
      <c r="P593" s="10" t="n">
        <v>0</v>
      </c>
      <c r="Q593" s="10" t="n">
        <v>1</v>
      </c>
      <c r="R593" s="10" t="n">
        <v>0</v>
      </c>
      <c r="S593" s="10" t="n">
        <v>0</v>
      </c>
    </row>
    <row r="594" ht="217" customHeight="1">
      <c r="A594" s="6">
        <f>IFERROR(__xludf.DUMMYFUNCTION("""COMPUTED_VALUE"""),"PH OF SOLUTIONS")</f>
        <v/>
      </c>
      <c r="B594" s="6">
        <f>IFERROR(__xludf.DUMMYFUNCTION("""COMPUTED_VALUE"""),"Space")</f>
        <v/>
      </c>
      <c r="C594" s="6">
        <f>IFERROR(__xludf.DUMMYFUNCTION("""COMPUTED_VALUE"""),"EXPLORE")</f>
        <v/>
      </c>
      <c r="D594" s="7">
        <f>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
      </c>
      <c r="E594" s="7">
        <f>IFERROR(__xludf.DUMMYFUNCTION("""COMPUTED_VALUE"""),"No artifact embedded")</f>
        <v/>
      </c>
      <c r="F594" s="7" t="n"/>
      <c r="G594" s="8" t="n">
        <v>0</v>
      </c>
      <c r="H594" s="8" t="n">
        <v>1</v>
      </c>
      <c r="I594" s="8" t="n">
        <v>0</v>
      </c>
      <c r="J594" s="8" t="n">
        <v>0</v>
      </c>
      <c r="K594" s="9" t="n">
        <v>1</v>
      </c>
      <c r="L594" s="9" t="n">
        <v>0</v>
      </c>
      <c r="M594" s="9" t="n">
        <v>0</v>
      </c>
      <c r="N594" s="9" t="n">
        <v>0</v>
      </c>
      <c r="O594" s="10" t="n">
        <v>0</v>
      </c>
      <c r="P594" s="10" t="n">
        <v>0</v>
      </c>
      <c r="Q594" s="10" t="n">
        <v>1</v>
      </c>
      <c r="R594" s="10" t="n">
        <v>0</v>
      </c>
      <c r="S594" s="10" t="n">
        <v>0</v>
      </c>
    </row>
    <row r="595" ht="73" customHeight="1">
      <c r="A595" s="6">
        <f>IFERROR(__xludf.DUMMYFUNCTION("""COMPUTED_VALUE"""),"PH OF SOLUTIONS")</f>
        <v/>
      </c>
      <c r="B595" s="6">
        <f>IFERROR(__xludf.DUMMYFUNCTION("""COMPUTED_VALUE"""),"Application")</f>
        <v/>
      </c>
      <c r="C595" s="6">
        <f>IFERROR(__xludf.DUMMYFUNCTION("""COMPUTED_VALUE"""),"Determination of pH")</f>
        <v/>
      </c>
      <c r="D595" s="7">
        <f>IFERROR(__xludf.DUMMYFUNCTION("""COMPUTED_VALUE"""),"No task description")</f>
        <v/>
      </c>
      <c r="E595" s="7">
        <f>IFERROR(__xludf.DUMMYFUNCTION("""COMPUTED_VALUE"""),"Golabz app/lab: ""&lt;p&gt;With this lab you will learn how to determine the ph of bases and acids.&lt;/p&gt;""")</f>
        <v/>
      </c>
      <c r="F595" s="7" t="n"/>
      <c r="G595" s="8" t="n">
        <v>0</v>
      </c>
      <c r="H595" s="8" t="n">
        <v>1</v>
      </c>
      <c r="I595" s="8" t="n">
        <v>0</v>
      </c>
      <c r="J595" s="8" t="n">
        <v>0</v>
      </c>
      <c r="K595" s="9" t="n">
        <v>1</v>
      </c>
      <c r="L595" s="9" t="n">
        <v>0</v>
      </c>
      <c r="M595" s="9" t="n">
        <v>0</v>
      </c>
      <c r="N595" s="9" t="n">
        <v>0</v>
      </c>
      <c r="O595" s="10" t="n">
        <v>0</v>
      </c>
      <c r="P595" s="10" t="n">
        <v>0</v>
      </c>
      <c r="Q595" s="10" t="n">
        <v>1</v>
      </c>
      <c r="R595" s="10" t="n">
        <v>0</v>
      </c>
      <c r="S595" s="10" t="n">
        <v>0</v>
      </c>
    </row>
    <row r="596" ht="25" customHeight="1">
      <c r="A596" s="6">
        <f>IFERROR(__xludf.DUMMYFUNCTION("""COMPUTED_VALUE"""),"PH OF SOLUTIONS")</f>
        <v/>
      </c>
      <c r="B596" s="6">
        <f>IFERROR(__xludf.DUMMYFUNCTION("""COMPUTED_VALUE"""),"Space")</f>
        <v/>
      </c>
      <c r="C596" s="6">
        <f>IFERROR(__xludf.DUMMYFUNCTION("""COMPUTED_VALUE"""),"EXPLAIN")</f>
        <v/>
      </c>
      <c r="D596" s="7">
        <f>IFERROR(__xludf.DUMMYFUNCTION("""COMPUTED_VALUE"""),"No task description")</f>
        <v/>
      </c>
      <c r="E596" s="7">
        <f>IFERROR(__xludf.DUMMYFUNCTION("""COMPUTED_VALUE"""),"No artifact embedded")</f>
        <v/>
      </c>
      <c r="F596" s="7" t="n"/>
      <c r="G596" s="8" t="n">
        <v>0</v>
      </c>
      <c r="H596" s="8" t="n">
        <v>0</v>
      </c>
      <c r="I596" s="8" t="n">
        <v>0</v>
      </c>
      <c r="J596" s="8" t="n">
        <v>0</v>
      </c>
      <c r="K596" s="9" t="n">
        <v>0</v>
      </c>
      <c r="L596" s="9" t="n">
        <v>0</v>
      </c>
      <c r="M596" s="9" t="n">
        <v>0</v>
      </c>
      <c r="N596" s="9" t="n">
        <v>0</v>
      </c>
      <c r="O596" s="10" t="n">
        <v>0</v>
      </c>
      <c r="P596" s="10" t="n">
        <v>0</v>
      </c>
      <c r="Q596" s="10" t="n">
        <v>0</v>
      </c>
      <c r="R596" s="10" t="n">
        <v>0</v>
      </c>
      <c r="S596" s="10" t="n">
        <v>0</v>
      </c>
    </row>
    <row r="597" ht="109" customHeight="1">
      <c r="A597" s="6">
        <f>IFERROR(__xludf.DUMMYFUNCTION("""COMPUTED_VALUE"""),"PH OF SOLUTIONS")</f>
        <v/>
      </c>
      <c r="B597" s="6">
        <f>IFERROR(__xludf.DUMMYFUNCTION("""COMPUTED_VALUE"""),"Space")</f>
        <v/>
      </c>
      <c r="C597" s="6">
        <f>IFERROR(__xludf.DUMMYFUNCTION("""COMPUTED_VALUE"""),"ELABORATE")</f>
        <v/>
      </c>
      <c r="D597" s="7">
        <f>IFERROR(__xludf.DUMMYFUNCTION("""COMPUTED_VALUE"""),"&lt;p&gt;when an acid reacts with a basic solution it forms a neutral solution.&lt;/p&gt;&lt;p&gt;An acid has a ph of 1-6 while a base as a ph of 8-14.&lt;/p&gt;")</f>
        <v/>
      </c>
      <c r="E597" s="7">
        <f>IFERROR(__xludf.DUMMYFUNCTION("""COMPUTED_VALUE"""),"No artifact embedded")</f>
        <v/>
      </c>
      <c r="F597" s="7" t="n"/>
      <c r="G597" s="8" t="n">
        <v>1</v>
      </c>
      <c r="H597" s="8" t="n">
        <v>0</v>
      </c>
      <c r="I597" s="8" t="n">
        <v>0</v>
      </c>
      <c r="J597" s="8" t="n">
        <v>0</v>
      </c>
      <c r="K597" s="9" t="n">
        <v>1</v>
      </c>
      <c r="L597" s="9" t="n">
        <v>0</v>
      </c>
      <c r="M597" s="9" t="n">
        <v>0</v>
      </c>
      <c r="N597" s="9" t="n">
        <v>0</v>
      </c>
      <c r="O597" s="10" t="n">
        <v>1</v>
      </c>
      <c r="P597" s="10" t="n">
        <v>0</v>
      </c>
      <c r="Q597" s="10" t="n">
        <v>0</v>
      </c>
      <c r="R597" s="10" t="n">
        <v>0</v>
      </c>
      <c r="S597" s="10" t="n">
        <v>0</v>
      </c>
    </row>
    <row r="598" ht="409.5" customHeight="1">
      <c r="A598" s="6">
        <f>IFERROR(__xludf.DUMMYFUNCTION("""COMPUTED_VALUE"""),"PH OF SOLUTIONS")</f>
        <v/>
      </c>
      <c r="B598" s="6">
        <f>IFERROR(__xludf.DUMMYFUNCTION("""COMPUTED_VALUE"""),"Application")</f>
        <v/>
      </c>
      <c r="C598" s="6">
        <f>IFERROR(__xludf.DUMMYFUNCTION("""COMPUTED_VALUE"""),"Acid base solution")</f>
        <v/>
      </c>
      <c r="D598" s="7">
        <f>IFERROR(__xludf.DUMMYFUNCTION("""COMPUTED_VALUE"""),"No task description")</f>
        <v/>
      </c>
      <c r="E598" s="7">
        <f>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
      </c>
      <c r="F598" s="7" t="n"/>
      <c r="G598" s="8" t="n">
        <v>0</v>
      </c>
      <c r="H598" s="8" t="n">
        <v>1</v>
      </c>
      <c r="I598" s="8" t="n">
        <v>0</v>
      </c>
      <c r="J598" s="8" t="n">
        <v>0</v>
      </c>
      <c r="K598" s="9" t="n">
        <v>1</v>
      </c>
      <c r="L598" s="9" t="n">
        <v>0</v>
      </c>
      <c r="M598" s="9" t="n">
        <v>0</v>
      </c>
      <c r="N598" s="9" t="n">
        <v>0</v>
      </c>
      <c r="O598" s="10" t="n">
        <v>0</v>
      </c>
      <c r="P598" s="10" t="n">
        <v>0</v>
      </c>
      <c r="Q598" s="10" t="n">
        <v>1</v>
      </c>
      <c r="R598" s="10" t="n">
        <v>0</v>
      </c>
      <c r="S598" s="10" t="n">
        <v>0</v>
      </c>
    </row>
    <row r="599" ht="25" customHeight="1">
      <c r="A599" s="6">
        <f>IFERROR(__xludf.DUMMYFUNCTION("""COMPUTED_VALUE"""),"PH OF SOLUTIONS")</f>
        <v/>
      </c>
      <c r="B599" s="6">
        <f>IFERROR(__xludf.DUMMYFUNCTION("""COMPUTED_VALUE"""),"Space")</f>
        <v/>
      </c>
      <c r="C599" s="6">
        <f>IFERROR(__xludf.DUMMYFUNCTION("""COMPUTED_VALUE"""),"EVALUATE")</f>
        <v/>
      </c>
      <c r="D599" s="7">
        <f>IFERROR(__xludf.DUMMYFUNCTION("""COMPUTED_VALUE"""),"No task description")</f>
        <v/>
      </c>
      <c r="E599" s="7">
        <f>IFERROR(__xludf.DUMMYFUNCTION("""COMPUTED_VALUE"""),"No artifact embedded")</f>
        <v/>
      </c>
      <c r="F599" s="7" t="n"/>
      <c r="G599" s="8" t="n">
        <v>0</v>
      </c>
      <c r="H599" s="8" t="n">
        <v>0</v>
      </c>
      <c r="I599" s="8" t="n">
        <v>0</v>
      </c>
      <c r="J599" s="8" t="n">
        <v>0</v>
      </c>
      <c r="K599" s="9" t="n">
        <v>0</v>
      </c>
      <c r="L599" s="9" t="n">
        <v>0</v>
      </c>
      <c r="M599" s="9" t="n">
        <v>0</v>
      </c>
      <c r="N599" s="9" t="n">
        <v>0</v>
      </c>
      <c r="O599" s="10" t="n">
        <v>0</v>
      </c>
      <c r="P599" s="10" t="n">
        <v>0</v>
      </c>
      <c r="Q599" s="10" t="n">
        <v>0</v>
      </c>
      <c r="R599" s="10" t="n">
        <v>0</v>
      </c>
      <c r="S599" s="10" t="n">
        <v>0</v>
      </c>
    </row>
    <row r="600" ht="329" customHeight="1">
      <c r="A600" s="6">
        <f>IFERROR(__xludf.DUMMYFUNCTION("""COMPUTED_VALUE"""),"PH OF SOLUTIONS")</f>
        <v/>
      </c>
      <c r="B600" s="6">
        <f>IFERROR(__xludf.DUMMYFUNCTION("""COMPUTED_VALUE"""),"Application")</f>
        <v/>
      </c>
      <c r="C600" s="6">
        <f>IFERROR(__xludf.DUMMYFUNCTION("""COMPUTED_VALUE"""),"Input Box")</f>
        <v/>
      </c>
      <c r="D600" s="7">
        <f>IFERROR(__xludf.DUMMYFUNCTION("""COMPUTED_VALUE"""),"No task description")</f>
        <v/>
      </c>
      <c r="E6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0" s="7" t="n"/>
      <c r="G600" s="8" t="n">
        <v>0</v>
      </c>
      <c r="H600" s="8" t="n">
        <v>0</v>
      </c>
      <c r="I600" s="8" t="n">
        <v>0</v>
      </c>
      <c r="J600" s="8" t="n">
        <v>0</v>
      </c>
      <c r="K600" s="9" t="n">
        <v>0</v>
      </c>
      <c r="L600" s="9" t="n">
        <v>0</v>
      </c>
      <c r="M600" s="9" t="n">
        <v>0</v>
      </c>
      <c r="N600" s="9" t="n">
        <v>0</v>
      </c>
      <c r="O600" s="10" t="n">
        <v>0</v>
      </c>
      <c r="P600" s="10" t="n">
        <v>0</v>
      </c>
      <c r="Q600" s="10" t="n">
        <v>0</v>
      </c>
      <c r="R600" s="10" t="n">
        <v>0</v>
      </c>
      <c r="S600" s="10" t="n">
        <v>0</v>
      </c>
    </row>
    <row r="601" ht="157" customHeight="1">
      <c r="A601" s="6">
        <f>IFERROR(__xludf.DUMMYFUNCTION("""COMPUTED_VALUE"""),"PH OF SOLUTIONS")</f>
        <v/>
      </c>
      <c r="B601" s="6">
        <f>IFERROR(__xludf.DUMMYFUNCTION("""COMPUTED_VALUE"""),"Application")</f>
        <v/>
      </c>
      <c r="C601" s="6">
        <f>IFERROR(__xludf.DUMMYFUNCTION("""COMPUTED_VALUE"""),"File Drop")</f>
        <v/>
      </c>
      <c r="D601" s="7">
        <f>IFERROR(__xludf.DUMMYFUNCTION("""COMPUTED_VALUE"""),"No task description")</f>
        <v/>
      </c>
      <c r="E601" s="7">
        <f>IFERROR(__xludf.DUMMYFUNCTION("""COMPUTED_VALUE"""),"Golabz app/lab: ""&lt;p&gt;This app allows students to upload files, e.g., assignment and reports, to the Inquiry learning Space. The app also allows teachers to download the uploaded files.&lt;/p&gt;\r\n""")</f>
        <v/>
      </c>
      <c r="F601" s="7" t="n"/>
      <c r="G601" s="8" t="n">
        <v>0</v>
      </c>
      <c r="H601" s="8" t="n">
        <v>0</v>
      </c>
      <c r="I601" s="8" t="n">
        <v>0</v>
      </c>
      <c r="J601" s="8" t="n">
        <v>0</v>
      </c>
      <c r="K601" s="9" t="n">
        <v>0</v>
      </c>
      <c r="L601" s="9" t="n">
        <v>0</v>
      </c>
      <c r="M601" s="9" t="n">
        <v>0</v>
      </c>
      <c r="N601" s="9" t="n">
        <v>0</v>
      </c>
      <c r="O601" s="10" t="n">
        <v>0</v>
      </c>
      <c r="P601" s="10" t="n">
        <v>0</v>
      </c>
      <c r="Q601" s="10" t="n">
        <v>0</v>
      </c>
      <c r="R601" s="10" t="n">
        <v>0</v>
      </c>
      <c r="S601" s="10" t="n">
        <v>0</v>
      </c>
    </row>
    <row r="602" ht="329" customHeight="1">
      <c r="A602" s="6">
        <f>IFERROR(__xludf.DUMMYFUNCTION("""COMPUTED_VALUE"""),"PH OF SOLUTIONS")</f>
        <v/>
      </c>
      <c r="B602" s="6">
        <f>IFERROR(__xludf.DUMMYFUNCTION("""COMPUTED_VALUE"""),"Application")</f>
        <v/>
      </c>
      <c r="C602" s="6">
        <f>IFERROR(__xludf.DUMMYFUNCTION("""COMPUTED_VALUE"""),"Input Box (1)")</f>
        <v/>
      </c>
      <c r="D602" s="7">
        <f>IFERROR(__xludf.DUMMYFUNCTION("""COMPUTED_VALUE"""),"No task description")</f>
        <v/>
      </c>
      <c r="E6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2" s="7" t="n"/>
      <c r="G602" s="8" t="n">
        <v>0</v>
      </c>
      <c r="H602" s="8" t="n">
        <v>0</v>
      </c>
      <c r="I602" s="8" t="n">
        <v>0</v>
      </c>
      <c r="J602" s="8" t="n">
        <v>0</v>
      </c>
      <c r="K602" s="9" t="n">
        <v>0</v>
      </c>
      <c r="L602" s="9" t="n">
        <v>0</v>
      </c>
      <c r="M602" s="9" t="n">
        <v>0</v>
      </c>
      <c r="N602" s="9" t="n">
        <v>0</v>
      </c>
      <c r="O602" s="10" t="n">
        <v>0</v>
      </c>
      <c r="P602" s="10" t="n">
        <v>0</v>
      </c>
      <c r="Q602" s="10" t="n">
        <v>0</v>
      </c>
      <c r="R602" s="10" t="n">
        <v>0</v>
      </c>
      <c r="S602" s="10" t="n">
        <v>0</v>
      </c>
    </row>
    <row r="603" ht="329" customHeight="1">
      <c r="A603" s="6">
        <f>IFERROR(__xludf.DUMMYFUNCTION("""COMPUTED_VALUE"""),"PH OF SOLUTIONS")</f>
        <v/>
      </c>
      <c r="B603" s="6">
        <f>IFERROR(__xludf.DUMMYFUNCTION("""COMPUTED_VALUE"""),"Application")</f>
        <v/>
      </c>
      <c r="C603" s="6">
        <f>IFERROR(__xludf.DUMMYFUNCTION("""COMPUTED_VALUE"""),"Input Box (2)")</f>
        <v/>
      </c>
      <c r="D603" s="7">
        <f>IFERROR(__xludf.DUMMYFUNCTION("""COMPUTED_VALUE"""),"No task description")</f>
        <v/>
      </c>
      <c r="E6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3" s="7" t="n"/>
      <c r="G603" s="8" t="n">
        <v>0</v>
      </c>
      <c r="H603" s="8" t="n">
        <v>0</v>
      </c>
      <c r="I603" s="8" t="n">
        <v>0</v>
      </c>
      <c r="J603" s="8" t="n">
        <v>0</v>
      </c>
      <c r="K603" s="9" t="n">
        <v>0</v>
      </c>
      <c r="L603" s="9" t="n">
        <v>0</v>
      </c>
      <c r="M603" s="9" t="n">
        <v>0</v>
      </c>
      <c r="N603" s="9" t="n">
        <v>0</v>
      </c>
      <c r="O603" s="10" t="n">
        <v>0</v>
      </c>
      <c r="P603" s="10" t="n">
        <v>0</v>
      </c>
      <c r="Q603" s="10" t="n">
        <v>0</v>
      </c>
      <c r="R603" s="10" t="n">
        <v>0</v>
      </c>
      <c r="S603" s="10" t="n">
        <v>0</v>
      </c>
    </row>
    <row r="604" ht="109" customHeight="1">
      <c r="A604" s="6">
        <f>IFERROR(__xludf.DUMMYFUNCTION("""COMPUTED_VALUE"""),"Digital Divide")</f>
        <v/>
      </c>
      <c r="B604" s="6">
        <f>IFERROR(__xludf.DUMMYFUNCTION("""COMPUTED_VALUE"""),"Space")</f>
        <v/>
      </c>
      <c r="C604" s="6">
        <f>IFERROR(__xludf.DUMMYFUNCTION("""COMPUTED_VALUE"""),"Orientation")</f>
        <v/>
      </c>
      <c r="D604" s="7">
        <f>IFERROR(__xludf.DUMMYFUNCTION("""COMPUTED_VALUE"""),"&lt;p&gt;Hello students, we are going to learn about Digital Divide, i hope you find this lesson interesting and informative.&lt;/p&gt;")</f>
        <v/>
      </c>
      <c r="E604" s="7">
        <f>IFERROR(__xludf.DUMMYFUNCTION("""COMPUTED_VALUE"""),"No artifact embedded")</f>
        <v/>
      </c>
      <c r="F604" s="7" t="n"/>
      <c r="G604" s="8" t="n">
        <v>1</v>
      </c>
      <c r="H604" s="8" t="n">
        <v>0</v>
      </c>
      <c r="I604" s="8" t="n">
        <v>0</v>
      </c>
      <c r="J604" s="8" t="n">
        <v>0</v>
      </c>
      <c r="K604" s="9" t="n">
        <v>1</v>
      </c>
      <c r="L604" s="9" t="n">
        <v>0</v>
      </c>
      <c r="M604" s="9" t="n">
        <v>0</v>
      </c>
      <c r="N604" s="9" t="n">
        <v>0</v>
      </c>
      <c r="O604" s="10" t="n">
        <v>1</v>
      </c>
      <c r="P604" s="10" t="n">
        <v>0</v>
      </c>
      <c r="Q604" s="10" t="n">
        <v>0</v>
      </c>
      <c r="R604" s="10" t="n">
        <v>0</v>
      </c>
      <c r="S604" s="10" t="n">
        <v>0</v>
      </c>
    </row>
    <row r="605" ht="25" customHeight="1">
      <c r="A605" s="6">
        <f>IFERROR(__xludf.DUMMYFUNCTION("""COMPUTED_VALUE"""),"Digital Divide")</f>
        <v/>
      </c>
      <c r="B605" s="6">
        <f>IFERROR(__xludf.DUMMYFUNCTION("""COMPUTED_VALUE"""),"Space")</f>
        <v/>
      </c>
      <c r="C605" s="6">
        <f>IFERROR(__xludf.DUMMYFUNCTION("""COMPUTED_VALUE"""),"Conceptualisation")</f>
        <v/>
      </c>
      <c r="D605" s="7">
        <f>IFERROR(__xludf.DUMMYFUNCTION("""COMPUTED_VALUE"""),"No task description")</f>
        <v/>
      </c>
      <c r="E605" s="7">
        <f>IFERROR(__xludf.DUMMYFUNCTION("""COMPUTED_VALUE"""),"No artifact embedded")</f>
        <v/>
      </c>
      <c r="F605" s="7" t="n"/>
      <c r="G605" s="8" t="n">
        <v>0</v>
      </c>
      <c r="H605" s="8" t="n">
        <v>0</v>
      </c>
      <c r="I605" s="8" t="n">
        <v>0</v>
      </c>
      <c r="J605" s="8" t="n">
        <v>0</v>
      </c>
      <c r="K605" s="9" t="n">
        <v>0</v>
      </c>
      <c r="L605" s="9" t="n">
        <v>0</v>
      </c>
      <c r="M605" s="9" t="n">
        <v>0</v>
      </c>
      <c r="N605" s="9" t="n">
        <v>0</v>
      </c>
      <c r="O605" s="10" t="n">
        <v>0</v>
      </c>
      <c r="P605" s="10" t="n">
        <v>0</v>
      </c>
      <c r="Q605" s="10" t="n">
        <v>0</v>
      </c>
      <c r="R605" s="10" t="n">
        <v>0</v>
      </c>
      <c r="S605" s="10" t="n">
        <v>0</v>
      </c>
    </row>
    <row r="606" ht="181" customHeight="1">
      <c r="A606" s="6">
        <f>IFERROR(__xludf.DUMMYFUNCTION("""COMPUTED_VALUE"""),"Digital Divide")</f>
        <v/>
      </c>
      <c r="B606" s="6">
        <f>IFERROR(__xludf.DUMMYFUNCTION("""COMPUTED_VALUE"""),"Resource")</f>
        <v/>
      </c>
      <c r="C606" s="6">
        <f>IFERROR(__xludf.DUMMYFUNCTION("""COMPUTED_VALUE"""),"Learning Objectives.graasp")</f>
        <v/>
      </c>
      <c r="D606" s="7">
        <f>IFERROR(__xludf.DUMMYFUNCTION("""COMPUTED_VALUE"""),"&lt;p&gt;At the end of this lesson, students should be able to:&lt;/p&gt;&lt;p&gt;1. explain what is meant by digital divide&lt;br&gt;2. state the features of old and new economy&lt;br&gt;3. explain how digital divide has affect peoples lives&lt;/p&gt;")</f>
        <v/>
      </c>
      <c r="E606" s="7">
        <f>IFERROR(__xludf.DUMMYFUNCTION("""COMPUTED_VALUE"""),"No artifact embedded")</f>
        <v/>
      </c>
      <c r="F606" s="7" t="n"/>
      <c r="G606" s="8" t="n">
        <v>1</v>
      </c>
      <c r="H606" s="8" t="n">
        <v>0</v>
      </c>
      <c r="I606" s="8" t="n">
        <v>0</v>
      </c>
      <c r="J606" s="8" t="n">
        <v>0</v>
      </c>
      <c r="K606" s="9" t="n">
        <v>1</v>
      </c>
      <c r="L606" s="9" t="n">
        <v>0</v>
      </c>
      <c r="M606" s="9" t="n">
        <v>0</v>
      </c>
      <c r="N606" s="9" t="n">
        <v>0</v>
      </c>
      <c r="O606" s="10" t="n">
        <v>1</v>
      </c>
      <c r="P606" s="10" t="n">
        <v>0</v>
      </c>
      <c r="Q606" s="10" t="n">
        <v>0</v>
      </c>
      <c r="R606" s="10" t="n">
        <v>0</v>
      </c>
      <c r="S606" s="10" t="n">
        <v>0</v>
      </c>
    </row>
    <row r="607" ht="61" customHeight="1">
      <c r="A607" s="6">
        <f>IFERROR(__xludf.DUMMYFUNCTION("""COMPUTED_VALUE"""),"Digital Divide")</f>
        <v/>
      </c>
      <c r="B607" s="6">
        <f>IFERROR(__xludf.DUMMYFUNCTION("""COMPUTED_VALUE"""),"Space")</f>
        <v/>
      </c>
      <c r="C607" s="6">
        <f>IFERROR(__xludf.DUMMYFUNCTION("""COMPUTED_VALUE"""),"Investigation")</f>
        <v/>
      </c>
      <c r="D607" s="7">
        <f>IFERROR(__xludf.DUMMYFUNCTION("""COMPUTED_VALUE"""),"&lt;p&gt;See the below video for a better for a better understanding!&lt;/p&gt;")</f>
        <v/>
      </c>
      <c r="E607" s="7">
        <f>IFERROR(__xludf.DUMMYFUNCTION("""COMPUTED_VALUE"""),"No artifact embedded")</f>
        <v/>
      </c>
      <c r="F607" s="7" t="n"/>
      <c r="G607" s="8" t="n">
        <v>1</v>
      </c>
      <c r="H607" s="8" t="n">
        <v>0</v>
      </c>
      <c r="I607" s="8" t="n">
        <v>0</v>
      </c>
      <c r="J607" s="8" t="n">
        <v>0</v>
      </c>
      <c r="K607" s="9" t="n">
        <v>1</v>
      </c>
      <c r="L607" s="9" t="n">
        <v>0</v>
      </c>
      <c r="M607" s="9" t="n">
        <v>0</v>
      </c>
      <c r="N607" s="9" t="n">
        <v>0</v>
      </c>
      <c r="O607" s="10" t="n">
        <v>1</v>
      </c>
      <c r="P607" s="10" t="n">
        <v>0</v>
      </c>
      <c r="Q607" s="10" t="n">
        <v>0</v>
      </c>
      <c r="R607" s="10" t="n">
        <v>0</v>
      </c>
      <c r="S607" s="10" t="n">
        <v>0</v>
      </c>
    </row>
    <row r="608" ht="409.5" customHeight="1">
      <c r="A608" s="6">
        <f>IFERROR(__xludf.DUMMYFUNCTION("""COMPUTED_VALUE"""),"Digital Divide")</f>
        <v/>
      </c>
      <c r="B608" s="6">
        <f>IFERROR(__xludf.DUMMYFUNCTION("""COMPUTED_VALUE"""),"Resource")</f>
        <v/>
      </c>
      <c r="C608" s="6">
        <f>IFERROR(__xludf.DUMMYFUNCTION("""COMPUTED_VALUE"""),"What do you understand by the term""Digital Divide?"".graasp")</f>
        <v/>
      </c>
      <c r="D608" s="7">
        <f>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
      </c>
      <c r="E608" s="7">
        <f>IFERROR(__xludf.DUMMYFUNCTION("""COMPUTED_VALUE"""),"No artifact embedded")</f>
        <v/>
      </c>
      <c r="F608" s="7" t="n"/>
      <c r="G608" s="8" t="n">
        <v>1</v>
      </c>
      <c r="H608" s="8" t="n">
        <v>0</v>
      </c>
      <c r="I608" s="8" t="n">
        <v>0</v>
      </c>
      <c r="J608" s="8" t="n">
        <v>0</v>
      </c>
      <c r="K608" s="9" t="n">
        <v>1</v>
      </c>
      <c r="L608" s="9" t="n">
        <v>0</v>
      </c>
      <c r="M608" s="9" t="n">
        <v>0</v>
      </c>
      <c r="N608" s="9" t="n">
        <v>0</v>
      </c>
      <c r="O608" s="10" t="n">
        <v>1</v>
      </c>
      <c r="P608" s="10" t="n">
        <v>0</v>
      </c>
      <c r="Q608" s="10" t="n">
        <v>0</v>
      </c>
      <c r="R608" s="10" t="n">
        <v>0</v>
      </c>
      <c r="S608" s="10" t="n">
        <v>0</v>
      </c>
    </row>
    <row r="609" ht="133" customHeight="1">
      <c r="A609" s="6">
        <f>IFERROR(__xludf.DUMMYFUNCTION("""COMPUTED_VALUE"""),"Digital Divide")</f>
        <v/>
      </c>
      <c r="B609" s="6">
        <f>IFERROR(__xludf.DUMMYFUNCTION("""COMPUTED_VALUE"""),"Resource")</f>
        <v/>
      </c>
      <c r="C609" s="6">
        <f>IFERROR(__xludf.DUMMYFUNCTION("""COMPUTED_VALUE"""),"What is digital divide? - Definition from WhatIs.com")</f>
        <v/>
      </c>
      <c r="D609" s="7">
        <f>IFERROR(__xludf.DUMMYFUNCTION("""COMPUTED_VALUE"""),"Digital divide is a term that refers to the gap between demographics and regions that have access to modern information and communications technology an...")</f>
        <v/>
      </c>
      <c r="E609" s="7">
        <f>IFERROR(__xludf.DUMMYFUNCTION("""COMPUTED_VALUE"""),"techtarget.com: Offers definitions and articles on technology-related topics, such as the digital divide.")</f>
        <v/>
      </c>
      <c r="F609" s="7" t="n"/>
      <c r="G609" s="8" t="n">
        <v>1</v>
      </c>
      <c r="H609" s="8" t="n">
        <v>0</v>
      </c>
      <c r="I609" s="8" t="n">
        <v>0</v>
      </c>
      <c r="J609" s="8" t="n">
        <v>0</v>
      </c>
      <c r="K609" s="9" t="n">
        <v>1</v>
      </c>
      <c r="L609" s="9" t="n">
        <v>0</v>
      </c>
      <c r="M609" s="9" t="n">
        <v>0</v>
      </c>
      <c r="N609" s="9" t="n">
        <v>0</v>
      </c>
      <c r="O609" s="10" t="n">
        <v>1</v>
      </c>
      <c r="P609" s="10" t="n">
        <v>0</v>
      </c>
      <c r="Q609" s="10" t="n">
        <v>0</v>
      </c>
      <c r="R609" s="10" t="n">
        <v>0</v>
      </c>
      <c r="S609" s="10" t="n">
        <v>0</v>
      </c>
    </row>
    <row r="610" ht="133" customHeight="1">
      <c r="A610" s="6">
        <f>IFERROR(__xludf.DUMMYFUNCTION("""COMPUTED_VALUE"""),"Digital Divide")</f>
        <v/>
      </c>
      <c r="B610" s="6">
        <f>IFERROR(__xludf.DUMMYFUNCTION("""COMPUTED_VALUE"""),"Resource")</f>
        <v/>
      </c>
      <c r="C610" s="6">
        <f>IFERROR(__xludf.DUMMYFUNCTION("""COMPUTED_VALUE"""),"What is the Digital Divide? - Definition from Techopedia")</f>
        <v/>
      </c>
      <c r="D610" s="7">
        <f>IFERROR(__xludf.DUMMYFUNCTION("""COMPUTED_VALUE"""),"Digital Divide Definition - The digital divide refers to the difference between people who have easy access to the Internet and those who do not. A...")</f>
        <v/>
      </c>
      <c r="E610" s="7">
        <f>IFERROR(__xludf.DUMMYFUNCTION("""COMPUTED_VALUE"""),"techopedia.com: Offers definitions and explanations of technology-related terms, such as the digital divide.")</f>
        <v/>
      </c>
      <c r="F610" s="7" t="n"/>
      <c r="G610" s="8" t="n">
        <v>1</v>
      </c>
      <c r="H610" s="8" t="n">
        <v>0</v>
      </c>
      <c r="I610" s="8" t="n">
        <v>0</v>
      </c>
      <c r="J610" s="8" t="n">
        <v>0</v>
      </c>
      <c r="K610" s="9" t="n">
        <v>1</v>
      </c>
      <c r="L610" s="9" t="n">
        <v>0</v>
      </c>
      <c r="M610" s="9" t="n">
        <v>0</v>
      </c>
      <c r="N610" s="9" t="n">
        <v>0</v>
      </c>
      <c r="O610" s="10" t="n">
        <v>1</v>
      </c>
      <c r="P610" s="10" t="n">
        <v>0</v>
      </c>
      <c r="Q610" s="10" t="n">
        <v>0</v>
      </c>
      <c r="R610" s="10" t="n">
        <v>0</v>
      </c>
      <c r="S610" s="10" t="n">
        <v>0</v>
      </c>
    </row>
    <row r="611" ht="409.5" customHeight="1">
      <c r="A611" s="6">
        <f>IFERROR(__xludf.DUMMYFUNCTION("""COMPUTED_VALUE"""),"Digital Divide")</f>
        <v/>
      </c>
      <c r="B611" s="6">
        <f>IFERROR(__xludf.DUMMYFUNCTION("""COMPUTED_VALUE"""),"Resource")</f>
        <v/>
      </c>
      <c r="C611" s="6">
        <f>IFERROR(__xludf.DUMMYFUNCTION("""COMPUTED_VALUE"""),"Digital Divide")</f>
        <v/>
      </c>
      <c r="D611" s="7">
        <f>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
      </c>
      <c r="E611" s="7">
        <f>IFERROR(__xludf.DUMMYFUNCTION("""COMPUTED_VALUE"""),"youtube.com: A widely known video-sharing platform where users can watch videos on a vast array of topics, including educational content.")</f>
        <v/>
      </c>
      <c r="F611" s="7" t="n"/>
      <c r="G611" s="8" t="n">
        <v>1</v>
      </c>
      <c r="H611" s="8" t="n">
        <v>0</v>
      </c>
      <c r="I611" s="8" t="n">
        <v>0</v>
      </c>
      <c r="J611" s="8" t="n">
        <v>0</v>
      </c>
      <c r="K611" s="9" t="n">
        <v>1</v>
      </c>
      <c r="L611" s="9" t="n">
        <v>0</v>
      </c>
      <c r="M611" s="9" t="n">
        <v>0</v>
      </c>
      <c r="N611" s="9" t="n">
        <v>0</v>
      </c>
      <c r="O611" s="10" t="n">
        <v>1</v>
      </c>
      <c r="P611" s="10" t="n">
        <v>0</v>
      </c>
      <c r="Q611" s="10" t="n">
        <v>0</v>
      </c>
      <c r="R611" s="10" t="n">
        <v>0</v>
      </c>
      <c r="S611" s="10" t="n">
        <v>0</v>
      </c>
    </row>
    <row r="612" ht="121" customHeight="1">
      <c r="A612" s="6">
        <f>IFERROR(__xludf.DUMMYFUNCTION("""COMPUTED_VALUE"""),"Digital Divide")</f>
        <v/>
      </c>
      <c r="B612" s="6">
        <f>IFERROR(__xludf.DUMMYFUNCTION("""COMPUTED_VALUE"""),"Resource")</f>
        <v/>
      </c>
      <c r="C612" s="6">
        <f>IFERROR(__xludf.DUMMYFUNCTION("""COMPUTED_VALUE"""),"Digital Divide (2).mp4")</f>
        <v/>
      </c>
      <c r="D612" s="7">
        <f>IFERROR(__xludf.DUMMYFUNCTION("""COMPUTED_VALUE"""),"No task description")</f>
        <v/>
      </c>
      <c r="E612" s="7">
        <f>IFERROR(__xludf.DUMMYFUNCTION("""COMPUTED_VALUE"""),"video/mp4 – A video file containing moving images and possibly audio, suitable for playback on most modern devices and platforms.")</f>
        <v/>
      </c>
      <c r="F612" s="7" t="n"/>
      <c r="G612" s="8" t="n">
        <v>1</v>
      </c>
      <c r="H612" s="8" t="n">
        <v>0</v>
      </c>
      <c r="I612" s="8" t="n">
        <v>0</v>
      </c>
      <c r="J612" s="8" t="n">
        <v>0</v>
      </c>
      <c r="K612" s="9" t="n">
        <v>1</v>
      </c>
      <c r="L612" s="9" t="n">
        <v>0</v>
      </c>
      <c r="M612" s="9" t="n">
        <v>0</v>
      </c>
      <c r="N612" s="9" t="n">
        <v>0</v>
      </c>
      <c r="O612" s="10" t="n">
        <v>0</v>
      </c>
      <c r="P612" s="10" t="n">
        <v>0</v>
      </c>
      <c r="Q612" s="10" t="n">
        <v>0</v>
      </c>
      <c r="R612" s="10" t="n">
        <v>0</v>
      </c>
      <c r="S612" s="10" t="n">
        <v>0</v>
      </c>
    </row>
    <row r="613" ht="121" customHeight="1">
      <c r="A613" s="6">
        <f>IFERROR(__xludf.DUMMYFUNCTION("""COMPUTED_VALUE"""),"Digital Divide")</f>
        <v/>
      </c>
      <c r="B613" s="6">
        <f>IFERROR(__xludf.DUMMYFUNCTION("""COMPUTED_VALUE"""),"Resource")</f>
        <v/>
      </c>
      <c r="C613" s="6">
        <f>IFERROR(__xludf.DUMMYFUNCTION("""COMPUTED_VALUE"""),"digital 1.jpg")</f>
        <v/>
      </c>
      <c r="D613" s="7">
        <f>IFERROR(__xludf.DUMMYFUNCTION("""COMPUTED_VALUE"""),"[17' V mm")</f>
        <v/>
      </c>
      <c r="E613" s="7">
        <f>IFERROR(__xludf.DUMMYFUNCTION("""COMPUTED_VALUE"""),"image/jpeg – A digital photograph or web image stored in a compressed format, often used for photography and web graphics.")</f>
        <v/>
      </c>
      <c r="F613" s="7" t="n"/>
      <c r="G613" s="8" t="n">
        <v>1</v>
      </c>
      <c r="H613" s="8" t="n">
        <v>0</v>
      </c>
      <c r="I613" s="8" t="n">
        <v>0</v>
      </c>
      <c r="J613" s="8" t="n">
        <v>0</v>
      </c>
      <c r="K613" s="9" t="n">
        <v>1</v>
      </c>
      <c r="L613" s="9" t="n">
        <v>0</v>
      </c>
      <c r="M613" s="9" t="n">
        <v>0</v>
      </c>
      <c r="N613" s="9" t="n">
        <v>0</v>
      </c>
      <c r="O613" s="10" t="n">
        <v>0</v>
      </c>
      <c r="P613" s="10" t="n">
        <v>0</v>
      </c>
      <c r="Q613" s="10" t="n">
        <v>0</v>
      </c>
      <c r="R613" s="10" t="n">
        <v>0</v>
      </c>
      <c r="S613" s="10" t="n">
        <v>0</v>
      </c>
    </row>
    <row r="614" ht="97" customHeight="1">
      <c r="A614" s="6">
        <f>IFERROR(__xludf.DUMMYFUNCTION("""COMPUTED_VALUE"""),"Digital Divide")</f>
        <v/>
      </c>
      <c r="B614" s="6">
        <f>IFERROR(__xludf.DUMMYFUNCTION("""COMPUTED_VALUE"""),"Resource")</f>
        <v/>
      </c>
      <c r="C614" s="6">
        <f>IFERROR(__xludf.DUMMYFUNCTION("""COMPUTED_VALUE"""),"digital3.png")</f>
        <v/>
      </c>
      <c r="D614" s="7">
        <f>IFERROR(__xludf.DUMMYFUNCTION("""COMPUTED_VALUE"""),"M mm m m m4 w uu/emmmtv ""hm III NCES")</f>
        <v/>
      </c>
      <c r="E614" s="7">
        <f>IFERROR(__xludf.DUMMYFUNCTION("""COMPUTED_VALUE"""),"image/png – A high-quality image with support for transparency, often used in design and web applications.")</f>
        <v/>
      </c>
      <c r="F614" s="7" t="n"/>
      <c r="G614" s="8" t="n">
        <v>1</v>
      </c>
      <c r="H614" s="8" t="n">
        <v>0</v>
      </c>
      <c r="I614" s="8" t="n">
        <v>0</v>
      </c>
      <c r="J614" s="8" t="n">
        <v>0</v>
      </c>
      <c r="K614" s="9" t="n">
        <v>1</v>
      </c>
      <c r="L614" s="9" t="n">
        <v>0</v>
      </c>
      <c r="M614" s="9" t="n">
        <v>0</v>
      </c>
      <c r="N614" s="9" t="n">
        <v>0</v>
      </c>
      <c r="O614" s="10" t="n">
        <v>0</v>
      </c>
      <c r="P614" s="10" t="n">
        <v>0</v>
      </c>
      <c r="Q614" s="10" t="n">
        <v>0</v>
      </c>
      <c r="R614" s="10" t="n">
        <v>0</v>
      </c>
      <c r="S614" s="10" t="n">
        <v>0</v>
      </c>
    </row>
    <row r="615" ht="121" customHeight="1">
      <c r="A615" s="6">
        <f>IFERROR(__xludf.DUMMYFUNCTION("""COMPUTED_VALUE"""),"Digital Divide")</f>
        <v/>
      </c>
      <c r="B615" s="6">
        <f>IFERROR(__xludf.DUMMYFUNCTION("""COMPUTED_VALUE"""),"Resource")</f>
        <v/>
      </c>
      <c r="C615" s="6">
        <f>IFERROR(__xludf.DUMMYFUNCTION("""COMPUTED_VALUE"""),"digital2.jpg")</f>
        <v/>
      </c>
      <c r="D615" s="7">
        <f>IFERROR(__xludf.DUMMYFUNCTION("""COMPUTED_VALUE"""),"No task description")</f>
        <v/>
      </c>
      <c r="E615" s="7">
        <f>IFERROR(__xludf.DUMMYFUNCTION("""COMPUTED_VALUE"""),"image/jpeg – A digital photograph or web image stored in a compressed format, often used for photography and web graphics.")</f>
        <v/>
      </c>
      <c r="F615" s="7" t="n"/>
      <c r="G615" s="8" t="n">
        <v>1</v>
      </c>
      <c r="H615" s="8" t="n">
        <v>0</v>
      </c>
      <c r="I615" s="8" t="n">
        <v>0</v>
      </c>
      <c r="J615" s="8" t="n">
        <v>0</v>
      </c>
      <c r="K615" s="9" t="n">
        <v>1</v>
      </c>
      <c r="L615" s="9" t="n">
        <v>0</v>
      </c>
      <c r="M615" s="9" t="n">
        <v>0</v>
      </c>
      <c r="N615" s="9" t="n">
        <v>0</v>
      </c>
      <c r="O615" s="10" t="n">
        <v>0</v>
      </c>
      <c r="P615" s="10" t="n">
        <v>0</v>
      </c>
      <c r="Q615" s="10" t="n">
        <v>0</v>
      </c>
      <c r="R615" s="10" t="n">
        <v>0</v>
      </c>
      <c r="S615" s="10" t="n">
        <v>0</v>
      </c>
    </row>
    <row r="616" ht="169" customHeight="1">
      <c r="A616" s="6">
        <f>IFERROR(__xludf.DUMMYFUNCTION("""COMPUTED_VALUE"""),"Digital Divide")</f>
        <v/>
      </c>
      <c r="B616" s="6">
        <f>IFERROR(__xludf.DUMMYFUNCTION("""COMPUTED_VALUE"""),"Space")</f>
        <v/>
      </c>
      <c r="C616" s="6">
        <f>IFERROR(__xludf.DUMMYFUNCTION("""COMPUTED_VALUE"""),"Conclusion")</f>
        <v/>
      </c>
      <c r="D616" s="7">
        <f>IFERROR(__xludf.DUMMYFUNCTION("""COMPUTED_VALUE"""),"&lt;p&gt;Do you think, you are that child who have access to Information Communication and Technology? if yes then suggest ways you could possibly help those who dont have access to such opportunity.&lt;/p&gt;")</f>
        <v/>
      </c>
      <c r="E616" s="7">
        <f>IFERROR(__xludf.DUMMYFUNCTION("""COMPUTED_VALUE"""),"No artifact embedded")</f>
        <v/>
      </c>
      <c r="F616" s="7" t="n"/>
      <c r="G616" s="8" t="n">
        <v>0</v>
      </c>
      <c r="H616" s="8" t="n">
        <v>0</v>
      </c>
      <c r="I616" s="8" t="n">
        <v>1</v>
      </c>
      <c r="J616" s="8" t="n">
        <v>0</v>
      </c>
      <c r="K616" s="9" t="n">
        <v>0</v>
      </c>
      <c r="L616" s="9" t="n">
        <v>1</v>
      </c>
      <c r="M616" s="9" t="n">
        <v>0</v>
      </c>
      <c r="N616" s="9" t="n">
        <v>0</v>
      </c>
      <c r="O616" s="10" t="n">
        <v>0</v>
      </c>
      <c r="P616" s="10" t="n">
        <v>0</v>
      </c>
      <c r="Q616" s="10" t="n">
        <v>0</v>
      </c>
      <c r="R616" s="10" t="n">
        <v>0</v>
      </c>
      <c r="S616" s="10" t="n">
        <v>1</v>
      </c>
    </row>
    <row r="617" ht="217" customHeight="1">
      <c r="A617" s="6">
        <f>IFERROR(__xludf.DUMMYFUNCTION("""COMPUTED_VALUE"""),"Digital Divide")</f>
        <v/>
      </c>
      <c r="B617" s="6">
        <f>IFERROR(__xludf.DUMMYFUNCTION("""COMPUTED_VALUE"""),"Space")</f>
        <v/>
      </c>
      <c r="C617" s="6">
        <f>IFERROR(__xludf.DUMMYFUNCTION("""COMPUTED_VALUE"""),"Discussion")</f>
        <v/>
      </c>
      <c r="D617" s="7">
        <f>IFERROR(__xludf.DUMMYFUNCTION("""COMPUTED_VALUE"""),"&lt;p&gt;1. Write an Essay, on ""The Digital Divide In a Globalized World Suggesting Ways to Bridge the Gap""&lt;/p&gt;&lt;p&gt;2. How has the economy brought about the efficient use of time&lt;/p&gt;&lt;p&gt;3. Write a short description on the old economy&lt;/p&gt;")</f>
        <v/>
      </c>
      <c r="E617" s="7">
        <f>IFERROR(__xludf.DUMMYFUNCTION("""COMPUTED_VALUE"""),"No artifact embedded")</f>
        <v/>
      </c>
      <c r="F617" s="7" t="n"/>
      <c r="G617" s="8" t="n">
        <v>0</v>
      </c>
      <c r="H617" s="8" t="n">
        <v>0</v>
      </c>
      <c r="I617" s="8" t="n">
        <v>1</v>
      </c>
      <c r="J617" s="8" t="n">
        <v>0</v>
      </c>
      <c r="K617" s="9" t="n">
        <v>0</v>
      </c>
      <c r="L617" s="9" t="n">
        <v>1</v>
      </c>
      <c r="M617" s="9" t="n">
        <v>0</v>
      </c>
      <c r="N617" s="9" t="n">
        <v>0</v>
      </c>
      <c r="O617" s="10" t="n">
        <v>0</v>
      </c>
      <c r="P617" s="10" t="n">
        <v>0</v>
      </c>
      <c r="Q617" s="10" t="n">
        <v>0</v>
      </c>
      <c r="R617" s="10" t="n">
        <v>0</v>
      </c>
      <c r="S617" s="10" t="n">
        <v>1</v>
      </c>
    </row>
    <row r="618" ht="25" customHeight="1">
      <c r="A618" s="6">
        <f>IFERROR(__xludf.DUMMYFUNCTION("""COMPUTED_VALUE"""),"Is it Good to be Beautiful?")</f>
        <v/>
      </c>
      <c r="B618" s="6">
        <f>IFERROR(__xludf.DUMMYFUNCTION("""COMPUTED_VALUE"""),"Space")</f>
        <v/>
      </c>
      <c r="C618" s="6">
        <f>IFERROR(__xludf.DUMMYFUNCTION("""COMPUTED_VALUE"""),"Orientation")</f>
        <v/>
      </c>
      <c r="D618" s="7">
        <f>IFERROR(__xludf.DUMMYFUNCTION("""COMPUTED_VALUE"""),"No task description")</f>
        <v/>
      </c>
      <c r="E618" s="7">
        <f>IFERROR(__xludf.DUMMYFUNCTION("""COMPUTED_VALUE"""),"No artifact embedded")</f>
        <v/>
      </c>
      <c r="F618" s="7" t="n"/>
      <c r="G618" s="8" t="n">
        <v>0</v>
      </c>
      <c r="H618" s="8" t="n">
        <v>0</v>
      </c>
      <c r="I618" s="8" t="n">
        <v>0</v>
      </c>
      <c r="J618" s="8" t="n">
        <v>0</v>
      </c>
      <c r="K618" s="9" t="n">
        <v>0</v>
      </c>
      <c r="L618" s="9" t="n">
        <v>0</v>
      </c>
      <c r="M618" s="9" t="n">
        <v>0</v>
      </c>
      <c r="N618" s="9" t="n">
        <v>0</v>
      </c>
      <c r="O618" s="10" t="n">
        <v>0</v>
      </c>
      <c r="P618" s="10" t="n">
        <v>0</v>
      </c>
      <c r="Q618" s="10" t="n">
        <v>0</v>
      </c>
      <c r="R618" s="10" t="n">
        <v>0</v>
      </c>
      <c r="S618" s="10" t="n">
        <v>0</v>
      </c>
    </row>
    <row r="619" ht="409.5" customHeight="1">
      <c r="A619" s="6">
        <f>IFERROR(__xludf.DUMMYFUNCTION("""COMPUTED_VALUE"""),"Is it Good to be Beautiful?")</f>
        <v/>
      </c>
      <c r="B619" s="6">
        <f>IFERROR(__xludf.DUMMYFUNCTION("""COMPUTED_VALUE"""),"Resource")</f>
        <v/>
      </c>
      <c r="C619" s="6">
        <f>IFERROR(__xludf.DUMMYFUNCTION("""COMPUTED_VALUE"""),"Text 1.graasp")</f>
        <v/>
      </c>
      <c r="D619" s="7">
        <f>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
      </c>
      <c r="E619" s="7">
        <f>IFERROR(__xludf.DUMMYFUNCTION("""COMPUTED_VALUE"""),"No artifact embedded")</f>
        <v/>
      </c>
      <c r="F619" s="7" t="n"/>
      <c r="G619" s="8" t="n">
        <v>0</v>
      </c>
      <c r="H619" s="8" t="n">
        <v>0</v>
      </c>
      <c r="I619" s="8" t="n">
        <v>1</v>
      </c>
      <c r="J619" s="8" t="n">
        <v>0</v>
      </c>
      <c r="K619" s="9" t="n">
        <v>0</v>
      </c>
      <c r="L619" s="9" t="n">
        <v>1</v>
      </c>
      <c r="M619" s="9" t="n">
        <v>0</v>
      </c>
      <c r="N619" s="9" t="n">
        <v>0</v>
      </c>
      <c r="O619" s="10" t="n">
        <v>1</v>
      </c>
      <c r="P619" s="10" t="n">
        <v>1</v>
      </c>
      <c r="Q619" s="10" t="n">
        <v>1</v>
      </c>
      <c r="R619" s="10" t="n">
        <v>1</v>
      </c>
      <c r="S619" s="10" t="n">
        <v>1</v>
      </c>
    </row>
    <row r="620" ht="217" customHeight="1">
      <c r="A620" s="6">
        <f>IFERROR(__xludf.DUMMYFUNCTION("""COMPUTED_VALUE"""),"Is it Good to be Beautiful?")</f>
        <v/>
      </c>
      <c r="B620" s="6">
        <f>IFERROR(__xludf.DUMMYFUNCTION("""COMPUTED_VALUE"""),"Resource")</f>
        <v/>
      </c>
      <c r="C620" s="6">
        <f>IFERROR(__xludf.DUMMYFUNCTION("""COMPUTED_VALUE"""),"Text 3.graasp")</f>
        <v/>
      </c>
      <c r="D620" s="7">
        <f>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
      </c>
      <c r="E620" s="7">
        <f>IFERROR(__xludf.DUMMYFUNCTION("""COMPUTED_VALUE"""),"No artifact embedded")</f>
        <v/>
      </c>
      <c r="F620" s="7" t="n"/>
      <c r="G620" s="8" t="n">
        <v>1</v>
      </c>
      <c r="H620" s="8" t="n">
        <v>0</v>
      </c>
      <c r="I620" s="8" t="n">
        <v>0</v>
      </c>
      <c r="J620" s="8" t="n">
        <v>0</v>
      </c>
      <c r="K620" s="9" t="n">
        <v>1</v>
      </c>
      <c r="L620" s="9" t="n">
        <v>0</v>
      </c>
      <c r="M620" s="9" t="n">
        <v>0</v>
      </c>
      <c r="N620" s="9" t="n">
        <v>0</v>
      </c>
      <c r="O620" s="10" t="n">
        <v>1</v>
      </c>
      <c r="P620" s="10" t="n">
        <v>0</v>
      </c>
      <c r="Q620" s="10" t="n">
        <v>0</v>
      </c>
      <c r="R620" s="10" t="n">
        <v>0</v>
      </c>
      <c r="S620" s="10" t="n">
        <v>0</v>
      </c>
    </row>
    <row r="621" ht="73" customHeight="1">
      <c r="A621" s="6">
        <f>IFERROR(__xludf.DUMMYFUNCTION("""COMPUTED_VALUE"""),"Is it Good to be Beautiful?")</f>
        <v/>
      </c>
      <c r="B621" s="6">
        <f>IFERROR(__xludf.DUMMYFUNCTION("""COMPUTED_VALUE"""),"Resource")</f>
        <v/>
      </c>
      <c r="C621" s="6">
        <f>IFERROR(__xludf.DUMMYFUNCTION("""COMPUTED_VALUE"""),"YouTube video")</f>
        <v/>
      </c>
      <c r="D621" s="7">
        <f>IFERROR(__xludf.DUMMYFUNCTION("""COMPUTED_VALUE"""),"No task description")</f>
        <v/>
      </c>
      <c r="E621" s="7">
        <f>IFERROR(__xludf.DUMMYFUNCTION("""COMPUTED_VALUE"""),"youtu.be: A shortened URL service for YouTube, leading to various videos on the platform.")</f>
        <v/>
      </c>
      <c r="F621" s="7" t="n"/>
      <c r="G621" s="8" t="n">
        <v>1</v>
      </c>
      <c r="H621" s="8" t="n">
        <v>0</v>
      </c>
      <c r="I621" s="8" t="n">
        <v>0</v>
      </c>
      <c r="J621" s="8" t="n">
        <v>0</v>
      </c>
      <c r="K621" s="9" t="n">
        <v>1</v>
      </c>
      <c r="L621" s="9" t="n">
        <v>0</v>
      </c>
      <c r="M621" s="9" t="n">
        <v>0</v>
      </c>
      <c r="N621" s="9" t="n">
        <v>0</v>
      </c>
      <c r="O621" s="10" t="n">
        <v>0</v>
      </c>
      <c r="P621" s="10" t="n">
        <v>0</v>
      </c>
      <c r="Q621" s="10" t="n">
        <v>0</v>
      </c>
      <c r="R621" s="10" t="n">
        <v>0</v>
      </c>
      <c r="S621" s="10" t="n">
        <v>0</v>
      </c>
    </row>
    <row r="622" ht="409.5" customHeight="1">
      <c r="A622" s="6">
        <f>IFERROR(__xludf.DUMMYFUNCTION("""COMPUTED_VALUE"""),"Is it Good to be Beautiful?")</f>
        <v/>
      </c>
      <c r="B622" s="6">
        <f>IFERROR(__xludf.DUMMYFUNCTION("""COMPUTED_VALUE"""),"Resource")</f>
        <v/>
      </c>
      <c r="C622" s="6">
        <f>IFERROR(__xludf.DUMMYFUNCTION("""COMPUTED_VALUE"""),"Text 4.graasp")</f>
        <v/>
      </c>
      <c r="D622" s="7">
        <f>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
      </c>
      <c r="E622" s="7">
        <f>IFERROR(__xludf.DUMMYFUNCTION("""COMPUTED_VALUE"""),"No artifact embedded")</f>
        <v/>
      </c>
      <c r="F622" s="7" t="n"/>
      <c r="G622" s="8" t="n">
        <v>0</v>
      </c>
      <c r="H622" s="8" t="n">
        <v>0</v>
      </c>
      <c r="I622" s="8" t="n">
        <v>1</v>
      </c>
      <c r="J622" s="8" t="n">
        <v>0</v>
      </c>
      <c r="K622" s="9" t="n">
        <v>0</v>
      </c>
      <c r="L622" s="9" t="n">
        <v>1</v>
      </c>
      <c r="M622" s="9" t="n">
        <v>0</v>
      </c>
      <c r="N622" s="9" t="n">
        <v>0</v>
      </c>
      <c r="O622" s="10" t="n">
        <v>0</v>
      </c>
      <c r="P622" s="10" t="n">
        <v>1</v>
      </c>
      <c r="Q622" s="10" t="n">
        <v>0</v>
      </c>
      <c r="R622" s="10" t="n">
        <v>0</v>
      </c>
      <c r="S622" s="10" t="n">
        <v>0</v>
      </c>
    </row>
    <row r="623" ht="409.5" customHeight="1">
      <c r="A623" s="6">
        <f>IFERROR(__xludf.DUMMYFUNCTION("""COMPUTED_VALUE"""),"Is it Good to be Beautiful?")</f>
        <v/>
      </c>
      <c r="B623" s="6">
        <f>IFERROR(__xludf.DUMMYFUNCTION("""COMPUTED_VALUE"""),"Resource")</f>
        <v/>
      </c>
      <c r="C623" s="6">
        <f>IFERROR(__xludf.DUMMYFUNCTION("""COMPUTED_VALUE"""),"Text 5.graasp")</f>
        <v/>
      </c>
      <c r="D623" s="7">
        <f>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
      </c>
      <c r="E623" s="7">
        <f>IFERROR(__xludf.DUMMYFUNCTION("""COMPUTED_VALUE"""),"No artifact embedded")</f>
        <v/>
      </c>
      <c r="F623" s="7" t="n"/>
      <c r="G623" s="8" t="n">
        <v>0</v>
      </c>
      <c r="H623" s="8" t="n">
        <v>1</v>
      </c>
      <c r="I623" s="8" t="n">
        <v>0</v>
      </c>
      <c r="J623" s="8" t="n">
        <v>0</v>
      </c>
      <c r="K623" s="9" t="n">
        <v>1</v>
      </c>
      <c r="L623" s="9" t="n">
        <v>0</v>
      </c>
      <c r="M623" s="9" t="n">
        <v>0</v>
      </c>
      <c r="N623" s="9" t="n">
        <v>0</v>
      </c>
      <c r="O623" s="10" t="n">
        <v>1</v>
      </c>
      <c r="P623" s="10" t="n">
        <v>0</v>
      </c>
      <c r="Q623" s="10" t="n">
        <v>1</v>
      </c>
      <c r="R623" s="10" t="n">
        <v>0</v>
      </c>
      <c r="S623" s="10" t="n">
        <v>0</v>
      </c>
    </row>
    <row r="624" ht="25" customHeight="1">
      <c r="A624" s="6">
        <f>IFERROR(__xludf.DUMMYFUNCTION("""COMPUTED_VALUE"""),"Is it Good to be Beautiful?")</f>
        <v/>
      </c>
      <c r="B624" s="6">
        <f>IFERROR(__xludf.DUMMYFUNCTION("""COMPUTED_VALUE"""),"Space")</f>
        <v/>
      </c>
      <c r="C624" s="6">
        <f>IFERROR(__xludf.DUMMYFUNCTION("""COMPUTED_VALUE"""),"Conceptualization")</f>
        <v/>
      </c>
      <c r="D624" s="7">
        <f>IFERROR(__xludf.DUMMYFUNCTION("""COMPUTED_VALUE"""),"No task description")</f>
        <v/>
      </c>
      <c r="E624" s="7">
        <f>IFERROR(__xludf.DUMMYFUNCTION("""COMPUTED_VALUE"""),"No artifact embedded")</f>
        <v/>
      </c>
      <c r="F624" s="7" t="n"/>
      <c r="G624" s="8" t="n">
        <v>0</v>
      </c>
      <c r="H624" s="8" t="n">
        <v>0</v>
      </c>
      <c r="I624" s="8" t="n">
        <v>0</v>
      </c>
      <c r="J624" s="8" t="n">
        <v>0</v>
      </c>
      <c r="K624" s="9" t="n">
        <v>0</v>
      </c>
      <c r="L624" s="9" t="n">
        <v>0</v>
      </c>
      <c r="M624" s="9" t="n">
        <v>0</v>
      </c>
      <c r="N624" s="9" t="n">
        <v>0</v>
      </c>
      <c r="O624" s="10" t="n">
        <v>0</v>
      </c>
      <c r="P624" s="10" t="n">
        <v>0</v>
      </c>
      <c r="Q624" s="10" t="n">
        <v>0</v>
      </c>
      <c r="R624" s="10" t="n">
        <v>0</v>
      </c>
      <c r="S624" s="10" t="n">
        <v>0</v>
      </c>
    </row>
    <row r="625" ht="409.5" customHeight="1">
      <c r="A625" s="6">
        <f>IFERROR(__xludf.DUMMYFUNCTION("""COMPUTED_VALUE"""),"Is it Good to be Beautiful?")</f>
        <v/>
      </c>
      <c r="B625" s="6">
        <f>IFERROR(__xludf.DUMMYFUNCTION("""COMPUTED_VALUE"""),"Resource")</f>
        <v/>
      </c>
      <c r="C625" s="6">
        <f>IFERROR(__xludf.DUMMYFUNCTION("""COMPUTED_VALUE"""),"Text 1.graasp")</f>
        <v/>
      </c>
      <c r="D625" s="7">
        <f>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
      </c>
      <c r="E625" s="7">
        <f>IFERROR(__xludf.DUMMYFUNCTION("""COMPUTED_VALUE"""),"No artifact embedded")</f>
        <v/>
      </c>
      <c r="F625" s="7" t="n"/>
      <c r="G625" s="8" t="n">
        <v>0</v>
      </c>
      <c r="H625" s="8" t="n">
        <v>0</v>
      </c>
      <c r="I625" s="8" t="n">
        <v>1</v>
      </c>
      <c r="J625" s="8" t="n">
        <v>0</v>
      </c>
      <c r="K625" s="9" t="n">
        <v>0</v>
      </c>
      <c r="L625" s="9" t="n">
        <v>1</v>
      </c>
      <c r="M625" s="9" t="n">
        <v>0</v>
      </c>
      <c r="N625" s="9" t="n">
        <v>0</v>
      </c>
      <c r="O625" s="10" t="n">
        <v>1</v>
      </c>
      <c r="P625" s="10" t="n">
        <v>1</v>
      </c>
      <c r="Q625" s="10" t="n">
        <v>1</v>
      </c>
      <c r="R625" s="10" t="n">
        <v>0</v>
      </c>
      <c r="S625" s="10" t="n">
        <v>0</v>
      </c>
    </row>
    <row r="626" ht="121" customHeight="1">
      <c r="A626" s="6">
        <f>IFERROR(__xludf.DUMMYFUNCTION("""COMPUTED_VALUE"""),"Is it Good to be Beautiful?")</f>
        <v/>
      </c>
      <c r="B626" s="6">
        <f>IFERROR(__xludf.DUMMYFUNCTION("""COMPUTED_VALUE"""),"Resource")</f>
        <v/>
      </c>
      <c r="C626" s="6">
        <f>IFERROR(__xludf.DUMMYFUNCTION("""COMPUTED_VALUE"""),"Figure1.jpg")</f>
        <v/>
      </c>
      <c r="D626" s="7">
        <f>IFERROR(__xludf.DUMMYFUNCTION("""COMPUTED_VALUE"""),"#spots per fish Time")</f>
        <v/>
      </c>
      <c r="E626" s="7">
        <f>IFERROR(__xludf.DUMMYFUNCTION("""COMPUTED_VALUE"""),"image/jpeg – A digital photograph or web image stored in a compressed format, often used for photography and web graphics.")</f>
        <v/>
      </c>
      <c r="F626" s="7" t="n"/>
      <c r="G626" s="8" t="n">
        <v>1</v>
      </c>
      <c r="H626" s="8" t="n">
        <v>0</v>
      </c>
      <c r="I626" s="8" t="n">
        <v>0</v>
      </c>
      <c r="J626" s="8" t="n">
        <v>0</v>
      </c>
      <c r="K626" s="9" t="n">
        <v>1</v>
      </c>
      <c r="L626" s="9" t="n">
        <v>0</v>
      </c>
      <c r="M626" s="9" t="n">
        <v>0</v>
      </c>
      <c r="N626" s="9" t="n">
        <v>0</v>
      </c>
      <c r="O626" s="10" t="n">
        <v>0</v>
      </c>
      <c r="P626" s="10" t="n">
        <v>0</v>
      </c>
      <c r="Q626" s="10" t="n">
        <v>0</v>
      </c>
      <c r="R626" s="10" t="n">
        <v>0</v>
      </c>
      <c r="S626" s="10" t="n">
        <v>0</v>
      </c>
    </row>
    <row r="627" ht="329" customHeight="1">
      <c r="A627" s="6">
        <f>IFERROR(__xludf.DUMMYFUNCTION("""COMPUTED_VALUE"""),"Is it Good to be Beautiful?")</f>
        <v/>
      </c>
      <c r="B627" s="6">
        <f>IFERROR(__xludf.DUMMYFUNCTION("""COMPUTED_VALUE"""),"Resource")</f>
        <v/>
      </c>
      <c r="C627" s="6">
        <f>IFERROR(__xludf.DUMMYFUNCTION("""COMPUTED_VALUE"""),"Text 2.graasp")</f>
        <v/>
      </c>
      <c r="D627" s="7">
        <f>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
      </c>
      <c r="E627" s="7">
        <f>IFERROR(__xludf.DUMMYFUNCTION("""COMPUTED_VALUE"""),"No artifact embedded")</f>
        <v/>
      </c>
      <c r="F627" s="7" t="n"/>
      <c r="G627" s="8" t="n">
        <v>1</v>
      </c>
      <c r="H627" s="8" t="n">
        <v>0</v>
      </c>
      <c r="I627" s="8" t="n">
        <v>0</v>
      </c>
      <c r="J627" s="8" t="n">
        <v>0</v>
      </c>
      <c r="K627" s="9" t="n">
        <v>1</v>
      </c>
      <c r="L627" s="9" t="n">
        <v>0</v>
      </c>
      <c r="M627" s="9" t="n">
        <v>0</v>
      </c>
      <c r="N627" s="9" t="n">
        <v>0</v>
      </c>
      <c r="O627" s="10" t="n">
        <v>1</v>
      </c>
      <c r="P627" s="10" t="n">
        <v>0</v>
      </c>
      <c r="Q627" s="10" t="n">
        <v>0</v>
      </c>
      <c r="R627" s="10" t="n">
        <v>0</v>
      </c>
      <c r="S627" s="10" t="n">
        <v>0</v>
      </c>
    </row>
    <row r="628" ht="409.5" customHeight="1">
      <c r="A628" s="6">
        <f>IFERROR(__xludf.DUMMYFUNCTION("""COMPUTED_VALUE"""),"Is it Good to be Beautiful?")</f>
        <v/>
      </c>
      <c r="B628" s="6">
        <f>IFERROR(__xludf.DUMMYFUNCTION("""COMPUTED_VALUE"""),"Resource")</f>
        <v/>
      </c>
      <c r="C628" s="6">
        <f>IFERROR(__xludf.DUMMYFUNCTION("""COMPUTED_VALUE"""),"Table1.html")</f>
        <v/>
      </c>
      <c r="D628" s="7">
        <f>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
      </c>
      <c r="E628" s="7">
        <f>IFERROR(__xludf.DUMMYFUNCTION("""COMPUTED_VALUE"""),"text/html – A webpage or web document that contains structured text, images, and links, designed for display in a web browser.")</f>
        <v/>
      </c>
      <c r="F628" s="7" t="n"/>
      <c r="G628" s="8" t="n">
        <v>1</v>
      </c>
      <c r="H628" s="8" t="n">
        <v>0</v>
      </c>
      <c r="I628" s="8" t="n">
        <v>0</v>
      </c>
      <c r="J628" s="8" t="n">
        <v>0</v>
      </c>
      <c r="K628" s="9" t="n">
        <v>1</v>
      </c>
      <c r="L628" s="9" t="n">
        <v>0</v>
      </c>
      <c r="M628" s="9" t="n">
        <v>0</v>
      </c>
      <c r="N628" s="9" t="n">
        <v>0</v>
      </c>
      <c r="O628" s="10" t="n">
        <v>1</v>
      </c>
      <c r="P628" s="10" t="n">
        <v>0</v>
      </c>
      <c r="Q628" s="10" t="n">
        <v>0</v>
      </c>
      <c r="R628" s="10" t="n">
        <v>0</v>
      </c>
      <c r="S628" s="10" t="n">
        <v>0</v>
      </c>
    </row>
    <row r="629" ht="409.5" customHeight="1">
      <c r="A629" s="6">
        <f>IFERROR(__xludf.DUMMYFUNCTION("""COMPUTED_VALUE"""),"Is it Good to be Beautiful?")</f>
        <v/>
      </c>
      <c r="B629" s="6">
        <f>IFERROR(__xludf.DUMMYFUNCTION("""COMPUTED_VALUE"""),"Resource")</f>
        <v/>
      </c>
      <c r="C629" s="6">
        <f>IFERROR(__xludf.DUMMYFUNCTION("""COMPUTED_VALUE"""),"Text 3.graasp")</f>
        <v/>
      </c>
      <c r="D629" s="7">
        <f>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
      </c>
      <c r="E629" s="7">
        <f>IFERROR(__xludf.DUMMYFUNCTION("""COMPUTED_VALUE"""),"No artifact embedded")</f>
        <v/>
      </c>
      <c r="F629" s="7" t="n"/>
      <c r="G629" s="8" t="n">
        <v>0</v>
      </c>
      <c r="H629" s="8" t="n">
        <v>0</v>
      </c>
      <c r="I629" s="8" t="n">
        <v>1</v>
      </c>
      <c r="J629" s="8" t="n">
        <v>0</v>
      </c>
      <c r="K629" s="9" t="n">
        <v>0</v>
      </c>
      <c r="L629" s="9" t="n">
        <v>1</v>
      </c>
      <c r="M629" s="9" t="n">
        <v>0</v>
      </c>
      <c r="N629" s="9" t="n">
        <v>0</v>
      </c>
      <c r="O629" s="10" t="n">
        <v>1</v>
      </c>
      <c r="P629" s="10" t="n">
        <v>1</v>
      </c>
      <c r="Q629" s="10" t="n">
        <v>0</v>
      </c>
      <c r="R629" s="10" t="n">
        <v>0</v>
      </c>
      <c r="S629" s="10" t="n">
        <v>0</v>
      </c>
    </row>
    <row r="630" ht="409.5" customHeight="1">
      <c r="A630" s="6">
        <f>IFERROR(__xludf.DUMMYFUNCTION("""COMPUTED_VALUE"""),"Is it Good to be Beautiful?")</f>
        <v/>
      </c>
      <c r="B630" s="6">
        <f>IFERROR(__xludf.DUMMYFUNCTION("""COMPUTED_VALUE"""),"Application")</f>
        <v/>
      </c>
      <c r="C630" s="6">
        <f>IFERROR(__xludf.DUMMYFUNCTION("""COMPUTED_VALUE"""),"Question Scratchpad")</f>
        <v/>
      </c>
      <c r="D630" s="7">
        <f>IFERROR(__xludf.DUMMYFUNCTION("""COMPUTED_VALUE"""),"No task description")</f>
        <v/>
      </c>
      <c r="E630"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630" s="7" t="n"/>
      <c r="G630" s="8" t="n">
        <v>0</v>
      </c>
      <c r="H630" s="8" t="n">
        <v>0</v>
      </c>
      <c r="I630" s="8" t="n">
        <v>1</v>
      </c>
      <c r="J630" s="8" t="n">
        <v>0</v>
      </c>
      <c r="K630" s="9" t="n">
        <v>0</v>
      </c>
      <c r="L630" s="9" t="n">
        <v>1</v>
      </c>
      <c r="M630" s="9" t="n">
        <v>0</v>
      </c>
      <c r="N630" s="9" t="n">
        <v>0</v>
      </c>
      <c r="O630" s="10" t="n">
        <v>0</v>
      </c>
      <c r="P630" s="10" t="n">
        <v>1</v>
      </c>
      <c r="Q630" s="10" t="n">
        <v>0</v>
      </c>
      <c r="R630" s="10" t="n">
        <v>0</v>
      </c>
      <c r="S630" s="10" t="n">
        <v>0</v>
      </c>
    </row>
    <row r="631" ht="409.5" customHeight="1">
      <c r="A631" s="6">
        <f>IFERROR(__xludf.DUMMYFUNCTION("""COMPUTED_VALUE"""),"Is it Good to be Beautiful?")</f>
        <v/>
      </c>
      <c r="B631" s="6">
        <f>IFERROR(__xludf.DUMMYFUNCTION("""COMPUTED_VALUE"""),"Resource")</f>
        <v/>
      </c>
      <c r="C631" s="6">
        <f>IFERROR(__xludf.DUMMYFUNCTION("""COMPUTED_VALUE"""),"Text 4.graasp")</f>
        <v/>
      </c>
      <c r="D631" s="7">
        <f>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
      </c>
      <c r="E631" s="7">
        <f>IFERROR(__xludf.DUMMYFUNCTION("""COMPUTED_VALUE"""),"No artifact embedded")</f>
        <v/>
      </c>
      <c r="F631" s="7" t="n"/>
      <c r="G631" s="8" t="n">
        <v>0</v>
      </c>
      <c r="H631" s="8" t="n">
        <v>0</v>
      </c>
      <c r="I631" s="8" t="n">
        <v>1</v>
      </c>
      <c r="J631" s="8" t="n">
        <v>0</v>
      </c>
      <c r="K631" s="9" t="n">
        <v>0</v>
      </c>
      <c r="L631" s="9" t="n">
        <v>1</v>
      </c>
      <c r="M631" s="9" t="n">
        <v>0</v>
      </c>
      <c r="N631" s="9" t="n">
        <v>0</v>
      </c>
      <c r="O631" s="10" t="n">
        <v>1</v>
      </c>
      <c r="P631" s="10" t="n">
        <v>1</v>
      </c>
      <c r="Q631" s="10" t="n">
        <v>0</v>
      </c>
      <c r="R631" s="10" t="n">
        <v>0</v>
      </c>
      <c r="S631" s="10" t="n">
        <v>0</v>
      </c>
    </row>
    <row r="632" ht="409.5" customHeight="1">
      <c r="A632" s="6">
        <f>IFERROR(__xludf.DUMMYFUNCTION("""COMPUTED_VALUE"""),"Is it Good to be Beautiful?")</f>
        <v/>
      </c>
      <c r="B632" s="6">
        <f>IFERROR(__xludf.DUMMYFUNCTION("""COMPUTED_VALUE"""),"Application")</f>
        <v/>
      </c>
      <c r="C632" s="6">
        <f>IFERROR(__xludf.DUMMYFUNCTION("""COMPUTED_VALUE"""),"Hypothesis Scratchpad")</f>
        <v/>
      </c>
      <c r="D632" s="7">
        <f>IFERROR(__xludf.DUMMYFUNCTION("""COMPUTED_VALUE"""),"No task description")</f>
        <v/>
      </c>
      <c r="E63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32" s="7" t="n"/>
      <c r="G632" s="8" t="n">
        <v>0</v>
      </c>
      <c r="H632" s="8" t="n">
        <v>0</v>
      </c>
      <c r="I632" s="8" t="n">
        <v>1</v>
      </c>
      <c r="J632" s="8" t="n">
        <v>0</v>
      </c>
      <c r="K632" s="9" t="n">
        <v>0</v>
      </c>
      <c r="L632" s="9" t="n">
        <v>1</v>
      </c>
      <c r="M632" s="9" t="n">
        <v>0</v>
      </c>
      <c r="N632" s="9" t="n">
        <v>0</v>
      </c>
      <c r="O632" s="10" t="n">
        <v>0</v>
      </c>
      <c r="P632" s="10" t="n">
        <v>1</v>
      </c>
      <c r="Q632" s="10" t="n">
        <v>0</v>
      </c>
      <c r="R632" s="10" t="n">
        <v>0</v>
      </c>
      <c r="S632" s="10" t="n">
        <v>0</v>
      </c>
    </row>
    <row r="633" ht="351" customHeight="1">
      <c r="A633" s="6">
        <f>IFERROR(__xludf.DUMMYFUNCTION("""COMPUTED_VALUE"""),"Is it Good to be Beautiful?")</f>
        <v/>
      </c>
      <c r="B633" s="6">
        <f>IFERROR(__xludf.DUMMYFUNCTION("""COMPUTED_VALUE"""),"Resource")</f>
        <v/>
      </c>
      <c r="C633" s="6">
        <f>IFERROR(__xludf.DUMMYFUNCTION("""COMPUTED_VALUE"""),"Text 5.graasp")</f>
        <v/>
      </c>
      <c r="D633" s="7">
        <f>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
      </c>
      <c r="E633" s="7">
        <f>IFERROR(__xludf.DUMMYFUNCTION("""COMPUTED_VALUE"""),"No artifact embedded")</f>
        <v/>
      </c>
      <c r="F633" s="7" t="n"/>
      <c r="G633" s="8" t="n">
        <v>0</v>
      </c>
      <c r="H633" s="8" t="n">
        <v>0</v>
      </c>
      <c r="I633" s="8" t="n">
        <v>0</v>
      </c>
      <c r="J633" s="8" t="n">
        <v>0</v>
      </c>
      <c r="K633" s="9" t="n">
        <v>0</v>
      </c>
      <c r="L633" s="9" t="n">
        <v>0</v>
      </c>
      <c r="M633" s="9" t="n">
        <v>0</v>
      </c>
      <c r="N633" s="9" t="n">
        <v>0</v>
      </c>
      <c r="O633" s="10" t="n">
        <v>0</v>
      </c>
      <c r="P633" s="10" t="n">
        <v>0</v>
      </c>
      <c r="Q633" s="10" t="n">
        <v>0</v>
      </c>
      <c r="R633" s="10" t="n">
        <v>0</v>
      </c>
      <c r="S633" s="10" t="n">
        <v>0</v>
      </c>
    </row>
    <row r="634" ht="25" customHeight="1">
      <c r="A634" s="6">
        <f>IFERROR(__xludf.DUMMYFUNCTION("""COMPUTED_VALUE"""),"Is it Good to be Beautiful?")</f>
        <v/>
      </c>
      <c r="B634" s="6">
        <f>IFERROR(__xludf.DUMMYFUNCTION("""COMPUTED_VALUE"""),"Space")</f>
        <v/>
      </c>
      <c r="C634" s="6">
        <f>IFERROR(__xludf.DUMMYFUNCTION("""COMPUTED_VALUE"""),"Investigation")</f>
        <v/>
      </c>
      <c r="D634" s="7">
        <f>IFERROR(__xludf.DUMMYFUNCTION("""COMPUTED_VALUE"""),"No task description")</f>
        <v/>
      </c>
      <c r="E634" s="7">
        <f>IFERROR(__xludf.DUMMYFUNCTION("""COMPUTED_VALUE"""),"No artifact embedded")</f>
        <v/>
      </c>
      <c r="F634" s="7" t="n"/>
      <c r="G634" s="8" t="n">
        <v>0</v>
      </c>
      <c r="H634" s="8" t="n">
        <v>0</v>
      </c>
      <c r="I634" s="8" t="n">
        <v>0</v>
      </c>
      <c r="J634" s="8" t="n">
        <v>0</v>
      </c>
      <c r="K634" s="9" t="n">
        <v>0</v>
      </c>
      <c r="L634" s="9" t="n">
        <v>0</v>
      </c>
      <c r="M634" s="9" t="n">
        <v>0</v>
      </c>
      <c r="N634" s="9" t="n">
        <v>0</v>
      </c>
      <c r="O634" s="10" t="n">
        <v>0</v>
      </c>
      <c r="P634" s="10" t="n">
        <v>0</v>
      </c>
      <c r="Q634" s="10" t="n">
        <v>0</v>
      </c>
      <c r="R634" s="10" t="n">
        <v>0</v>
      </c>
      <c r="S634" s="10" t="n">
        <v>0</v>
      </c>
    </row>
    <row r="635" ht="409.5" customHeight="1">
      <c r="A635" s="6">
        <f>IFERROR(__xludf.DUMMYFUNCTION("""COMPUTED_VALUE"""),"Is it Good to be Beautiful?")</f>
        <v/>
      </c>
      <c r="B635" s="6">
        <f>IFERROR(__xludf.DUMMYFUNCTION("""COMPUTED_VALUE"""),"Resource")</f>
        <v/>
      </c>
      <c r="C635" s="6">
        <f>IFERROR(__xludf.DUMMYFUNCTION("""COMPUTED_VALUE"""),"Text 1.graasp")</f>
        <v/>
      </c>
      <c r="D635" s="7">
        <f>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
      </c>
      <c r="E635" s="7">
        <f>IFERROR(__xludf.DUMMYFUNCTION("""COMPUTED_VALUE"""),"No artifact embedded")</f>
        <v/>
      </c>
      <c r="F635" s="7" t="n"/>
      <c r="G635" s="8" t="n">
        <v>0</v>
      </c>
      <c r="H635" s="8" t="n">
        <v>0</v>
      </c>
      <c r="I635" s="8" t="n">
        <v>1</v>
      </c>
      <c r="J635" s="8" t="n">
        <v>0</v>
      </c>
      <c r="K635" s="9" t="n">
        <v>0</v>
      </c>
      <c r="L635" s="9" t="n">
        <v>1</v>
      </c>
      <c r="M635" s="9" t="n">
        <v>0</v>
      </c>
      <c r="N635" s="9" t="n">
        <v>0</v>
      </c>
      <c r="O635" s="10" t="n">
        <v>0</v>
      </c>
      <c r="P635" s="10" t="n">
        <v>0</v>
      </c>
      <c r="Q635" s="10" t="n">
        <v>1</v>
      </c>
      <c r="R635" s="10" t="n">
        <v>0</v>
      </c>
      <c r="S635" s="10" t="n">
        <v>0</v>
      </c>
    </row>
    <row r="636" ht="285" customHeight="1">
      <c r="A636" s="6">
        <f>IFERROR(__xludf.DUMMYFUNCTION("""COMPUTED_VALUE"""),"Is it Good to be Beautiful?")</f>
        <v/>
      </c>
      <c r="B636" s="6">
        <f>IFERROR(__xludf.DUMMYFUNCTION("""COMPUTED_VALUE"""),"Application")</f>
        <v/>
      </c>
      <c r="C636" s="6">
        <f>IFERROR(__xludf.DUMMYFUNCTION("""COMPUTED_VALUE"""),"Sexual Selection in Guppies (HTML5)")</f>
        <v/>
      </c>
      <c r="D636" s="7">
        <f>IFERROR(__xludf.DUMMYFUNCTION("""COMPUTED_VALUE"""),"No task description")</f>
        <v/>
      </c>
      <c r="E636" s="7">
        <f>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
      </c>
      <c r="F636" s="7" t="n"/>
      <c r="G636" s="8" t="n">
        <v>0</v>
      </c>
      <c r="H636" s="8" t="n">
        <v>1</v>
      </c>
      <c r="I636" s="8" t="n">
        <v>0</v>
      </c>
      <c r="J636" s="8" t="n">
        <v>0</v>
      </c>
      <c r="K636" s="9" t="n">
        <v>1</v>
      </c>
      <c r="L636" s="9" t="n">
        <v>0</v>
      </c>
      <c r="M636" s="9" t="n">
        <v>0</v>
      </c>
      <c r="N636" s="9" t="n">
        <v>0</v>
      </c>
      <c r="O636" s="10" t="n">
        <v>0</v>
      </c>
      <c r="P636" s="10" t="n">
        <v>0</v>
      </c>
      <c r="Q636" s="10" t="n">
        <v>1</v>
      </c>
      <c r="R636" s="10" t="n">
        <v>0</v>
      </c>
      <c r="S636" s="10" t="n">
        <v>0</v>
      </c>
    </row>
    <row r="637" ht="229" customHeight="1">
      <c r="A637" s="6">
        <f>IFERROR(__xludf.DUMMYFUNCTION("""COMPUTED_VALUE"""),"Is it Good to be Beautiful?")</f>
        <v/>
      </c>
      <c r="B637" s="6">
        <f>IFERROR(__xludf.DUMMYFUNCTION("""COMPUTED_VALUE"""),"Resource")</f>
        <v/>
      </c>
      <c r="C637" s="6">
        <f>IFERROR(__xludf.DUMMYFUNCTION("""COMPUTED_VALUE"""),"Text 2.graasp")</f>
        <v/>
      </c>
      <c r="D637" s="7">
        <f>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
      </c>
      <c r="E637" s="7">
        <f>IFERROR(__xludf.DUMMYFUNCTION("""COMPUTED_VALUE"""),"No artifact embedded")</f>
        <v/>
      </c>
      <c r="F637" s="7" t="n"/>
      <c r="G637" s="8" t="n">
        <v>0</v>
      </c>
      <c r="H637" s="8" t="n">
        <v>0</v>
      </c>
      <c r="I637" s="8" t="n">
        <v>1</v>
      </c>
      <c r="J637" s="8" t="n">
        <v>0</v>
      </c>
      <c r="K637" s="9" t="n">
        <v>0</v>
      </c>
      <c r="L637" s="9" t="n">
        <v>1</v>
      </c>
      <c r="M637" s="9" t="n">
        <v>0</v>
      </c>
      <c r="N637" s="9" t="n">
        <v>0</v>
      </c>
      <c r="O637" s="10" t="n">
        <v>1</v>
      </c>
      <c r="P637" s="10" t="n">
        <v>0</v>
      </c>
      <c r="Q637" s="10" t="n">
        <v>1</v>
      </c>
      <c r="R637" s="10" t="n">
        <v>0</v>
      </c>
      <c r="S637" s="10" t="n">
        <v>0</v>
      </c>
    </row>
    <row r="638" ht="395" customHeight="1">
      <c r="A638" s="6">
        <f>IFERROR(__xludf.DUMMYFUNCTION("""COMPUTED_VALUE"""),"Is it Good to be Beautiful?")</f>
        <v/>
      </c>
      <c r="B638" s="6">
        <f>IFERROR(__xludf.DUMMYFUNCTION("""COMPUTED_VALUE"""),"Application")</f>
        <v/>
      </c>
      <c r="C638" s="6">
        <f>IFERROR(__xludf.DUMMYFUNCTION("""COMPUTED_VALUE"""),"Observation Tool")</f>
        <v/>
      </c>
      <c r="D638" s="7">
        <f>IFERROR(__xludf.DUMMYFUNCTION("""COMPUTED_VALUE"""),"No task description")</f>
        <v/>
      </c>
      <c r="E63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38" s="7" t="n"/>
      <c r="G638" s="8" t="n">
        <v>0</v>
      </c>
      <c r="H638" s="8" t="n">
        <v>0</v>
      </c>
      <c r="I638" s="8" t="n">
        <v>1</v>
      </c>
      <c r="J638" s="8" t="n">
        <v>0</v>
      </c>
      <c r="K638" s="9" t="n">
        <v>0</v>
      </c>
      <c r="L638" s="9" t="n">
        <v>1</v>
      </c>
      <c r="M638" s="9" t="n">
        <v>0</v>
      </c>
      <c r="N638" s="9" t="n">
        <v>0</v>
      </c>
      <c r="O638" s="10" t="n">
        <v>0</v>
      </c>
      <c r="P638" s="10" t="n">
        <v>0</v>
      </c>
      <c r="Q638" s="10" t="n">
        <v>1</v>
      </c>
      <c r="R638" s="10" t="n">
        <v>0</v>
      </c>
      <c r="S638" s="10" t="n">
        <v>0</v>
      </c>
    </row>
    <row r="639" ht="409.5" customHeight="1">
      <c r="A639" s="6">
        <f>IFERROR(__xludf.DUMMYFUNCTION("""COMPUTED_VALUE"""),"Is it Good to be Beautiful?")</f>
        <v/>
      </c>
      <c r="B639" s="6">
        <f>IFERROR(__xludf.DUMMYFUNCTION("""COMPUTED_VALUE"""),"Resource")</f>
        <v/>
      </c>
      <c r="C639" s="6">
        <f>IFERROR(__xludf.DUMMYFUNCTION("""COMPUTED_VALUE"""),"Text 3.graasp")</f>
        <v/>
      </c>
      <c r="D639" s="7">
        <f>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
      </c>
      <c r="E639" s="7">
        <f>IFERROR(__xludf.DUMMYFUNCTION("""COMPUTED_VALUE"""),"No artifact embedded")</f>
        <v/>
      </c>
      <c r="F639" s="7" t="n"/>
      <c r="G639" s="8" t="n">
        <v>0</v>
      </c>
      <c r="H639" s="8" t="n">
        <v>0</v>
      </c>
      <c r="I639" s="8" t="n">
        <v>1</v>
      </c>
      <c r="J639" s="8" t="n">
        <v>0</v>
      </c>
      <c r="K639" s="9" t="n">
        <v>0</v>
      </c>
      <c r="L639" s="9" t="n">
        <v>1</v>
      </c>
      <c r="M639" s="9" t="n">
        <v>0</v>
      </c>
      <c r="N639" s="9" t="n">
        <v>0</v>
      </c>
      <c r="O639" s="10" t="n">
        <v>0</v>
      </c>
      <c r="P639" s="10" t="n">
        <v>0</v>
      </c>
      <c r="Q639" s="10" t="n">
        <v>1</v>
      </c>
      <c r="R639" s="10" t="n">
        <v>0</v>
      </c>
      <c r="S639" s="10" t="n">
        <v>0</v>
      </c>
    </row>
    <row r="640" ht="25" customHeight="1">
      <c r="A640" s="6">
        <f>IFERROR(__xludf.DUMMYFUNCTION("""COMPUTED_VALUE"""),"Is it Good to be Beautiful?")</f>
        <v/>
      </c>
      <c r="B640" s="6">
        <f>IFERROR(__xludf.DUMMYFUNCTION("""COMPUTED_VALUE"""),"Space")</f>
        <v/>
      </c>
      <c r="C640" s="6">
        <f>IFERROR(__xludf.DUMMYFUNCTION("""COMPUTED_VALUE"""),"Conclusion")</f>
        <v/>
      </c>
      <c r="D640" s="7">
        <f>IFERROR(__xludf.DUMMYFUNCTION("""COMPUTED_VALUE"""),"No task description")</f>
        <v/>
      </c>
      <c r="E640" s="7">
        <f>IFERROR(__xludf.DUMMYFUNCTION("""COMPUTED_VALUE"""),"No artifact embedded")</f>
        <v/>
      </c>
      <c r="F640" s="7" t="n"/>
      <c r="G640" s="8" t="n">
        <v>0</v>
      </c>
      <c r="H640" s="8" t="n">
        <v>0</v>
      </c>
      <c r="I640" s="8" t="n">
        <v>0</v>
      </c>
      <c r="J640" s="8" t="n">
        <v>0</v>
      </c>
      <c r="K640" s="9" t="n">
        <v>0</v>
      </c>
      <c r="L640" s="9" t="n">
        <v>0</v>
      </c>
      <c r="M640" s="9" t="n">
        <v>0</v>
      </c>
      <c r="N640" s="9" t="n">
        <v>0</v>
      </c>
      <c r="O640" s="10" t="n">
        <v>0</v>
      </c>
      <c r="P640" s="10" t="n">
        <v>0</v>
      </c>
      <c r="Q640" s="10" t="n">
        <v>0</v>
      </c>
      <c r="R640" s="10" t="n">
        <v>0</v>
      </c>
      <c r="S640" s="10" t="n">
        <v>0</v>
      </c>
    </row>
    <row r="641" ht="409.5" customHeight="1">
      <c r="A641" s="6">
        <f>IFERROR(__xludf.DUMMYFUNCTION("""COMPUTED_VALUE"""),"Is it Good to be Beautiful?")</f>
        <v/>
      </c>
      <c r="B641" s="6">
        <f>IFERROR(__xludf.DUMMYFUNCTION("""COMPUTED_VALUE"""),"Resource")</f>
        <v/>
      </c>
      <c r="C641" s="6">
        <f>IFERROR(__xludf.DUMMYFUNCTION("""COMPUTED_VALUE"""),"Text 1.graasp")</f>
        <v/>
      </c>
      <c r="D641" s="7">
        <f>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
      </c>
      <c r="E641" s="7">
        <f>IFERROR(__xludf.DUMMYFUNCTION("""COMPUTED_VALUE"""),"No artifact embedded")</f>
        <v/>
      </c>
      <c r="F641" s="7" t="n"/>
      <c r="G641" s="8" t="n">
        <v>0</v>
      </c>
      <c r="H641" s="8" t="n">
        <v>0</v>
      </c>
      <c r="I641" s="8" t="n">
        <v>1</v>
      </c>
      <c r="J641" s="8" t="n">
        <v>0</v>
      </c>
      <c r="K641" s="9" t="n">
        <v>0</v>
      </c>
      <c r="L641" s="9" t="n">
        <v>1</v>
      </c>
      <c r="M641" s="9" t="n">
        <v>0</v>
      </c>
      <c r="N641" s="9" t="n">
        <v>0</v>
      </c>
      <c r="O641" s="10" t="n">
        <v>1</v>
      </c>
      <c r="P641" s="10" t="n">
        <v>0</v>
      </c>
      <c r="Q641" s="10" t="n">
        <v>0</v>
      </c>
      <c r="R641" s="10" t="n">
        <v>1</v>
      </c>
      <c r="S641" s="10" t="n">
        <v>0</v>
      </c>
    </row>
    <row r="642" ht="409.5" customHeight="1">
      <c r="A642" s="6">
        <f>IFERROR(__xludf.DUMMYFUNCTION("""COMPUTED_VALUE"""),"Is it Good to be Beautiful?")</f>
        <v/>
      </c>
      <c r="B642" s="6">
        <f>IFERROR(__xludf.DUMMYFUNCTION("""COMPUTED_VALUE"""),"Application")</f>
        <v/>
      </c>
      <c r="C642" s="6">
        <f>IFERROR(__xludf.DUMMYFUNCTION("""COMPUTED_VALUE"""),"Conclusion Tool")</f>
        <v/>
      </c>
      <c r="D642" s="7">
        <f>IFERROR(__xludf.DUMMYFUNCTION("""COMPUTED_VALUE"""),"No task description")</f>
        <v/>
      </c>
      <c r="E64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42" s="7" t="n"/>
      <c r="G642" s="8" t="n">
        <v>0</v>
      </c>
      <c r="H642" s="8" t="n">
        <v>0</v>
      </c>
      <c r="I642" s="8" t="n">
        <v>1</v>
      </c>
      <c r="J642" s="8" t="n">
        <v>0</v>
      </c>
      <c r="K642" s="9" t="n">
        <v>0</v>
      </c>
      <c r="L642" s="9" t="n">
        <v>1</v>
      </c>
      <c r="M642" s="9" t="n">
        <v>0</v>
      </c>
      <c r="N642" s="9" t="n">
        <v>0</v>
      </c>
      <c r="O642" s="10" t="n">
        <v>0</v>
      </c>
      <c r="P642" s="10" t="n">
        <v>0</v>
      </c>
      <c r="Q642" s="10" t="n">
        <v>0</v>
      </c>
      <c r="R642" s="10" t="n">
        <v>1</v>
      </c>
      <c r="S642" s="10" t="n">
        <v>0</v>
      </c>
    </row>
    <row r="643" ht="409.5" customHeight="1">
      <c r="A643" s="6">
        <f>IFERROR(__xludf.DUMMYFUNCTION("""COMPUTED_VALUE"""),"Is it Good to be Beautiful?")</f>
        <v/>
      </c>
      <c r="B643" s="6">
        <f>IFERROR(__xludf.DUMMYFUNCTION("""COMPUTED_VALUE"""),"Resource")</f>
        <v/>
      </c>
      <c r="C643" s="6">
        <f>IFERROR(__xludf.DUMMYFUNCTION("""COMPUTED_VALUE"""),"Text 2.graasp")</f>
        <v/>
      </c>
      <c r="D643" s="7">
        <f>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
      </c>
      <c r="E643" s="7">
        <f>IFERROR(__xludf.DUMMYFUNCTION("""COMPUTED_VALUE"""),"No artifact embedded")</f>
        <v/>
      </c>
      <c r="F643" s="7" t="n"/>
      <c r="G643" s="8" t="n">
        <v>0</v>
      </c>
      <c r="H643" s="8" t="n">
        <v>0</v>
      </c>
      <c r="I643" s="8" t="n">
        <v>0</v>
      </c>
      <c r="J643" s="8" t="n">
        <v>0</v>
      </c>
      <c r="K643" s="9" t="n">
        <v>0</v>
      </c>
      <c r="L643" s="9" t="n">
        <v>0</v>
      </c>
      <c r="M643" s="9" t="n">
        <v>0</v>
      </c>
      <c r="N643" s="9" t="n">
        <v>0</v>
      </c>
      <c r="O643" s="10" t="n">
        <v>0</v>
      </c>
      <c r="P643" s="10" t="n">
        <v>0</v>
      </c>
      <c r="Q643" s="10" t="n">
        <v>0</v>
      </c>
      <c r="R643" s="10" t="n">
        <v>0</v>
      </c>
      <c r="S643" s="10" t="n">
        <v>0</v>
      </c>
    </row>
    <row r="644" ht="25" customHeight="1">
      <c r="A644" s="6">
        <f>IFERROR(__xludf.DUMMYFUNCTION("""COMPUTED_VALUE"""),"Is it Good to be Beautiful?")</f>
        <v/>
      </c>
      <c r="B644" s="6">
        <f>IFERROR(__xludf.DUMMYFUNCTION("""COMPUTED_VALUE"""),"Space")</f>
        <v/>
      </c>
      <c r="C644" s="6">
        <f>IFERROR(__xludf.DUMMYFUNCTION("""COMPUTED_VALUE"""),"Discussion")</f>
        <v/>
      </c>
      <c r="D644" s="7">
        <f>IFERROR(__xludf.DUMMYFUNCTION("""COMPUTED_VALUE"""),"No task description")</f>
        <v/>
      </c>
      <c r="E644" s="7">
        <f>IFERROR(__xludf.DUMMYFUNCTION("""COMPUTED_VALUE"""),"No artifact embedded")</f>
        <v/>
      </c>
      <c r="F644" s="7" t="n"/>
      <c r="G644" s="8" t="n">
        <v>0</v>
      </c>
      <c r="H644" s="8" t="n">
        <v>0</v>
      </c>
      <c r="I644" s="8" t="n">
        <v>0</v>
      </c>
      <c r="J644" s="8" t="n">
        <v>0</v>
      </c>
      <c r="K644" s="9" t="n">
        <v>0</v>
      </c>
      <c r="L644" s="9" t="n">
        <v>0</v>
      </c>
      <c r="M644" s="9" t="n">
        <v>0</v>
      </c>
      <c r="N644" s="9" t="n">
        <v>0</v>
      </c>
      <c r="O644" s="10" t="n">
        <v>0</v>
      </c>
      <c r="P644" s="10" t="n">
        <v>0</v>
      </c>
      <c r="Q644" s="10" t="n">
        <v>0</v>
      </c>
      <c r="R644" s="10" t="n">
        <v>0</v>
      </c>
      <c r="S644" s="10" t="n">
        <v>0</v>
      </c>
    </row>
    <row r="645" ht="395" customHeight="1">
      <c r="A645" s="6">
        <f>IFERROR(__xludf.DUMMYFUNCTION("""COMPUTED_VALUE"""),"Is it Good to be Beautiful?")</f>
        <v/>
      </c>
      <c r="B645" s="6">
        <f>IFERROR(__xludf.DUMMYFUNCTION("""COMPUTED_VALUE"""),"Resource")</f>
        <v/>
      </c>
      <c r="C645" s="6">
        <f>IFERROR(__xludf.DUMMYFUNCTION("""COMPUTED_VALUE"""),"Text 1.graasp")</f>
        <v/>
      </c>
      <c r="D645" s="7">
        <f>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
      </c>
      <c r="E645" s="7">
        <f>IFERROR(__xludf.DUMMYFUNCTION("""COMPUTED_VALUE"""),"No artifact embedded")</f>
        <v/>
      </c>
      <c r="F645" s="7" t="n"/>
      <c r="G645" s="8" t="n">
        <v>0</v>
      </c>
      <c r="H645" s="8" t="n">
        <v>0</v>
      </c>
      <c r="I645" s="8" t="n">
        <v>1</v>
      </c>
      <c r="J645" s="8" t="n">
        <v>0</v>
      </c>
      <c r="K645" s="9" t="n">
        <v>0</v>
      </c>
      <c r="L645" s="9" t="n">
        <v>1</v>
      </c>
      <c r="M645" s="9" t="n">
        <v>0</v>
      </c>
      <c r="N645" s="9" t="n">
        <v>0</v>
      </c>
      <c r="O645" s="10" t="n">
        <v>0</v>
      </c>
      <c r="P645" s="10" t="n">
        <v>0</v>
      </c>
      <c r="Q645" s="10" t="n">
        <v>0</v>
      </c>
      <c r="R645" s="10" t="n">
        <v>0</v>
      </c>
      <c r="S645" s="10" t="n">
        <v>1</v>
      </c>
    </row>
    <row r="646" ht="229" customHeight="1">
      <c r="A646" s="6">
        <f>IFERROR(__xludf.DUMMYFUNCTION("""COMPUTED_VALUE"""),"Is it Good to be Beautiful?")</f>
        <v/>
      </c>
      <c r="B646" s="6">
        <f>IFERROR(__xludf.DUMMYFUNCTION("""COMPUTED_VALUE"""),"Application")</f>
        <v/>
      </c>
      <c r="C646" s="6">
        <f>IFERROR(__xludf.DUMMYFUNCTION("""COMPUTED_VALUE"""),"Reflection Tool")</f>
        <v/>
      </c>
      <c r="D646" s="7">
        <f>IFERROR(__xludf.DUMMYFUNCTION("""COMPUTED_VALUE"""),"No task description")</f>
        <v/>
      </c>
      <c r="E646"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646" s="7" t="n"/>
      <c r="G646" s="8" t="n">
        <v>1</v>
      </c>
      <c r="H646" s="8" t="n">
        <v>0</v>
      </c>
      <c r="I646" s="8" t="n">
        <v>0</v>
      </c>
      <c r="J646" s="8" t="n">
        <v>0</v>
      </c>
      <c r="K646" s="9" t="n">
        <v>1</v>
      </c>
      <c r="L646" s="9" t="n">
        <v>0</v>
      </c>
      <c r="M646" s="9" t="n">
        <v>0</v>
      </c>
      <c r="N646" s="9" t="n">
        <v>0</v>
      </c>
      <c r="O646" s="10" t="n">
        <v>0</v>
      </c>
      <c r="P646" s="10" t="n">
        <v>0</v>
      </c>
      <c r="Q646" s="10" t="n">
        <v>0</v>
      </c>
      <c r="R646" s="10" t="n">
        <v>0</v>
      </c>
      <c r="S646" s="10" t="n">
        <v>1</v>
      </c>
    </row>
    <row r="647" ht="263" customHeight="1">
      <c r="A647" s="6">
        <f>IFERROR(__xludf.DUMMYFUNCTION("""COMPUTED_VALUE"""),"Is it Good to be Beautiful?")</f>
        <v/>
      </c>
      <c r="B647" s="6">
        <f>IFERROR(__xludf.DUMMYFUNCTION("""COMPUTED_VALUE"""),"Resource")</f>
        <v/>
      </c>
      <c r="C647" s="6">
        <f>IFERROR(__xludf.DUMMYFUNCTION("""COMPUTED_VALUE"""),"Text 2.graasp")</f>
        <v/>
      </c>
      <c r="D647" s="7">
        <f>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
      </c>
      <c r="E647" s="7">
        <f>IFERROR(__xludf.DUMMYFUNCTION("""COMPUTED_VALUE"""),"No artifact embedded")</f>
        <v/>
      </c>
      <c r="F647" s="7" t="n"/>
      <c r="G647" s="8" t="n">
        <v>0</v>
      </c>
      <c r="H647" s="8" t="n">
        <v>0</v>
      </c>
      <c r="I647" s="8" t="n">
        <v>1</v>
      </c>
      <c r="J647" s="8" t="n">
        <v>0</v>
      </c>
      <c r="K647" s="9" t="n">
        <v>0</v>
      </c>
      <c r="L647" s="9" t="n">
        <v>1</v>
      </c>
      <c r="M647" s="9" t="n">
        <v>0</v>
      </c>
      <c r="N647" s="9" t="n">
        <v>0</v>
      </c>
      <c r="O647" s="10" t="n">
        <v>0</v>
      </c>
      <c r="P647" s="10" t="n">
        <v>0</v>
      </c>
      <c r="Q647" s="10" t="n">
        <v>0</v>
      </c>
      <c r="R647" s="10" t="n">
        <v>0</v>
      </c>
      <c r="S647" s="10" t="n">
        <v>1</v>
      </c>
    </row>
    <row r="648" ht="329" customHeight="1">
      <c r="A648" s="6">
        <f>IFERROR(__xludf.DUMMYFUNCTION("""COMPUTED_VALUE"""),"Is it Good to be Beautiful?")</f>
        <v/>
      </c>
      <c r="B648" s="6">
        <f>IFERROR(__xludf.DUMMYFUNCTION("""COMPUTED_VALUE"""),"Application")</f>
        <v/>
      </c>
      <c r="C648" s="6">
        <f>IFERROR(__xludf.DUMMYFUNCTION("""COMPUTED_VALUE"""),"Input Box")</f>
        <v/>
      </c>
      <c r="D648" s="7">
        <f>IFERROR(__xludf.DUMMYFUNCTION("""COMPUTED_VALUE"""),"No task description")</f>
        <v/>
      </c>
      <c r="E6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48" s="7" t="n"/>
      <c r="G648" s="8" t="n">
        <v>0</v>
      </c>
      <c r="H648" s="8" t="n">
        <v>0</v>
      </c>
      <c r="I648" s="8" t="n">
        <v>1</v>
      </c>
      <c r="J648" s="8" t="n">
        <v>0</v>
      </c>
      <c r="K648" s="9" t="n">
        <v>0</v>
      </c>
      <c r="L648" s="9" t="n">
        <v>1</v>
      </c>
      <c r="M648" s="9" t="n">
        <v>0</v>
      </c>
      <c r="N648" s="9" t="n">
        <v>0</v>
      </c>
      <c r="O648" s="10" t="n">
        <v>0</v>
      </c>
      <c r="P648" s="10" t="n">
        <v>0</v>
      </c>
      <c r="Q648" s="10" t="n">
        <v>0</v>
      </c>
      <c r="R648" s="10" t="n">
        <v>0</v>
      </c>
      <c r="S648" s="10" t="n">
        <v>0</v>
      </c>
    </row>
    <row r="649" ht="409.5" customHeight="1">
      <c r="A649" s="6">
        <f>IFERROR(__xludf.DUMMYFUNCTION("""COMPUTED_VALUE"""),"Is it Good to be Beautiful?")</f>
        <v/>
      </c>
      <c r="B649" s="6">
        <f>IFERROR(__xludf.DUMMYFUNCTION("""COMPUTED_VALUE"""),"Resource")</f>
        <v/>
      </c>
      <c r="C649" s="6">
        <f>IFERROR(__xludf.DUMMYFUNCTION("""COMPUTED_VALUE"""),"Text 3.graasp")</f>
        <v/>
      </c>
      <c r="D649" s="7">
        <f>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
      </c>
      <c r="E649" s="7">
        <f>IFERROR(__xludf.DUMMYFUNCTION("""COMPUTED_VALUE"""),"No artifact embedded")</f>
        <v/>
      </c>
      <c r="F649" s="7" t="n"/>
      <c r="G649" s="8" t="n">
        <v>1</v>
      </c>
      <c r="H649" s="8" t="n">
        <v>0</v>
      </c>
      <c r="I649" s="8" t="n">
        <v>0</v>
      </c>
      <c r="J649" s="8" t="n">
        <v>0</v>
      </c>
      <c r="K649" s="9" t="n">
        <v>1</v>
      </c>
      <c r="L649" s="9" t="n">
        <v>0</v>
      </c>
      <c r="M649" s="9" t="n">
        <v>0</v>
      </c>
      <c r="N649" s="9" t="n">
        <v>0</v>
      </c>
      <c r="O649" s="10" t="n">
        <v>1</v>
      </c>
      <c r="P649" s="10" t="n">
        <v>0</v>
      </c>
      <c r="Q649" s="10" t="n">
        <v>0</v>
      </c>
      <c r="R649" s="10" t="n">
        <v>0</v>
      </c>
      <c r="S649" s="10" t="n">
        <v>0</v>
      </c>
    </row>
    <row r="650" ht="25" customHeight="1">
      <c r="A650" s="6">
        <f>IFERROR(__xludf.DUMMYFUNCTION("""COMPUTED_VALUE"""),"THREE DIMENSIONAL GEOMETRY")</f>
        <v/>
      </c>
      <c r="B650" s="6">
        <f>IFERROR(__xludf.DUMMYFUNCTION("""COMPUTED_VALUE"""),"Space")</f>
        <v/>
      </c>
      <c r="C650" s="6">
        <f>IFERROR(__xludf.DUMMYFUNCTION("""COMPUTED_VALUE"""),"Engage")</f>
        <v/>
      </c>
      <c r="D650" s="7">
        <f>IFERROR(__xludf.DUMMYFUNCTION("""COMPUTED_VALUE"""),"No task description")</f>
        <v/>
      </c>
      <c r="E650" s="7">
        <f>IFERROR(__xludf.DUMMYFUNCTION("""COMPUTED_VALUE"""),"No artifact embedded")</f>
        <v/>
      </c>
      <c r="F650" s="7" t="n"/>
      <c r="G650" s="8" t="n">
        <v>0</v>
      </c>
      <c r="H650" s="8" t="n">
        <v>0</v>
      </c>
      <c r="I650" s="8" t="n">
        <v>0</v>
      </c>
      <c r="J650" s="8" t="n">
        <v>0</v>
      </c>
      <c r="K650" s="9" t="n">
        <v>0</v>
      </c>
      <c r="L650" s="9" t="n">
        <v>0</v>
      </c>
      <c r="M650" s="9" t="n">
        <v>0</v>
      </c>
      <c r="N650" s="9" t="n">
        <v>0</v>
      </c>
      <c r="O650" s="10" t="n">
        <v>0</v>
      </c>
      <c r="P650" s="10" t="n">
        <v>0</v>
      </c>
      <c r="Q650" s="10" t="n">
        <v>0</v>
      </c>
      <c r="R650" s="10" t="n">
        <v>0</v>
      </c>
      <c r="S650" s="10" t="n">
        <v>0</v>
      </c>
    </row>
    <row r="651" ht="49" customHeight="1">
      <c r="A651" s="6">
        <f>IFERROR(__xludf.DUMMYFUNCTION("""COMPUTED_VALUE"""),"THREE DIMENSIONAL GEOMETRY")</f>
        <v/>
      </c>
      <c r="B651" s="6">
        <f>IFERROR(__xludf.DUMMYFUNCTION("""COMPUTED_VALUE"""),"Resource")</f>
        <v/>
      </c>
      <c r="C651" s="6">
        <f>IFERROR(__xludf.DUMMYFUNCTION("""COMPUTED_VALUE"""),"Specific Objectives.graasp")</f>
        <v/>
      </c>
      <c r="D651" s="7">
        <f>IFERROR(__xludf.DUMMYFUNCTION("""COMPUTED_VALUE"""),"&lt;p&gt;Objectives of Three Dimensional Geometry&lt;/p&gt;")</f>
        <v/>
      </c>
      <c r="E651" s="7">
        <f>IFERROR(__xludf.DUMMYFUNCTION("""COMPUTED_VALUE"""),"No artifact embedded")</f>
        <v/>
      </c>
      <c r="F651" s="7" t="n"/>
      <c r="G651" s="8" t="n">
        <v>0</v>
      </c>
      <c r="H651" s="8" t="n">
        <v>0</v>
      </c>
      <c r="I651" s="8" t="n">
        <v>0</v>
      </c>
      <c r="J651" s="8" t="n">
        <v>0</v>
      </c>
      <c r="K651" s="9" t="n">
        <v>0</v>
      </c>
      <c r="L651" s="9" t="n">
        <v>0</v>
      </c>
      <c r="M651" s="9" t="n">
        <v>0</v>
      </c>
      <c r="N651" s="9" t="n">
        <v>0</v>
      </c>
      <c r="O651" s="10" t="n">
        <v>0</v>
      </c>
      <c r="P651" s="10" t="n">
        <v>0</v>
      </c>
      <c r="Q651" s="10" t="n">
        <v>0</v>
      </c>
      <c r="R651" s="10" t="n">
        <v>0</v>
      </c>
      <c r="S651" s="10" t="n">
        <v>0</v>
      </c>
    </row>
    <row r="652" ht="25" customHeight="1">
      <c r="A652" s="6">
        <f>IFERROR(__xludf.DUMMYFUNCTION("""COMPUTED_VALUE"""),"THREE DIMENSIONAL GEOMETRY")</f>
        <v/>
      </c>
      <c r="B652" s="6">
        <f>IFERROR(__xludf.DUMMYFUNCTION("""COMPUTED_VALUE"""),"Space")</f>
        <v/>
      </c>
      <c r="C652" s="6">
        <f>IFERROR(__xludf.DUMMYFUNCTION("""COMPUTED_VALUE"""),"Explore")</f>
        <v/>
      </c>
      <c r="D652" s="7">
        <f>IFERROR(__xludf.DUMMYFUNCTION("""COMPUTED_VALUE"""),"No task description")</f>
        <v/>
      </c>
      <c r="E652" s="7">
        <f>IFERROR(__xludf.DUMMYFUNCTION("""COMPUTED_VALUE"""),"No artifact embedded")</f>
        <v/>
      </c>
      <c r="F652" s="7" t="n"/>
      <c r="G652" s="8" t="n">
        <v>0</v>
      </c>
      <c r="H652" s="8" t="n">
        <v>0</v>
      </c>
      <c r="I652" s="8" t="n">
        <v>0</v>
      </c>
      <c r="J652" s="8" t="n">
        <v>0</v>
      </c>
      <c r="K652" s="9" t="n">
        <v>0</v>
      </c>
      <c r="L652" s="9" t="n">
        <v>0</v>
      </c>
      <c r="M652" s="9" t="n">
        <v>0</v>
      </c>
      <c r="N652" s="9" t="n">
        <v>0</v>
      </c>
      <c r="O652" s="10" t="n">
        <v>0</v>
      </c>
      <c r="P652" s="10" t="n">
        <v>0</v>
      </c>
      <c r="Q652" s="10" t="n">
        <v>0</v>
      </c>
      <c r="R652" s="10" t="n">
        <v>0</v>
      </c>
      <c r="S652" s="10" t="n">
        <v>0</v>
      </c>
    </row>
    <row r="653" ht="25" customHeight="1">
      <c r="A653" s="6">
        <f>IFERROR(__xludf.DUMMYFUNCTION("""COMPUTED_VALUE"""),"THREE DIMENSIONAL GEOMETRY")</f>
        <v/>
      </c>
      <c r="B653" s="6">
        <f>IFERROR(__xludf.DUMMYFUNCTION("""COMPUTED_VALUE"""),"Space")</f>
        <v/>
      </c>
      <c r="C653" s="6">
        <f>IFERROR(__xludf.DUMMYFUNCTION("""COMPUTED_VALUE"""),"Explain")</f>
        <v/>
      </c>
      <c r="D653" s="7">
        <f>IFERROR(__xludf.DUMMYFUNCTION("""COMPUTED_VALUE"""),"No task description")</f>
        <v/>
      </c>
      <c r="E653" s="7">
        <f>IFERROR(__xludf.DUMMYFUNCTION("""COMPUTED_VALUE"""),"No artifact embedded")</f>
        <v/>
      </c>
      <c r="F653" s="7" t="n"/>
      <c r="G653" s="8" t="n">
        <v>0</v>
      </c>
      <c r="H653" s="8" t="n">
        <v>0</v>
      </c>
      <c r="I653" s="8" t="n">
        <v>0</v>
      </c>
      <c r="J653" s="8" t="n">
        <v>0</v>
      </c>
      <c r="K653" s="9" t="n">
        <v>0</v>
      </c>
      <c r="L653" s="9" t="n">
        <v>0</v>
      </c>
      <c r="M653" s="9" t="n">
        <v>0</v>
      </c>
      <c r="N653" s="9" t="n">
        <v>0</v>
      </c>
      <c r="O653" s="10" t="n">
        <v>0</v>
      </c>
      <c r="P653" s="10" t="n">
        <v>0</v>
      </c>
      <c r="Q653" s="10" t="n">
        <v>0</v>
      </c>
      <c r="R653" s="10" t="n">
        <v>0</v>
      </c>
      <c r="S653" s="10" t="n">
        <v>0</v>
      </c>
    </row>
    <row r="654" ht="25" customHeight="1">
      <c r="A654" s="6">
        <f>IFERROR(__xludf.DUMMYFUNCTION("""COMPUTED_VALUE"""),"THREE DIMENSIONAL GEOMETRY")</f>
        <v/>
      </c>
      <c r="B654" s="6">
        <f>IFERROR(__xludf.DUMMYFUNCTION("""COMPUTED_VALUE"""),"Space")</f>
        <v/>
      </c>
      <c r="C654" s="6">
        <f>IFERROR(__xludf.DUMMYFUNCTION("""COMPUTED_VALUE"""),"Elaborate")</f>
        <v/>
      </c>
      <c r="D654" s="7">
        <f>IFERROR(__xludf.DUMMYFUNCTION("""COMPUTED_VALUE"""),"No task description")</f>
        <v/>
      </c>
      <c r="E654" s="7">
        <f>IFERROR(__xludf.DUMMYFUNCTION("""COMPUTED_VALUE"""),"No artifact embedded")</f>
        <v/>
      </c>
      <c r="F654" s="7" t="n"/>
      <c r="G654" s="8" t="n">
        <v>0</v>
      </c>
      <c r="H654" s="8" t="n">
        <v>0</v>
      </c>
      <c r="I654" s="8" t="n">
        <v>0</v>
      </c>
      <c r="J654" s="8" t="n">
        <v>0</v>
      </c>
      <c r="K654" s="9" t="n">
        <v>0</v>
      </c>
      <c r="L654" s="9" t="n">
        <v>0</v>
      </c>
      <c r="M654" s="9" t="n">
        <v>0</v>
      </c>
      <c r="N654" s="9" t="n">
        <v>0</v>
      </c>
      <c r="O654" s="10" t="n">
        <v>0</v>
      </c>
      <c r="P654" s="10" t="n">
        <v>0</v>
      </c>
      <c r="Q654" s="10" t="n">
        <v>0</v>
      </c>
      <c r="R654" s="10" t="n">
        <v>0</v>
      </c>
      <c r="S654" s="10" t="n">
        <v>0</v>
      </c>
    </row>
    <row r="655" ht="25" customHeight="1">
      <c r="A655" s="6">
        <f>IFERROR(__xludf.DUMMYFUNCTION("""COMPUTED_VALUE"""),"THREE DIMENSIONAL GEOMETRY")</f>
        <v/>
      </c>
      <c r="B655" s="6">
        <f>IFERROR(__xludf.DUMMYFUNCTION("""COMPUTED_VALUE"""),"Space")</f>
        <v/>
      </c>
      <c r="C655" s="6">
        <f>IFERROR(__xludf.DUMMYFUNCTION("""COMPUTED_VALUE"""),"Evaluate")</f>
        <v/>
      </c>
      <c r="D655" s="7">
        <f>IFERROR(__xludf.DUMMYFUNCTION("""COMPUTED_VALUE"""),"No task description")</f>
        <v/>
      </c>
      <c r="E655" s="7">
        <f>IFERROR(__xludf.DUMMYFUNCTION("""COMPUTED_VALUE"""),"No artifact embedded")</f>
        <v/>
      </c>
      <c r="F655" s="7" t="n"/>
      <c r="G655" s="8" t="n">
        <v>0</v>
      </c>
      <c r="H655" s="8" t="n">
        <v>0</v>
      </c>
      <c r="I655" s="8" t="n">
        <v>0</v>
      </c>
      <c r="J655" s="8" t="n">
        <v>0</v>
      </c>
      <c r="K655" s="9" t="n">
        <v>0</v>
      </c>
      <c r="L655" s="9" t="n">
        <v>0</v>
      </c>
      <c r="M655" s="9" t="n">
        <v>0</v>
      </c>
      <c r="N655" s="9" t="n">
        <v>0</v>
      </c>
      <c r="O655" s="10" t="n">
        <v>0</v>
      </c>
      <c r="P655" s="10" t="n">
        <v>0</v>
      </c>
      <c r="Q655" s="10" t="n">
        <v>0</v>
      </c>
      <c r="R655" s="10" t="n">
        <v>0</v>
      </c>
      <c r="S655" s="10" t="n">
        <v>0</v>
      </c>
    </row>
    <row r="656" ht="85" customHeight="1">
      <c r="A656" s="6">
        <f>IFERROR(__xludf.DUMMYFUNCTION("""COMPUTED_VALUE"""),"UV light: friend or foe?")</f>
        <v/>
      </c>
      <c r="B656" s="6">
        <f>IFERROR(__xludf.DUMMYFUNCTION("""COMPUTED_VALUE"""),"Space")</f>
        <v/>
      </c>
      <c r="C656" s="6">
        <f>IFERROR(__xludf.DUMMYFUNCTION("""COMPUTED_VALUE"""),"Learning about UV, light and the Sun")</f>
        <v/>
      </c>
      <c r="D656" s="7">
        <f>IFERROR(__xludf.DUMMYFUNCTION("""COMPUTED_VALUE"""),"&lt;p&gt;What would happen if you spent an afternoon in the beach wearing no clothes and no sunscreen?&lt;/p&gt;")</f>
        <v/>
      </c>
      <c r="E656" s="7">
        <f>IFERROR(__xludf.DUMMYFUNCTION("""COMPUTED_VALUE"""),"No artifact embedded")</f>
        <v/>
      </c>
      <c r="F656" s="7" t="n"/>
      <c r="G656" s="8" t="n">
        <v>1</v>
      </c>
      <c r="H656" s="8" t="n">
        <v>0</v>
      </c>
      <c r="I656" s="8" t="n">
        <v>0</v>
      </c>
      <c r="J656" s="8" t="n">
        <v>0</v>
      </c>
      <c r="K656" s="9" t="n">
        <v>1</v>
      </c>
      <c r="L656" s="9" t="n">
        <v>0</v>
      </c>
      <c r="M656" s="9" t="n">
        <v>0</v>
      </c>
      <c r="N656" s="9" t="n">
        <v>0</v>
      </c>
      <c r="O656" s="10" t="n">
        <v>1</v>
      </c>
      <c r="P656" s="10" t="n">
        <v>0</v>
      </c>
      <c r="Q656" s="10" t="n">
        <v>0</v>
      </c>
      <c r="R656" s="10" t="n">
        <v>0</v>
      </c>
      <c r="S656" s="10" t="n">
        <v>0</v>
      </c>
    </row>
    <row r="657" ht="97" customHeight="1">
      <c r="A657" s="6">
        <f>IFERROR(__xludf.DUMMYFUNCTION("""COMPUTED_VALUE"""),"UV light: friend or foe?")</f>
        <v/>
      </c>
      <c r="B657" s="6">
        <f>IFERROR(__xludf.DUMMYFUNCTION("""COMPUTED_VALUE"""),"Resource")</f>
        <v/>
      </c>
      <c r="C657" s="6">
        <f>IFERROR(__xludf.DUMMYFUNCTION("""COMPUTED_VALUE"""),"download.png")</f>
        <v/>
      </c>
      <c r="D657" s="7">
        <f>IFERROR(__xludf.DUMMYFUNCTION("""COMPUTED_VALUE"""),"&lt;p&gt;Maybe this would happen?&lt;/p&gt;")</f>
        <v/>
      </c>
      <c r="E657" s="7">
        <f>IFERROR(__xludf.DUMMYFUNCTION("""COMPUTED_VALUE"""),"image/png – A high-quality image with support for transparency, often used in design and web applications.")</f>
        <v/>
      </c>
      <c r="F657" s="7" t="n"/>
      <c r="G657" s="8" t="n">
        <v>1</v>
      </c>
      <c r="H657" s="8" t="n">
        <v>0</v>
      </c>
      <c r="I657" s="8" t="n">
        <v>0</v>
      </c>
      <c r="J657" s="8" t="n">
        <v>0</v>
      </c>
      <c r="K657" s="9" t="n">
        <v>1</v>
      </c>
      <c r="L657" s="9" t="n">
        <v>0</v>
      </c>
      <c r="M657" s="9" t="n">
        <v>0</v>
      </c>
      <c r="N657" s="9" t="n">
        <v>0</v>
      </c>
      <c r="O657" s="10" t="n">
        <v>1</v>
      </c>
      <c r="P657" s="10" t="n">
        <v>0</v>
      </c>
      <c r="Q657" s="10" t="n">
        <v>0</v>
      </c>
      <c r="R657" s="10" t="n">
        <v>0</v>
      </c>
      <c r="S657" s="10" t="n">
        <v>0</v>
      </c>
    </row>
    <row r="658" ht="109" customHeight="1">
      <c r="A658" s="6">
        <f>IFERROR(__xludf.DUMMYFUNCTION("""COMPUTED_VALUE"""),"UV light: friend or foe?")</f>
        <v/>
      </c>
      <c r="B658" s="6">
        <f>IFERROR(__xludf.DUMMYFUNCTION("""COMPUTED_VALUE"""),"Resource")</f>
        <v/>
      </c>
      <c r="C658" s="6">
        <f>IFERROR(__xludf.DUMMYFUNCTION("""COMPUTED_VALUE"""),"1.graasp")</f>
        <v/>
      </c>
      <c r="D658" s="7">
        <f>IFERROR(__xludf.DUMMYFUNCTION("""COMPUTED_VALUE"""),"&lt;p&gt;Did you ever get a sunburn? Discover how many of your colleagues have already got a sunburn and write it in the box below.&lt;/p&gt;")</f>
        <v/>
      </c>
      <c r="E658" s="7">
        <f>IFERROR(__xludf.DUMMYFUNCTION("""COMPUTED_VALUE"""),"No artifact embedded")</f>
        <v/>
      </c>
      <c r="F658" s="7" t="n"/>
      <c r="G658" s="8" t="n">
        <v>0</v>
      </c>
      <c r="H658" s="8" t="n">
        <v>0</v>
      </c>
      <c r="I658" s="8" t="n">
        <v>0</v>
      </c>
      <c r="J658" s="8" t="n">
        <v>1</v>
      </c>
      <c r="K658" s="9" t="n">
        <v>0</v>
      </c>
      <c r="L658" s="9" t="n">
        <v>1</v>
      </c>
      <c r="M658" s="9" t="n">
        <v>1</v>
      </c>
      <c r="N658" s="9" t="n">
        <v>0</v>
      </c>
      <c r="O658" s="10" t="n">
        <v>1</v>
      </c>
      <c r="P658" s="10" t="n">
        <v>0</v>
      </c>
      <c r="Q658" s="10" t="n">
        <v>1</v>
      </c>
      <c r="R658" s="10" t="n">
        <v>0</v>
      </c>
      <c r="S658" s="10" t="n">
        <v>1</v>
      </c>
    </row>
    <row r="659" ht="329" customHeight="1">
      <c r="A659" s="6">
        <f>IFERROR(__xludf.DUMMYFUNCTION("""COMPUTED_VALUE"""),"UV light: friend or foe?")</f>
        <v/>
      </c>
      <c r="B659" s="6">
        <f>IFERROR(__xludf.DUMMYFUNCTION("""COMPUTED_VALUE"""),"Application")</f>
        <v/>
      </c>
      <c r="C659" s="6">
        <f>IFERROR(__xludf.DUMMYFUNCTION("""COMPUTED_VALUE"""),"Input Box")</f>
        <v/>
      </c>
      <c r="D659" s="7">
        <f>IFERROR(__xludf.DUMMYFUNCTION("""COMPUTED_VALUE"""),"No task description")</f>
        <v/>
      </c>
      <c r="E65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59" s="7" t="n"/>
      <c r="G659" s="8" t="n">
        <v>0</v>
      </c>
      <c r="H659" s="8" t="n">
        <v>0</v>
      </c>
      <c r="I659" s="8" t="n">
        <v>1</v>
      </c>
      <c r="J659" s="8" t="n">
        <v>0</v>
      </c>
      <c r="K659" s="9" t="n">
        <v>0</v>
      </c>
      <c r="L659" s="9" t="n">
        <v>1</v>
      </c>
      <c r="M659" s="9" t="n">
        <v>0</v>
      </c>
      <c r="N659" s="9" t="n">
        <v>0</v>
      </c>
      <c r="O659" s="10" t="n">
        <v>0</v>
      </c>
      <c r="P659" s="10" t="n">
        <v>0</v>
      </c>
      <c r="Q659" s="10" t="n">
        <v>0</v>
      </c>
      <c r="R659" s="10" t="n">
        <v>0</v>
      </c>
      <c r="S659" s="10" t="n">
        <v>0</v>
      </c>
    </row>
    <row r="660" ht="409.5" customHeight="1">
      <c r="A660" s="6">
        <f>IFERROR(__xludf.DUMMYFUNCTION("""COMPUTED_VALUE"""),"UV light: friend or foe?")</f>
        <v/>
      </c>
      <c r="B660" s="6">
        <f>IFERROR(__xludf.DUMMYFUNCTION("""COMPUTED_VALUE"""),"Resource")</f>
        <v/>
      </c>
      <c r="C660" s="6">
        <f>IFERROR(__xludf.DUMMYFUNCTION("""COMPUTED_VALUE"""),"2.graasp")</f>
        <v/>
      </c>
      <c r="D660" s="7">
        <f>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
      </c>
      <c r="E660" s="7">
        <f>IFERROR(__xludf.DUMMYFUNCTION("""COMPUTED_VALUE"""),"No artifact embedded")</f>
        <v/>
      </c>
      <c r="F660" s="7" t="n"/>
      <c r="G660" s="8" t="n">
        <v>0</v>
      </c>
      <c r="H660" s="8" t="n">
        <v>0</v>
      </c>
      <c r="I660" s="8" t="n">
        <v>1</v>
      </c>
      <c r="J660" s="8" t="n">
        <v>0</v>
      </c>
      <c r="K660" s="9" t="n">
        <v>0</v>
      </c>
      <c r="L660" s="9" t="n">
        <v>1</v>
      </c>
      <c r="M660" s="9" t="n">
        <v>0</v>
      </c>
      <c r="N660" s="9" t="n">
        <v>0</v>
      </c>
      <c r="O660" s="10" t="n">
        <v>1</v>
      </c>
      <c r="P660" s="10" t="n">
        <v>0</v>
      </c>
      <c r="Q660" s="10" t="n">
        <v>0</v>
      </c>
      <c r="R660" s="10" t="n">
        <v>0</v>
      </c>
      <c r="S660" s="10" t="n">
        <v>0</v>
      </c>
    </row>
    <row r="661" ht="409.5" customHeight="1">
      <c r="A661" s="6">
        <f>IFERROR(__xludf.DUMMYFUNCTION("""COMPUTED_VALUE"""),"UV light: friend or foe?")</f>
        <v/>
      </c>
      <c r="B661" s="6">
        <f>IFERROR(__xludf.DUMMYFUNCTION("""COMPUTED_VALUE"""),"Application")</f>
        <v/>
      </c>
      <c r="C661" s="6">
        <f>IFERROR(__xludf.DUMMYFUNCTION("""COMPUTED_VALUE"""),"Table Tool")</f>
        <v/>
      </c>
      <c r="D661" s="7">
        <f>IFERROR(__xludf.DUMMYFUNCTION("""COMPUTED_VALUE"""),"No task description")</f>
        <v/>
      </c>
      <c r="E661"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61" s="7" t="n"/>
      <c r="G661" s="8" t="n">
        <v>0</v>
      </c>
      <c r="H661" s="8" t="n">
        <v>0</v>
      </c>
      <c r="I661" s="8" t="n">
        <v>1</v>
      </c>
      <c r="J661" s="8" t="n">
        <v>0</v>
      </c>
      <c r="K661" s="9" t="n">
        <v>0</v>
      </c>
      <c r="L661" s="9" t="n">
        <v>1</v>
      </c>
      <c r="M661" s="9" t="n">
        <v>0</v>
      </c>
      <c r="N661" s="9" t="n">
        <v>0</v>
      </c>
      <c r="O661" s="10" t="n">
        <v>0</v>
      </c>
      <c r="P661" s="10" t="n">
        <v>0</v>
      </c>
      <c r="Q661" s="10" t="n">
        <v>0</v>
      </c>
      <c r="R661" s="10" t="n">
        <v>0</v>
      </c>
      <c r="S661" s="10" t="n">
        <v>0</v>
      </c>
    </row>
    <row r="662" ht="329" customHeight="1">
      <c r="A662" s="6">
        <f>IFERROR(__xludf.DUMMYFUNCTION("""COMPUTED_VALUE"""),"UV light: friend or foe?")</f>
        <v/>
      </c>
      <c r="B662" s="6">
        <f>IFERROR(__xludf.DUMMYFUNCTION("""COMPUTED_VALUE"""),"Application")</f>
        <v/>
      </c>
      <c r="C662" s="6">
        <f>IFERROR(__xludf.DUMMYFUNCTION("""COMPUTED_VALUE"""),"Input Box (1)")</f>
        <v/>
      </c>
      <c r="D662" s="7">
        <f>IFERROR(__xludf.DUMMYFUNCTION("""COMPUTED_VALUE"""),"&lt;p&gt;Add here any relevant conclusions and move on to the next phase&lt;/p&gt;")</f>
        <v/>
      </c>
      <c r="E66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2" s="7" t="n"/>
      <c r="G662" s="8" t="n">
        <v>0</v>
      </c>
      <c r="H662" s="8" t="n">
        <v>0</v>
      </c>
      <c r="I662" s="8" t="n">
        <v>1</v>
      </c>
      <c r="J662" s="8" t="n">
        <v>0</v>
      </c>
      <c r="K662" s="9" t="n">
        <v>0</v>
      </c>
      <c r="L662" s="9" t="n">
        <v>1</v>
      </c>
      <c r="M662" s="9" t="n">
        <v>0</v>
      </c>
      <c r="N662" s="9" t="n">
        <v>0</v>
      </c>
      <c r="O662" s="10" t="n">
        <v>0</v>
      </c>
      <c r="P662" s="10" t="n">
        <v>0</v>
      </c>
      <c r="Q662" s="10" t="n">
        <v>0</v>
      </c>
      <c r="R662" s="10" t="n">
        <v>1</v>
      </c>
      <c r="S662" s="10" t="n">
        <v>0</v>
      </c>
    </row>
    <row r="663" ht="25" customHeight="1">
      <c r="A663" s="6">
        <f>IFERROR(__xludf.DUMMYFUNCTION("""COMPUTED_VALUE"""),"UV light: friend or foe?")</f>
        <v/>
      </c>
      <c r="B663" s="6">
        <f>IFERROR(__xludf.DUMMYFUNCTION("""COMPUTED_VALUE"""),"Space")</f>
        <v/>
      </c>
      <c r="C663" s="6">
        <f>IFERROR(__xludf.DUMMYFUNCTION("""COMPUTED_VALUE"""),"UV in my community")</f>
        <v/>
      </c>
      <c r="D663" s="7">
        <f>IFERROR(__xludf.DUMMYFUNCTION("""COMPUTED_VALUE"""),"No task description")</f>
        <v/>
      </c>
      <c r="E663" s="7">
        <f>IFERROR(__xludf.DUMMYFUNCTION("""COMPUTED_VALUE"""),"No artifact embedded")</f>
        <v/>
      </c>
      <c r="F663" s="7" t="n"/>
      <c r="G663" s="8" t="n">
        <v>0</v>
      </c>
      <c r="H663" s="8" t="n">
        <v>0</v>
      </c>
      <c r="I663" s="8" t="n">
        <v>0</v>
      </c>
      <c r="J663" s="8" t="n">
        <v>0</v>
      </c>
      <c r="K663" s="9" t="n">
        <v>0</v>
      </c>
      <c r="L663" s="9" t="n">
        <v>0</v>
      </c>
      <c r="M663" s="9" t="n">
        <v>0</v>
      </c>
      <c r="N663" s="9" t="n">
        <v>0</v>
      </c>
      <c r="O663" s="10" t="n">
        <v>0</v>
      </c>
      <c r="P663" s="10" t="n">
        <v>0</v>
      </c>
      <c r="Q663" s="10" t="n">
        <v>0</v>
      </c>
      <c r="R663" s="10" t="n">
        <v>0</v>
      </c>
      <c r="S663" s="10" t="n">
        <v>0</v>
      </c>
    </row>
    <row r="664" ht="409.5" customHeight="1">
      <c r="A664" s="6">
        <f>IFERROR(__xludf.DUMMYFUNCTION("""COMPUTED_VALUE"""),"UV light: friend or foe?")</f>
        <v/>
      </c>
      <c r="B664" s="6">
        <f>IFERROR(__xludf.DUMMYFUNCTION("""COMPUTED_VALUE"""),"Resource")</f>
        <v/>
      </c>
      <c r="C664" s="6">
        <f>IFERROR(__xludf.DUMMYFUNCTION("""COMPUTED_VALUE"""),"1 (1).graasp")</f>
        <v/>
      </c>
      <c r="D664" s="7">
        <f>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
      </c>
      <c r="E664" s="7">
        <f>IFERROR(__xludf.DUMMYFUNCTION("""COMPUTED_VALUE"""),"No artifact embedded")</f>
        <v/>
      </c>
      <c r="F664" s="7" t="n"/>
      <c r="G664" s="8" t="n">
        <v>0</v>
      </c>
      <c r="H664" s="8" t="n">
        <v>0</v>
      </c>
      <c r="I664" s="8" t="n">
        <v>1</v>
      </c>
      <c r="J664" s="8" t="n">
        <v>0</v>
      </c>
      <c r="K664" s="9" t="n">
        <v>0</v>
      </c>
      <c r="L664" s="9" t="n">
        <v>1</v>
      </c>
      <c r="M664" s="9" t="n">
        <v>0</v>
      </c>
      <c r="N664" s="9" t="n">
        <v>0</v>
      </c>
      <c r="O664" s="10" t="n">
        <v>0</v>
      </c>
      <c r="P664" s="10" t="n">
        <v>1</v>
      </c>
      <c r="Q664" s="10" t="n">
        <v>0</v>
      </c>
      <c r="R664" s="10" t="n">
        <v>0</v>
      </c>
      <c r="S664" s="10" t="n">
        <v>0</v>
      </c>
    </row>
    <row r="665" ht="121" customHeight="1">
      <c r="A665" s="6">
        <f>IFERROR(__xludf.DUMMYFUNCTION("""COMPUTED_VALUE"""),"UV light: friend or foe?")</f>
        <v/>
      </c>
      <c r="B665" s="6">
        <f>IFERROR(__xludf.DUMMYFUNCTION("""COMPUTED_VALUE"""),"Resource")</f>
        <v/>
      </c>
      <c r="C665" s="6">
        <f>IFERROR(__xludf.DUMMYFUNCTION("""COMPUTED_VALUE"""),"woman-591576_1280.jpg")</f>
        <v/>
      </c>
      <c r="D665" s="7">
        <f>IFERROR(__xludf.DUMMYFUNCTION("""COMPUTED_VALUE"""),"No task description")</f>
        <v/>
      </c>
      <c r="E665" s="7">
        <f>IFERROR(__xludf.DUMMYFUNCTION("""COMPUTED_VALUE"""),"image/jpeg – A digital photograph or web image stored in a compressed format, often used for photography and web graphics.")</f>
        <v/>
      </c>
      <c r="F665" s="7" t="n"/>
      <c r="G665" s="8" t="n">
        <v>0</v>
      </c>
      <c r="H665" s="8" t="n">
        <v>0</v>
      </c>
      <c r="I665" s="8" t="n">
        <v>0</v>
      </c>
      <c r="J665" s="8" t="n">
        <v>0</v>
      </c>
      <c r="K665" s="9" t="n">
        <v>0</v>
      </c>
      <c r="L665" s="9" t="n">
        <v>0</v>
      </c>
      <c r="M665" s="9" t="n">
        <v>0</v>
      </c>
      <c r="N665" s="9" t="n">
        <v>0</v>
      </c>
      <c r="O665" s="10" t="n">
        <v>0</v>
      </c>
      <c r="P665" s="10" t="n">
        <v>0</v>
      </c>
      <c r="Q665" s="10" t="n">
        <v>0</v>
      </c>
      <c r="R665" s="10" t="n">
        <v>0</v>
      </c>
      <c r="S665" s="10" t="n">
        <v>0</v>
      </c>
    </row>
    <row r="666" ht="409.5" customHeight="1">
      <c r="A666" s="6">
        <f>IFERROR(__xludf.DUMMYFUNCTION("""COMPUTED_VALUE"""),"UV light: friend or foe?")</f>
        <v/>
      </c>
      <c r="B666" s="6">
        <f>IFERROR(__xludf.DUMMYFUNCTION("""COMPUTED_VALUE"""),"Application")</f>
        <v/>
      </c>
      <c r="C666" s="6">
        <f>IFERROR(__xludf.DUMMYFUNCTION("""COMPUTED_VALUE"""),"Hypothesis Scratchpad")</f>
        <v/>
      </c>
      <c r="D666" s="7">
        <f>IFERROR(__xludf.DUMMYFUNCTION("""COMPUTED_VALUE"""),"No task description")</f>
        <v/>
      </c>
      <c r="E66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66" s="7" t="n"/>
      <c r="G666" s="8" t="n">
        <v>0</v>
      </c>
      <c r="H666" s="8" t="n">
        <v>0</v>
      </c>
      <c r="I666" s="8" t="n">
        <v>1</v>
      </c>
      <c r="J666" s="8" t="n">
        <v>0</v>
      </c>
      <c r="K666" s="9" t="n">
        <v>0</v>
      </c>
      <c r="L666" s="9" t="n">
        <v>1</v>
      </c>
      <c r="M666" s="9" t="n">
        <v>0</v>
      </c>
      <c r="N666" s="9" t="n">
        <v>0</v>
      </c>
      <c r="O666" s="10" t="n">
        <v>0</v>
      </c>
      <c r="P666" s="10" t="n">
        <v>1</v>
      </c>
      <c r="Q666" s="10" t="n">
        <v>0</v>
      </c>
      <c r="R666" s="10" t="n">
        <v>0</v>
      </c>
      <c r="S666" s="10" t="n">
        <v>0</v>
      </c>
    </row>
    <row r="667" ht="409.5" customHeight="1">
      <c r="A667" s="6">
        <f>IFERROR(__xludf.DUMMYFUNCTION("""COMPUTED_VALUE"""),"UV light: friend or foe?")</f>
        <v/>
      </c>
      <c r="B667" s="6">
        <f>IFERROR(__xludf.DUMMYFUNCTION("""COMPUTED_VALUE"""),"Resource")</f>
        <v/>
      </c>
      <c r="C667" s="6">
        <f>IFERROR(__xludf.DUMMYFUNCTION("""COMPUTED_VALUE"""),"2 (1).graasp")</f>
        <v/>
      </c>
      <c r="D667" s="7">
        <f>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
      </c>
      <c r="E667" s="7">
        <f>IFERROR(__xludf.DUMMYFUNCTION("""COMPUTED_VALUE"""),"No artifact embedded")</f>
        <v/>
      </c>
      <c r="F667" s="7" t="n"/>
      <c r="G667" s="8" t="n">
        <v>0</v>
      </c>
      <c r="H667" s="8" t="n">
        <v>0</v>
      </c>
      <c r="I667" s="8" t="n">
        <v>0</v>
      </c>
      <c r="J667" s="8" t="n">
        <v>1</v>
      </c>
      <c r="K667" s="9" t="n">
        <v>1</v>
      </c>
      <c r="L667" s="9" t="n">
        <v>0</v>
      </c>
      <c r="M667" s="9" t="n">
        <v>0</v>
      </c>
      <c r="N667" s="9" t="n">
        <v>1</v>
      </c>
      <c r="O667" s="10" t="n">
        <v>1</v>
      </c>
      <c r="P667" s="10" t="n">
        <v>0</v>
      </c>
      <c r="Q667" s="10" t="n">
        <v>1</v>
      </c>
      <c r="R667" s="10" t="n">
        <v>0</v>
      </c>
      <c r="S667" s="10" t="n">
        <v>0</v>
      </c>
    </row>
    <row r="668" ht="97" customHeight="1">
      <c r="A668" s="6">
        <f>IFERROR(__xludf.DUMMYFUNCTION("""COMPUTED_VALUE"""),"UV light: friend or foe?")</f>
        <v/>
      </c>
      <c r="B668" s="6">
        <f>IFERROR(__xludf.DUMMYFUNCTION("""COMPUTED_VALUE"""),"Resource")</f>
        <v/>
      </c>
      <c r="C668" s="6">
        <f>IFERROR(__xludf.DUMMYFUNCTION("""COMPUTED_VALUE"""),"UV light scale (1).png")</f>
        <v/>
      </c>
      <c r="D668" s="7">
        <f>IFERROR(__xludf.DUMMYFUNCTION("""COMPUTED_VALUE"""),"No task description")</f>
        <v/>
      </c>
      <c r="E668" s="7">
        <f>IFERROR(__xludf.DUMMYFUNCTION("""COMPUTED_VALUE"""),"image/png – A high-quality image with support for transparency, often used in design and web applications.")</f>
        <v/>
      </c>
      <c r="F668" s="7" t="n"/>
      <c r="G668" s="8" t="n">
        <v>1</v>
      </c>
      <c r="H668" s="8" t="n">
        <v>0</v>
      </c>
      <c r="I668" s="8" t="n">
        <v>0</v>
      </c>
      <c r="J668" s="8" t="n">
        <v>0</v>
      </c>
      <c r="K668" s="9" t="n">
        <v>1</v>
      </c>
      <c r="L668" s="9" t="n">
        <v>0</v>
      </c>
      <c r="M668" s="9" t="n">
        <v>0</v>
      </c>
      <c r="N668" s="9" t="n">
        <v>0</v>
      </c>
      <c r="O668" s="10" t="n">
        <v>0</v>
      </c>
      <c r="P668" s="10" t="n">
        <v>0</v>
      </c>
      <c r="Q668" s="10" t="n">
        <v>0</v>
      </c>
      <c r="R668" s="10" t="n">
        <v>0</v>
      </c>
      <c r="S668" s="10" t="n">
        <v>0</v>
      </c>
    </row>
    <row r="669" ht="409.5" customHeight="1">
      <c r="A669" s="6">
        <f>IFERROR(__xludf.DUMMYFUNCTION("""COMPUTED_VALUE"""),"UV light: friend or foe?")</f>
        <v/>
      </c>
      <c r="B669" s="6">
        <f>IFERROR(__xludf.DUMMYFUNCTION("""COMPUTED_VALUE"""),"Resource")</f>
        <v/>
      </c>
      <c r="C669" s="6">
        <f>IFERROR(__xludf.DUMMYFUNCTION("""COMPUTED_VALUE"""),"s.graasp")</f>
        <v/>
      </c>
      <c r="D669" s="7">
        <f>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
      </c>
      <c r="E669" s="7">
        <f>IFERROR(__xludf.DUMMYFUNCTION("""COMPUTED_VALUE"""),"No artifact embedded")</f>
        <v/>
      </c>
      <c r="F669" s="7" t="n"/>
      <c r="G669" s="8" t="n">
        <v>0</v>
      </c>
      <c r="H669" s="8" t="n">
        <v>0</v>
      </c>
      <c r="I669" s="8" t="n">
        <v>0</v>
      </c>
      <c r="J669" s="8" t="n">
        <v>1</v>
      </c>
      <c r="K669" s="9" t="n">
        <v>0</v>
      </c>
      <c r="L669" s="9" t="n">
        <v>1</v>
      </c>
      <c r="M669" s="9" t="n">
        <v>0</v>
      </c>
      <c r="N669" s="9" t="n">
        <v>1</v>
      </c>
      <c r="O669" s="10" t="n">
        <v>1</v>
      </c>
      <c r="P669" s="10" t="n">
        <v>0</v>
      </c>
      <c r="Q669" s="10" t="n">
        <v>1</v>
      </c>
      <c r="R669" s="10" t="n">
        <v>0</v>
      </c>
      <c r="S669" s="10" t="n">
        <v>0</v>
      </c>
    </row>
    <row r="670" ht="133" customHeight="1">
      <c r="A670" s="6">
        <f>IFERROR(__xludf.DUMMYFUNCTION("""COMPUTED_VALUE"""),"UV light: friend or foe?")</f>
        <v/>
      </c>
      <c r="B670" s="6">
        <f>IFERROR(__xludf.DUMMYFUNCTION("""COMPUTED_VALUE"""),"Resource")</f>
        <v/>
      </c>
      <c r="C670" s="6">
        <f>IFERROR(__xludf.DUMMYFUNCTION("""COMPUTED_VALUE"""),"UV light levels around the world (1)")</f>
        <v/>
      </c>
      <c r="D670" s="7">
        <f>IFERROR(__xludf.DUMMYFUNCTION("""COMPUTED_VALUE"""),"&lt;p&gt;Is ultraviolet radiation the same level across the globe? Are people aware of how to protect themselves from this radiation?&lt;/p&gt;")</f>
        <v/>
      </c>
      <c r="E670" s="7">
        <f>IFERROR(__xludf.DUMMYFUNCTION("""COMPUTED_VALUE"""),"Artifact from globallab.org: A platform for collaborative educational projects, possibly including studies on UV light levels around the world.")</f>
        <v/>
      </c>
      <c r="F670" s="7" t="n"/>
      <c r="G670" s="8" t="n">
        <v>0</v>
      </c>
      <c r="H670" s="8" t="n">
        <v>0</v>
      </c>
      <c r="I670" s="8" t="n">
        <v>0</v>
      </c>
      <c r="J670" s="8" t="n">
        <v>1</v>
      </c>
      <c r="K670" s="9" t="n">
        <v>0</v>
      </c>
      <c r="L670" s="9" t="n">
        <v>0</v>
      </c>
      <c r="M670" s="9" t="n">
        <v>1</v>
      </c>
      <c r="N670" s="9" t="n">
        <v>0</v>
      </c>
      <c r="O670" s="10" t="n">
        <v>0</v>
      </c>
      <c r="P670" s="10" t="n">
        <v>0</v>
      </c>
      <c r="Q670" s="10" t="n">
        <v>1</v>
      </c>
      <c r="R670" s="10" t="n">
        <v>0</v>
      </c>
      <c r="S670" s="10" t="n">
        <v>1</v>
      </c>
    </row>
    <row r="671" ht="318" customHeight="1">
      <c r="A671" s="6">
        <f>IFERROR(__xludf.DUMMYFUNCTION("""COMPUTED_VALUE"""),"UV light: friend or foe?")</f>
        <v/>
      </c>
      <c r="B671" s="6">
        <f>IFERROR(__xludf.DUMMYFUNCTION("""COMPUTED_VALUE"""),"Resource")</f>
        <v/>
      </c>
      <c r="C671" s="6">
        <f>IFERROR(__xludf.DUMMYFUNCTION("""COMPUTED_VALUE"""),"3.graasp")</f>
        <v/>
      </c>
      <c r="D671" s="7">
        <f>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
      </c>
      <c r="E671" s="7">
        <f>IFERROR(__xludf.DUMMYFUNCTION("""COMPUTED_VALUE"""),"No artifact embedded")</f>
        <v/>
      </c>
      <c r="F671" s="7" t="n"/>
      <c r="G671" s="8" t="n">
        <v>0</v>
      </c>
      <c r="H671" s="8" t="n">
        <v>0</v>
      </c>
      <c r="I671" s="8" t="n">
        <v>1</v>
      </c>
      <c r="J671" s="8" t="n">
        <v>0</v>
      </c>
      <c r="K671" s="9" t="n">
        <v>0</v>
      </c>
      <c r="L671" s="9" t="n">
        <v>1</v>
      </c>
      <c r="M671" s="9" t="n">
        <v>0</v>
      </c>
      <c r="N671" s="9" t="n">
        <v>0</v>
      </c>
      <c r="O671" s="10" t="n">
        <v>0</v>
      </c>
      <c r="P671" s="10" t="n">
        <v>0</v>
      </c>
      <c r="Q671" s="10" t="n">
        <v>1</v>
      </c>
      <c r="R671" s="10" t="n">
        <v>1</v>
      </c>
      <c r="S671" s="10" t="n">
        <v>0</v>
      </c>
    </row>
    <row r="672" ht="409.5" customHeight="1">
      <c r="A672" s="6">
        <f>IFERROR(__xludf.DUMMYFUNCTION("""COMPUTED_VALUE"""),"UV light: friend or foe?")</f>
        <v/>
      </c>
      <c r="B672" s="6">
        <f>IFERROR(__xludf.DUMMYFUNCTION("""COMPUTED_VALUE"""),"Application")</f>
        <v/>
      </c>
      <c r="C672" s="6">
        <f>IFERROR(__xludf.DUMMYFUNCTION("""COMPUTED_VALUE"""),"Conclusion Tool")</f>
        <v/>
      </c>
      <c r="D672" s="7">
        <f>IFERROR(__xludf.DUMMYFUNCTION("""COMPUTED_VALUE"""),"No task description")</f>
        <v/>
      </c>
      <c r="E67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72" s="7" t="n"/>
      <c r="G672" s="8" t="n">
        <v>0</v>
      </c>
      <c r="H672" s="8" t="n">
        <v>0</v>
      </c>
      <c r="I672" s="8" t="n">
        <v>1</v>
      </c>
      <c r="J672" s="8" t="n">
        <v>0</v>
      </c>
      <c r="K672" s="9" t="n">
        <v>0</v>
      </c>
      <c r="L672" s="9" t="n">
        <v>1</v>
      </c>
      <c r="M672" s="9" t="n">
        <v>0</v>
      </c>
      <c r="N672" s="9" t="n">
        <v>0</v>
      </c>
      <c r="O672" s="10" t="n">
        <v>0</v>
      </c>
      <c r="P672" s="10" t="n">
        <v>0</v>
      </c>
      <c r="Q672" s="10" t="n">
        <v>0</v>
      </c>
      <c r="R672" s="10" t="n">
        <v>1</v>
      </c>
      <c r="S672" s="10" t="n">
        <v>0</v>
      </c>
    </row>
    <row r="673" ht="409.5" customHeight="1">
      <c r="A673" s="6">
        <f>IFERROR(__xludf.DUMMYFUNCTION("""COMPUTED_VALUE"""),"UV light: friend or foe?")</f>
        <v/>
      </c>
      <c r="B673" s="6">
        <f>IFERROR(__xludf.DUMMYFUNCTION("""COMPUTED_VALUE"""),"Resource")</f>
        <v/>
      </c>
      <c r="C673" s="6">
        <f>IFERROR(__xludf.DUMMYFUNCTION("""COMPUTED_VALUE"""),"4.graasp")</f>
        <v/>
      </c>
      <c r="D673" s="7">
        <f>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
      </c>
      <c r="E673" s="7">
        <f>IFERROR(__xludf.DUMMYFUNCTION("""COMPUTED_VALUE"""),"No artifact embedded")</f>
        <v/>
      </c>
      <c r="F673" s="7" t="n"/>
      <c r="G673" s="8" t="n">
        <v>0</v>
      </c>
      <c r="H673" s="8" t="n">
        <v>1</v>
      </c>
      <c r="I673" s="8" t="n">
        <v>0</v>
      </c>
      <c r="J673" s="8" t="n">
        <v>0</v>
      </c>
      <c r="K673" s="9" t="n">
        <v>1</v>
      </c>
      <c r="L673" s="9" t="n">
        <v>0</v>
      </c>
      <c r="M673" s="9" t="n">
        <v>0</v>
      </c>
      <c r="N673" s="9" t="n">
        <v>0</v>
      </c>
      <c r="O673" s="10" t="n">
        <v>1</v>
      </c>
      <c r="P673" s="10" t="n">
        <v>0</v>
      </c>
      <c r="Q673" s="10" t="n">
        <v>1</v>
      </c>
      <c r="R673" s="10" t="n">
        <v>0</v>
      </c>
      <c r="S673" s="10" t="n">
        <v>0</v>
      </c>
    </row>
    <row r="674" ht="25" customHeight="1">
      <c r="A674" s="6">
        <f>IFERROR(__xludf.DUMMYFUNCTION("""COMPUTED_VALUE"""),"UV light: friend or foe?")</f>
        <v/>
      </c>
      <c r="B674" s="6">
        <f>IFERROR(__xludf.DUMMYFUNCTION("""COMPUTED_VALUE"""),"Space")</f>
        <v/>
      </c>
      <c r="C674" s="6">
        <f>IFERROR(__xludf.DUMMYFUNCTION("""COMPUTED_VALUE"""),"How can we protect our skin?")</f>
        <v/>
      </c>
      <c r="D674" s="7">
        <f>IFERROR(__xludf.DUMMYFUNCTION("""COMPUTED_VALUE"""),"No task description")</f>
        <v/>
      </c>
      <c r="E674" s="7">
        <f>IFERROR(__xludf.DUMMYFUNCTION("""COMPUTED_VALUE"""),"No artifact embedded")</f>
        <v/>
      </c>
      <c r="F674" s="7" t="n"/>
      <c r="G674" s="8" t="n">
        <v>0</v>
      </c>
      <c r="H674" s="8" t="n">
        <v>0</v>
      </c>
      <c r="I674" s="8" t="n">
        <v>0</v>
      </c>
      <c r="J674" s="8" t="n">
        <v>0</v>
      </c>
      <c r="K674" s="9" t="n">
        <v>0</v>
      </c>
      <c r="L674" s="9" t="n">
        <v>0</v>
      </c>
      <c r="M674" s="9" t="n">
        <v>0</v>
      </c>
      <c r="N674" s="9" t="n">
        <v>0</v>
      </c>
      <c r="O674" s="10" t="n">
        <v>0</v>
      </c>
      <c r="P674" s="10" t="n">
        <v>0</v>
      </c>
      <c r="Q674" s="10" t="n">
        <v>0</v>
      </c>
      <c r="R674" s="10" t="n">
        <v>0</v>
      </c>
      <c r="S674" s="10" t="n">
        <v>0</v>
      </c>
    </row>
    <row r="675" ht="409.5" customHeight="1">
      <c r="A675" s="6">
        <f>IFERROR(__xludf.DUMMYFUNCTION("""COMPUTED_VALUE"""),"UV light: friend or foe?")</f>
        <v/>
      </c>
      <c r="B675" s="6">
        <f>IFERROR(__xludf.DUMMYFUNCTION("""COMPUTED_VALUE"""),"Resource")</f>
        <v/>
      </c>
      <c r="C675" s="6">
        <f>IFERROR(__xludf.DUMMYFUNCTION("""COMPUTED_VALUE"""),"1.graasp")</f>
        <v/>
      </c>
      <c r="D675" s="7">
        <f>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
      </c>
      <c r="E675" s="7">
        <f>IFERROR(__xludf.DUMMYFUNCTION("""COMPUTED_VALUE"""),"No artifact embedded")</f>
        <v/>
      </c>
      <c r="F675" s="7" t="n"/>
      <c r="G675" s="8" t="n">
        <v>1</v>
      </c>
      <c r="H675" s="8" t="n">
        <v>0</v>
      </c>
      <c r="I675" s="8" t="n">
        <v>0</v>
      </c>
      <c r="J675" s="8" t="n">
        <v>0</v>
      </c>
      <c r="K675" s="9" t="n">
        <v>1</v>
      </c>
      <c r="L675" s="9" t="n">
        <v>0</v>
      </c>
      <c r="M675" s="9" t="n">
        <v>0</v>
      </c>
      <c r="N675" s="9" t="n">
        <v>0</v>
      </c>
      <c r="O675" s="10" t="n">
        <v>1</v>
      </c>
      <c r="P675" s="10" t="n">
        <v>0</v>
      </c>
      <c r="Q675" s="10" t="n">
        <v>0</v>
      </c>
      <c r="R675" s="10" t="n">
        <v>0</v>
      </c>
      <c r="S675" s="10" t="n">
        <v>0</v>
      </c>
    </row>
    <row r="676" ht="409.5" customHeight="1">
      <c r="A676" s="6">
        <f>IFERROR(__xludf.DUMMYFUNCTION("""COMPUTED_VALUE"""),"UV light: friend or foe?")</f>
        <v/>
      </c>
      <c r="B676" s="6">
        <f>IFERROR(__xludf.DUMMYFUNCTION("""COMPUTED_VALUE"""),"Application")</f>
        <v/>
      </c>
      <c r="C676" s="6">
        <f>IFERROR(__xludf.DUMMYFUNCTION("""COMPUTED_VALUE"""),"Table Tool")</f>
        <v/>
      </c>
      <c r="D676" s="7">
        <f>IFERROR(__xludf.DUMMYFUNCTION("""COMPUTED_VALUE"""),"No task description")</f>
        <v/>
      </c>
      <c r="E67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76" s="7" t="n"/>
      <c r="G676" s="8" t="n">
        <v>0</v>
      </c>
      <c r="H676" s="8" t="n">
        <v>0</v>
      </c>
      <c r="I676" s="8" t="n">
        <v>1</v>
      </c>
      <c r="J676" s="8" t="n">
        <v>0</v>
      </c>
      <c r="K676" s="9" t="n">
        <v>0</v>
      </c>
      <c r="L676" s="9" t="n">
        <v>1</v>
      </c>
      <c r="M676" s="9" t="n">
        <v>0</v>
      </c>
      <c r="N676" s="9" t="n">
        <v>0</v>
      </c>
      <c r="O676" s="10" t="n">
        <v>0</v>
      </c>
      <c r="P676" s="10" t="n">
        <v>0</v>
      </c>
      <c r="Q676" s="10" t="n">
        <v>0</v>
      </c>
      <c r="R676" s="10" t="n">
        <v>0</v>
      </c>
      <c r="S676" s="10" t="n">
        <v>0</v>
      </c>
    </row>
    <row r="677" ht="409.5" customHeight="1">
      <c r="A677" s="6">
        <f>IFERROR(__xludf.DUMMYFUNCTION("""COMPUTED_VALUE"""),"UV light: friend or foe?")</f>
        <v/>
      </c>
      <c r="B677" s="6">
        <f>IFERROR(__xludf.DUMMYFUNCTION("""COMPUTED_VALUE"""),"Resource")</f>
        <v/>
      </c>
      <c r="C677" s="6">
        <f>IFERROR(__xludf.DUMMYFUNCTION("""COMPUTED_VALUE"""),"2.graasp")</f>
        <v/>
      </c>
      <c r="D677" s="7">
        <f>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
      </c>
      <c r="E677" s="7">
        <f>IFERROR(__xludf.DUMMYFUNCTION("""COMPUTED_VALUE"""),"No artifact embedded")</f>
        <v/>
      </c>
      <c r="F677" s="7" t="n"/>
      <c r="G677" s="8" t="n">
        <v>0</v>
      </c>
      <c r="H677" s="8" t="n">
        <v>0</v>
      </c>
      <c r="I677" s="8" t="n">
        <v>1</v>
      </c>
      <c r="J677" s="8" t="n">
        <v>0</v>
      </c>
      <c r="K677" s="9" t="n">
        <v>0</v>
      </c>
      <c r="L677" s="9" t="n">
        <v>1</v>
      </c>
      <c r="M677" s="9" t="n">
        <v>0</v>
      </c>
      <c r="N677" s="9" t="n">
        <v>0</v>
      </c>
      <c r="O677" s="10" t="n">
        <v>0</v>
      </c>
      <c r="P677" s="10" t="n">
        <v>0</v>
      </c>
      <c r="Q677" s="10" t="n">
        <v>1</v>
      </c>
      <c r="R677" s="10" t="n">
        <v>0</v>
      </c>
      <c r="S677" s="10" t="n">
        <v>0</v>
      </c>
    </row>
    <row r="678" ht="329" customHeight="1">
      <c r="A678" s="6">
        <f>IFERROR(__xludf.DUMMYFUNCTION("""COMPUTED_VALUE"""),"UV light: friend or foe?")</f>
        <v/>
      </c>
      <c r="B678" s="6">
        <f>IFERROR(__xludf.DUMMYFUNCTION("""COMPUTED_VALUE"""),"Application")</f>
        <v/>
      </c>
      <c r="C678" s="6">
        <f>IFERROR(__xludf.DUMMYFUNCTION("""COMPUTED_VALUE"""),"Input Box")</f>
        <v/>
      </c>
      <c r="D678" s="7">
        <f>IFERROR(__xludf.DUMMYFUNCTION("""COMPUTED_VALUE"""),"No task description")</f>
        <v/>
      </c>
      <c r="E67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8" s="7" t="n"/>
      <c r="G678" s="8" t="n">
        <v>0</v>
      </c>
      <c r="H678" s="8" t="n">
        <v>0</v>
      </c>
      <c r="I678" s="8" t="n">
        <v>1</v>
      </c>
      <c r="J678" s="8" t="n">
        <v>0</v>
      </c>
      <c r="K678" s="9" t="n">
        <v>0</v>
      </c>
      <c r="L678" s="9" t="n">
        <v>1</v>
      </c>
      <c r="M678" s="9" t="n">
        <v>0</v>
      </c>
      <c r="N678" s="9" t="n">
        <v>0</v>
      </c>
      <c r="O678" s="10" t="n">
        <v>0</v>
      </c>
      <c r="P678" s="10" t="n">
        <v>0</v>
      </c>
      <c r="Q678" s="10" t="n">
        <v>0</v>
      </c>
      <c r="R678" s="10" t="n">
        <v>0</v>
      </c>
      <c r="S678" s="10" t="n">
        <v>0</v>
      </c>
    </row>
    <row r="679" ht="409.5" customHeight="1">
      <c r="A679" s="6">
        <f>IFERROR(__xludf.DUMMYFUNCTION("""COMPUTED_VALUE"""),"UV light: friend or foe?")</f>
        <v/>
      </c>
      <c r="B679" s="6">
        <f>IFERROR(__xludf.DUMMYFUNCTION("""COMPUTED_VALUE"""),"Application")</f>
        <v/>
      </c>
      <c r="C679" s="6">
        <f>IFERROR(__xludf.DUMMYFUNCTION("""COMPUTED_VALUE"""),"Experiment Design Tool")</f>
        <v/>
      </c>
      <c r="D679" s="7">
        <f>IFERROR(__xludf.DUMMYFUNCTION("""COMPUTED_VALUE"""),"&lt;p&gt;Use this tool to design your experiment, considering that in order to achieve valid results you should always vary one variable at a time. Click on the (+) to add the values.&lt;/p&gt;")</f>
        <v/>
      </c>
      <c r="E67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679" s="7" t="n"/>
      <c r="G679" s="8" t="n">
        <v>0</v>
      </c>
      <c r="H679" s="8" t="n">
        <v>0</v>
      </c>
      <c r="I679" s="8" t="n">
        <v>1</v>
      </c>
      <c r="J679" s="8" t="n">
        <v>0</v>
      </c>
      <c r="K679" s="9" t="n">
        <v>0</v>
      </c>
      <c r="L679" s="9" t="n">
        <v>1</v>
      </c>
      <c r="M679" s="9" t="n">
        <v>0</v>
      </c>
      <c r="N679" s="9" t="n">
        <v>0</v>
      </c>
      <c r="O679" s="10" t="n">
        <v>0</v>
      </c>
      <c r="P679" s="10" t="n">
        <v>0</v>
      </c>
      <c r="Q679" s="10" t="n">
        <v>1</v>
      </c>
      <c r="R679" s="10" t="n">
        <v>0</v>
      </c>
      <c r="S679" s="10" t="n">
        <v>0</v>
      </c>
    </row>
    <row r="680" ht="395" customHeight="1">
      <c r="A680" s="6">
        <f>IFERROR(__xludf.DUMMYFUNCTION("""COMPUTED_VALUE"""),"UV light: friend or foe?")</f>
        <v/>
      </c>
      <c r="B680" s="6">
        <f>IFERROR(__xludf.DUMMYFUNCTION("""COMPUTED_VALUE"""),"Application")</f>
        <v/>
      </c>
      <c r="C680" s="6">
        <f>IFERROR(__xludf.DUMMYFUNCTION("""COMPUTED_VALUE"""),"Observation Tool")</f>
        <v/>
      </c>
      <c r="D680" s="7">
        <f>IFERROR(__xludf.DUMMYFUNCTION("""COMPUTED_VALUE"""),"&lt;p&gt;Its time to experiment! Make your experiments and register all your observations. Take pictures of the process to keep a visual record.&lt;/p&gt;")</f>
        <v/>
      </c>
      <c r="E68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80" s="7" t="n"/>
      <c r="G680" s="8" t="n">
        <v>0</v>
      </c>
      <c r="H680" s="8" t="n">
        <v>0</v>
      </c>
      <c r="I680" s="8" t="n">
        <v>1</v>
      </c>
      <c r="J680" s="8" t="n">
        <v>0</v>
      </c>
      <c r="K680" s="9" t="n">
        <v>0</v>
      </c>
      <c r="L680" s="9" t="n">
        <v>1</v>
      </c>
      <c r="M680" s="9" t="n">
        <v>0</v>
      </c>
      <c r="N680" s="9" t="n">
        <v>0</v>
      </c>
      <c r="O680" s="10" t="n">
        <v>0</v>
      </c>
      <c r="P680" s="10" t="n">
        <v>0</v>
      </c>
      <c r="Q680" s="10" t="n">
        <v>1</v>
      </c>
      <c r="R680" s="10" t="n">
        <v>0</v>
      </c>
      <c r="S680" s="10" t="n">
        <v>0</v>
      </c>
    </row>
    <row r="681" ht="193" customHeight="1">
      <c r="A681" s="6">
        <f>IFERROR(__xludf.DUMMYFUNCTION("""COMPUTED_VALUE"""),"UV light: friend or foe?")</f>
        <v/>
      </c>
      <c r="B681" s="6">
        <f>IFERROR(__xludf.DUMMYFUNCTION("""COMPUTED_VALUE"""),"Resource")</f>
        <v/>
      </c>
      <c r="C681" s="6">
        <f>IFERROR(__xludf.DUMMYFUNCTION("""COMPUTED_VALUE"""),"3.graasp")</f>
        <v/>
      </c>
      <c r="D681" s="7">
        <f>IFERROR(__xludf.DUMMYFUNCTION("""COMPUTED_VALUE"""),"&lt;p&gt;Make sure you have made all the experiments you wanted to make. Don't worry if something went wrong, you can always repeat your experiment.&lt;/p&gt;&lt;p&gt;&lt;br&gt;&lt;/p&gt;&lt;p&gt;When you finish, go to the ""conclusion"" phase&lt;/p&gt;")</f>
        <v/>
      </c>
      <c r="E681" s="7">
        <f>IFERROR(__xludf.DUMMYFUNCTION("""COMPUTED_VALUE"""),"No artifact embedded")</f>
        <v/>
      </c>
      <c r="F681" s="7" t="n"/>
      <c r="G681" s="8" t="n">
        <v>0</v>
      </c>
      <c r="H681" s="8" t="n">
        <v>1</v>
      </c>
      <c r="I681" s="8" t="n">
        <v>0</v>
      </c>
      <c r="J681" s="8" t="n">
        <v>0</v>
      </c>
      <c r="K681" s="9" t="n">
        <v>1</v>
      </c>
      <c r="L681" s="9" t="n">
        <v>0</v>
      </c>
      <c r="M681" s="9" t="n">
        <v>0</v>
      </c>
      <c r="N681" s="9" t="n">
        <v>0</v>
      </c>
      <c r="O681" s="10" t="n">
        <v>0</v>
      </c>
      <c r="P681" s="10" t="n">
        <v>0</v>
      </c>
      <c r="Q681" s="10" t="n">
        <v>1</v>
      </c>
      <c r="R681" s="10" t="n">
        <v>0</v>
      </c>
      <c r="S681" s="10" t="n">
        <v>0</v>
      </c>
    </row>
    <row r="682" ht="241" customHeight="1">
      <c r="A682" s="6">
        <f>IFERROR(__xludf.DUMMYFUNCTION("""COMPUTED_VALUE"""),"UV light: friend or foe?")</f>
        <v/>
      </c>
      <c r="B682" s="6">
        <f>IFERROR(__xludf.DUMMYFUNCTION("""COMPUTED_VALUE"""),"Space")</f>
        <v/>
      </c>
      <c r="C682" s="6">
        <f>IFERROR(__xludf.DUMMYFUNCTION("""COMPUTED_VALUE"""),"Conclusion")</f>
        <v/>
      </c>
      <c r="D682" s="7">
        <f>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
      </c>
      <c r="E682" s="7">
        <f>IFERROR(__xludf.DUMMYFUNCTION("""COMPUTED_VALUE"""),"No artifact embedded")</f>
        <v/>
      </c>
      <c r="F682" s="7" t="n"/>
      <c r="G682" s="8" t="n">
        <v>0</v>
      </c>
      <c r="H682" s="8" t="n">
        <v>0</v>
      </c>
      <c r="I682" s="8" t="n">
        <v>1</v>
      </c>
      <c r="J682" s="8" t="n">
        <v>0</v>
      </c>
      <c r="K682" s="9" t="n">
        <v>0</v>
      </c>
      <c r="L682" s="9" t="n">
        <v>1</v>
      </c>
      <c r="M682" s="9" t="n">
        <v>0</v>
      </c>
      <c r="N682" s="9" t="n">
        <v>0</v>
      </c>
      <c r="O682" s="10" t="n">
        <v>0</v>
      </c>
      <c r="P682" s="10" t="n">
        <v>0</v>
      </c>
      <c r="Q682" s="10" t="n">
        <v>1</v>
      </c>
      <c r="R682" s="10" t="n">
        <v>0</v>
      </c>
      <c r="S682" s="10" t="n">
        <v>0</v>
      </c>
    </row>
    <row r="683" ht="409.5" customHeight="1">
      <c r="A683" s="6">
        <f>IFERROR(__xludf.DUMMYFUNCTION("""COMPUTED_VALUE"""),"UV light: friend or foe?")</f>
        <v/>
      </c>
      <c r="B683" s="6">
        <f>IFERROR(__xludf.DUMMYFUNCTION("""COMPUTED_VALUE"""),"Application")</f>
        <v/>
      </c>
      <c r="C683" s="6">
        <f>IFERROR(__xludf.DUMMYFUNCTION("""COMPUTED_VALUE"""),"Data Viewer")</f>
        <v/>
      </c>
      <c r="D683" s="7">
        <f>IFERROR(__xludf.DUMMYFUNCTION("""COMPUTED_VALUE"""),"No task description")</f>
        <v/>
      </c>
      <c r="E683"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683" s="7" t="n"/>
      <c r="G683" s="8" t="n">
        <v>0</v>
      </c>
      <c r="H683" s="8" t="n">
        <v>0</v>
      </c>
      <c r="I683" s="8" t="n">
        <v>1</v>
      </c>
      <c r="J683" s="8" t="n">
        <v>0</v>
      </c>
      <c r="K683" s="9" t="n">
        <v>0</v>
      </c>
      <c r="L683" s="9" t="n">
        <v>1</v>
      </c>
      <c r="M683" s="9" t="n">
        <v>0</v>
      </c>
      <c r="N683" s="9" t="n">
        <v>0</v>
      </c>
      <c r="O683" s="10" t="n">
        <v>0</v>
      </c>
      <c r="P683" s="10" t="n">
        <v>0</v>
      </c>
      <c r="Q683" s="10" t="n">
        <v>1</v>
      </c>
      <c r="R683" s="10" t="n">
        <v>0</v>
      </c>
      <c r="S683" s="10" t="n">
        <v>0</v>
      </c>
    </row>
    <row r="684" ht="157" customHeight="1">
      <c r="A684" s="6">
        <f>IFERROR(__xludf.DUMMYFUNCTION("""COMPUTED_VALUE"""),"UV light: friend or foe?")</f>
        <v/>
      </c>
      <c r="B684" s="6">
        <f>IFERROR(__xludf.DUMMYFUNCTION("""COMPUTED_VALUE"""),"Resource")</f>
        <v/>
      </c>
      <c r="C684" s="6">
        <f>IFERROR(__xludf.DUMMYFUNCTION("""COMPUTED_VALUE"""),"2.graasp")</f>
        <v/>
      </c>
      <c r="D684" s="7">
        <f>IFERROR(__xludf.DUMMYFUNCTION("""COMPUTED_VALUE"""),"&lt;p&gt;OK, so now, let's return to our table! Write again your list of effective and non-effective ways of protection against UV rays, but now, considering the results you got from your experiment&lt;/p&gt;")</f>
        <v/>
      </c>
      <c r="E684" s="7">
        <f>IFERROR(__xludf.DUMMYFUNCTION("""COMPUTED_VALUE"""),"No artifact embedded")</f>
        <v/>
      </c>
      <c r="F684" s="7" t="n"/>
      <c r="G684" s="8" t="n">
        <v>0</v>
      </c>
      <c r="H684" s="8" t="n">
        <v>0</v>
      </c>
      <c r="I684" s="8" t="n">
        <v>1</v>
      </c>
      <c r="J684" s="8" t="n">
        <v>0</v>
      </c>
      <c r="K684" s="9" t="n">
        <v>0</v>
      </c>
      <c r="L684" s="9" t="n">
        <v>1</v>
      </c>
      <c r="M684" s="9" t="n">
        <v>0</v>
      </c>
      <c r="N684" s="9" t="n">
        <v>0</v>
      </c>
      <c r="O684" s="10" t="n">
        <v>0</v>
      </c>
      <c r="P684" s="10" t="n">
        <v>0</v>
      </c>
      <c r="Q684" s="10" t="n">
        <v>0</v>
      </c>
      <c r="R684" s="10" t="n">
        <v>1</v>
      </c>
      <c r="S684" s="10" t="n">
        <v>0</v>
      </c>
    </row>
    <row r="685" ht="409.5" customHeight="1">
      <c r="A685" s="6">
        <f>IFERROR(__xludf.DUMMYFUNCTION("""COMPUTED_VALUE"""),"UV light: friend or foe?")</f>
        <v/>
      </c>
      <c r="B685" s="6">
        <f>IFERROR(__xludf.DUMMYFUNCTION("""COMPUTED_VALUE"""),"Application")</f>
        <v/>
      </c>
      <c r="C685" s="6">
        <f>IFERROR(__xludf.DUMMYFUNCTION("""COMPUTED_VALUE"""),"Table Tool")</f>
        <v/>
      </c>
      <c r="D685" s="7">
        <f>IFERROR(__xludf.DUMMYFUNCTION("""COMPUTED_VALUE"""),"No task description")</f>
        <v/>
      </c>
      <c r="E68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85" s="7" t="n"/>
      <c r="G685" s="8" t="n">
        <v>0</v>
      </c>
      <c r="H685" s="8" t="n">
        <v>0</v>
      </c>
      <c r="I685" s="8" t="n">
        <v>1</v>
      </c>
      <c r="J685" s="8" t="n">
        <v>0</v>
      </c>
      <c r="K685" s="9" t="n">
        <v>0</v>
      </c>
      <c r="L685" s="9" t="n">
        <v>1</v>
      </c>
      <c r="M685" s="9" t="n">
        <v>0</v>
      </c>
      <c r="N685" s="9" t="n">
        <v>0</v>
      </c>
      <c r="O685" s="10" t="n">
        <v>0</v>
      </c>
      <c r="P685" s="10" t="n">
        <v>0</v>
      </c>
      <c r="Q685" s="10" t="n">
        <v>0</v>
      </c>
      <c r="R685" s="10" t="n">
        <v>0</v>
      </c>
      <c r="S685" s="10" t="n">
        <v>0</v>
      </c>
    </row>
    <row r="686" ht="217" customHeight="1">
      <c r="A686" s="6">
        <f>IFERROR(__xludf.DUMMYFUNCTION("""COMPUTED_VALUE"""),"UV light: friend or foe?")</f>
        <v/>
      </c>
      <c r="B686" s="6">
        <f>IFERROR(__xludf.DUMMYFUNCTION("""COMPUTED_VALUE"""),"Resource")</f>
        <v/>
      </c>
      <c r="C686" s="6">
        <f>IFERROR(__xludf.DUMMYFUNCTION("""COMPUTED_VALUE"""),"1.graasp")</f>
        <v/>
      </c>
      <c r="D686" s="7">
        <f>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
      </c>
      <c r="E686" s="7">
        <f>IFERROR(__xludf.DUMMYFUNCTION("""COMPUTED_VALUE"""),"No artifact embedded")</f>
        <v/>
      </c>
      <c r="F686" s="7" t="n"/>
      <c r="G686" s="8" t="n">
        <v>0</v>
      </c>
      <c r="H686" s="8" t="n">
        <v>0</v>
      </c>
      <c r="I686" s="8" t="n">
        <v>1</v>
      </c>
      <c r="J686" s="8" t="n">
        <v>0</v>
      </c>
      <c r="K686" s="9" t="n">
        <v>0</v>
      </c>
      <c r="L686" s="9" t="n">
        <v>1</v>
      </c>
      <c r="M686" s="9" t="n">
        <v>0</v>
      </c>
      <c r="N686" s="9" t="n">
        <v>0</v>
      </c>
      <c r="O686" s="10" t="n">
        <v>0</v>
      </c>
      <c r="P686" s="10" t="n">
        <v>0</v>
      </c>
      <c r="Q686" s="10" t="n">
        <v>0</v>
      </c>
      <c r="R686" s="10" t="n">
        <v>1</v>
      </c>
      <c r="S686" s="10" t="n">
        <v>0</v>
      </c>
    </row>
    <row r="687" ht="329" customHeight="1">
      <c r="A687" s="6">
        <f>IFERROR(__xludf.DUMMYFUNCTION("""COMPUTED_VALUE"""),"UV light: friend or foe?")</f>
        <v/>
      </c>
      <c r="B687" s="6">
        <f>IFERROR(__xludf.DUMMYFUNCTION("""COMPUTED_VALUE"""),"Application")</f>
        <v/>
      </c>
      <c r="C687" s="6">
        <f>IFERROR(__xludf.DUMMYFUNCTION("""COMPUTED_VALUE"""),"Input Box")</f>
        <v/>
      </c>
      <c r="D687" s="7">
        <f>IFERROR(__xludf.DUMMYFUNCTION("""COMPUTED_VALUE"""),"No task description")</f>
        <v/>
      </c>
      <c r="E68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87" s="7" t="n"/>
      <c r="G687" s="8" t="n">
        <v>0</v>
      </c>
      <c r="H687" s="8" t="n">
        <v>0</v>
      </c>
      <c r="I687" s="8" t="n">
        <v>1</v>
      </c>
      <c r="J687" s="8" t="n">
        <v>0</v>
      </c>
      <c r="K687" s="9" t="n">
        <v>0</v>
      </c>
      <c r="L687" s="9" t="n">
        <v>1</v>
      </c>
      <c r="M687" s="9" t="n">
        <v>0</v>
      </c>
      <c r="N687" s="9" t="n">
        <v>0</v>
      </c>
      <c r="O687" s="10" t="n">
        <v>0</v>
      </c>
      <c r="P687" s="10" t="n">
        <v>0</v>
      </c>
      <c r="Q687" s="10" t="n">
        <v>0</v>
      </c>
      <c r="R687" s="10" t="n">
        <v>0</v>
      </c>
      <c r="S687" s="10" t="n">
        <v>0</v>
      </c>
    </row>
    <row r="688" ht="25" customHeight="1">
      <c r="A688" s="6">
        <f>IFERROR(__xludf.DUMMYFUNCTION("""COMPUTED_VALUE"""),"UV light: friend or foe?")</f>
        <v/>
      </c>
      <c r="B688" s="6">
        <f>IFERROR(__xludf.DUMMYFUNCTION("""COMPUTED_VALUE"""),"Space")</f>
        <v/>
      </c>
      <c r="C688" s="6">
        <f>IFERROR(__xludf.DUMMYFUNCTION("""COMPUTED_VALUE"""),"Discussion")</f>
        <v/>
      </c>
      <c r="D688" s="7">
        <f>IFERROR(__xludf.DUMMYFUNCTION("""COMPUTED_VALUE"""),"No task description")</f>
        <v/>
      </c>
      <c r="E688" s="7">
        <f>IFERROR(__xludf.DUMMYFUNCTION("""COMPUTED_VALUE"""),"No artifact embedded")</f>
        <v/>
      </c>
      <c r="F688" s="7" t="n"/>
      <c r="G688" s="8" t="n">
        <v>0</v>
      </c>
      <c r="H688" s="8" t="n">
        <v>0</v>
      </c>
      <c r="I688" s="8" t="n">
        <v>0</v>
      </c>
      <c r="J688" s="8" t="n">
        <v>0</v>
      </c>
      <c r="K688" s="9" t="n">
        <v>0</v>
      </c>
      <c r="L688" s="9" t="n">
        <v>0</v>
      </c>
      <c r="M688" s="9" t="n">
        <v>0</v>
      </c>
      <c r="N688" s="9" t="n">
        <v>0</v>
      </c>
      <c r="O688" s="10" t="n">
        <v>0</v>
      </c>
      <c r="P688" s="10" t="n">
        <v>0</v>
      </c>
      <c r="Q688" s="10" t="n">
        <v>0</v>
      </c>
      <c r="R688" s="10" t="n">
        <v>0</v>
      </c>
      <c r="S688" s="10" t="n">
        <v>0</v>
      </c>
    </row>
    <row r="689" ht="362" customHeight="1">
      <c r="A689" s="6">
        <f>IFERROR(__xludf.DUMMYFUNCTION("""COMPUTED_VALUE"""),"UV light: friend or foe?")</f>
        <v/>
      </c>
      <c r="B689" s="6">
        <f>IFERROR(__xludf.DUMMYFUNCTION("""COMPUTED_VALUE"""),"Resource")</f>
        <v/>
      </c>
      <c r="C689" s="6">
        <f>IFERROR(__xludf.DUMMYFUNCTION("""COMPUTED_VALUE"""),"2.graasp")</f>
        <v/>
      </c>
      <c r="D689" s="7">
        <f>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
      </c>
      <c r="E689" s="7">
        <f>IFERROR(__xludf.DUMMYFUNCTION("""COMPUTED_VALUE"""),"No artifact embedded")</f>
        <v/>
      </c>
      <c r="F689" s="7" t="n"/>
      <c r="G689" s="8" t="n">
        <v>1</v>
      </c>
      <c r="H689" s="8" t="n">
        <v>0</v>
      </c>
      <c r="I689" s="8" t="n">
        <v>0</v>
      </c>
      <c r="J689" s="8" t="n">
        <v>0</v>
      </c>
      <c r="K689" s="9" t="n">
        <v>1</v>
      </c>
      <c r="L689" s="9" t="n">
        <v>0</v>
      </c>
      <c r="M689" s="9" t="n">
        <v>0</v>
      </c>
      <c r="N689" s="9" t="n">
        <v>0</v>
      </c>
      <c r="O689" s="10" t="n">
        <v>1</v>
      </c>
      <c r="P689" s="10" t="n">
        <v>0</v>
      </c>
      <c r="Q689" s="10" t="n">
        <v>0</v>
      </c>
      <c r="R689" s="10" t="n">
        <v>0</v>
      </c>
      <c r="S689" s="10" t="n">
        <v>0</v>
      </c>
    </row>
    <row r="690" ht="121" customHeight="1">
      <c r="A690" s="6">
        <f>IFERROR(__xludf.DUMMYFUNCTION("""COMPUTED_VALUE"""),"UV light: friend or foe?")</f>
        <v/>
      </c>
      <c r="B690" s="6">
        <f>IFERROR(__xludf.DUMMYFUNCTION("""COMPUTED_VALUE"""),"Resource")</f>
        <v/>
      </c>
      <c r="C690" s="6">
        <f>IFERROR(__xludf.DUMMYFUNCTION("""COMPUTED_VALUE"""),"hands-2847508_640.jpg")</f>
        <v/>
      </c>
      <c r="D690" s="7">
        <f>IFERROR(__xludf.DUMMYFUNCTION("""COMPUTED_VALUE"""),"No task description")</f>
        <v/>
      </c>
      <c r="E690" s="7">
        <f>IFERROR(__xludf.DUMMYFUNCTION("""COMPUTED_VALUE"""),"image/jpeg – A digital photograph or web image stored in a compressed format, often used for photography and web graphics.")</f>
        <v/>
      </c>
      <c r="F690" s="7" t="n"/>
      <c r="G690" s="8" t="n">
        <v>0</v>
      </c>
      <c r="H690" s="8" t="n">
        <v>0</v>
      </c>
      <c r="I690" s="8" t="n">
        <v>0</v>
      </c>
      <c r="J690" s="8" t="n">
        <v>0</v>
      </c>
      <c r="K690" s="9" t="n">
        <v>0</v>
      </c>
      <c r="L690" s="9" t="n">
        <v>0</v>
      </c>
      <c r="M690" s="9" t="n">
        <v>0</v>
      </c>
      <c r="N690" s="9" t="n">
        <v>0</v>
      </c>
      <c r="O690" s="10" t="n">
        <v>0</v>
      </c>
      <c r="P690" s="10" t="n">
        <v>0</v>
      </c>
      <c r="Q690" s="10" t="n">
        <v>0</v>
      </c>
      <c r="R690" s="10" t="n">
        <v>0</v>
      </c>
      <c r="S690" s="10" t="n">
        <v>0</v>
      </c>
    </row>
    <row r="691" ht="362" customHeight="1">
      <c r="A691" s="6">
        <f>IFERROR(__xludf.DUMMYFUNCTION("""COMPUTED_VALUE"""),"UV light: friend or foe?")</f>
        <v/>
      </c>
      <c r="B691" s="6">
        <f>IFERROR(__xludf.DUMMYFUNCTION("""COMPUTED_VALUE"""),"Resource")</f>
        <v/>
      </c>
      <c r="C691" s="6">
        <f>IFERROR(__xludf.DUMMYFUNCTION("""COMPUTED_VALUE"""),"1.graasp")</f>
        <v/>
      </c>
      <c r="D691" s="7">
        <f>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
      </c>
      <c r="E691" s="7">
        <f>IFERROR(__xludf.DUMMYFUNCTION("""COMPUTED_VALUE"""),"No artifact embedded")</f>
        <v/>
      </c>
      <c r="F691" s="7" t="n"/>
      <c r="G691" s="8" t="n">
        <v>0</v>
      </c>
      <c r="H691" s="8" t="n">
        <v>0</v>
      </c>
      <c r="I691" s="8" t="n">
        <v>0</v>
      </c>
      <c r="J691" s="8" t="n">
        <v>1</v>
      </c>
      <c r="K691" s="9" t="n">
        <v>0</v>
      </c>
      <c r="L691" s="9" t="n">
        <v>0</v>
      </c>
      <c r="M691" s="9" t="n">
        <v>0</v>
      </c>
      <c r="N691" s="9" t="n">
        <v>1</v>
      </c>
      <c r="O691" s="10" t="n">
        <v>0</v>
      </c>
      <c r="P691" s="10" t="n">
        <v>0</v>
      </c>
      <c r="Q691" s="10" t="n">
        <v>0</v>
      </c>
      <c r="R691" s="10" t="n">
        <v>0</v>
      </c>
      <c r="S691" s="10" t="n">
        <v>1</v>
      </c>
    </row>
    <row r="692" ht="409.5" customHeight="1">
      <c r="A692" s="6">
        <f>IFERROR(__xludf.DUMMYFUNCTION("""COMPUTED_VALUE"""),"Why I don't prefer vinegar on my fries")</f>
        <v/>
      </c>
      <c r="B692" s="6">
        <f>IFERROR(__xludf.DUMMYFUNCTION("""COMPUTED_VALUE"""),"Space")</f>
        <v/>
      </c>
      <c r="C692" s="6">
        <f>IFERROR(__xludf.DUMMYFUNCTION("""COMPUTED_VALUE"""),"Orientation")</f>
        <v/>
      </c>
      <c r="D692" s="7">
        <f>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
      </c>
      <c r="E692" s="7">
        <f>IFERROR(__xludf.DUMMYFUNCTION("""COMPUTED_VALUE"""),"No artifact embedded")</f>
        <v/>
      </c>
      <c r="F692" s="7" t="n"/>
      <c r="G692" s="8" t="n">
        <v>0</v>
      </c>
      <c r="H692" s="8" t="n">
        <v>0</v>
      </c>
      <c r="I692" s="8" t="n">
        <v>0</v>
      </c>
      <c r="J692" s="8" t="n">
        <v>1</v>
      </c>
      <c r="K692" s="9" t="n">
        <v>0</v>
      </c>
      <c r="L692" s="9" t="n">
        <v>0</v>
      </c>
      <c r="M692" s="9" t="n">
        <v>0</v>
      </c>
      <c r="N692" s="9" t="n">
        <v>1</v>
      </c>
      <c r="O692" s="10" t="n">
        <v>1</v>
      </c>
      <c r="P692" s="10" t="n">
        <v>0</v>
      </c>
      <c r="Q692" s="10" t="n">
        <v>0</v>
      </c>
      <c r="R692" s="10" t="n">
        <v>0</v>
      </c>
      <c r="S692" s="10" t="n">
        <v>1</v>
      </c>
    </row>
    <row r="693" ht="121" customHeight="1">
      <c r="A693" s="6">
        <f>IFERROR(__xludf.DUMMYFUNCTION("""COMPUTED_VALUE"""),"Why I don't prefer vinegar on my fries")</f>
        <v/>
      </c>
      <c r="B693" s="6">
        <f>IFERROR(__xludf.DUMMYFUNCTION("""COMPUTED_VALUE"""),"Resource")</f>
        <v/>
      </c>
      <c r="C693" s="6">
        <f>IFERROR(__xludf.DUMMYFUNCTION("""COMPUTED_VALUE"""),"effect of acid rain on monuments.jpg")</f>
        <v/>
      </c>
      <c r="D693" s="7">
        <f>IFERROR(__xludf.DUMMYFUNCTION("""COMPUTED_VALUE"""),"No task description")</f>
        <v/>
      </c>
      <c r="E693" s="7">
        <f>IFERROR(__xludf.DUMMYFUNCTION("""COMPUTED_VALUE"""),"image/jpeg – A digital photograph or web image stored in a compressed format, often used for photography and web graphics.")</f>
        <v/>
      </c>
      <c r="F693" s="7" t="n"/>
      <c r="G693" s="8" t="n">
        <v>1</v>
      </c>
      <c r="H693" s="8" t="n">
        <v>0</v>
      </c>
      <c r="I693" s="8" t="n">
        <v>0</v>
      </c>
      <c r="J693" s="8" t="n">
        <v>0</v>
      </c>
      <c r="K693" s="9" t="n">
        <v>1</v>
      </c>
      <c r="L693" s="9" t="n">
        <v>0</v>
      </c>
      <c r="M693" s="9" t="n">
        <v>0</v>
      </c>
      <c r="N693" s="9" t="n">
        <v>0</v>
      </c>
      <c r="O693" s="10" t="n">
        <v>0</v>
      </c>
      <c r="P693" s="10" t="n">
        <v>0</v>
      </c>
      <c r="Q693" s="10" t="n">
        <v>0</v>
      </c>
      <c r="R693" s="10" t="n">
        <v>0</v>
      </c>
      <c r="S693" s="10" t="n">
        <v>0</v>
      </c>
    </row>
    <row r="694" ht="193" customHeight="1">
      <c r="A694" s="6">
        <f>IFERROR(__xludf.DUMMYFUNCTION("""COMPUTED_VALUE"""),"Why I don't prefer vinegar on my fries")</f>
        <v/>
      </c>
      <c r="B694" s="6">
        <f>IFERROR(__xludf.DUMMYFUNCTION("""COMPUTED_VALUE"""),"Application")</f>
        <v/>
      </c>
      <c r="C694" s="6">
        <f>IFERROR(__xludf.DUMMYFUNCTION("""COMPUTED_VALUE"""),"Shared Wiki")</f>
        <v/>
      </c>
      <c r="D694" s="7">
        <f>IFERROR(__xludf.DUMMYFUNCTION("""COMPUTED_VALUE"""),"No task description")</f>
        <v/>
      </c>
      <c r="E694"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94" s="7" t="n"/>
      <c r="G694" s="8" t="n">
        <v>0</v>
      </c>
      <c r="H694" s="8" t="n">
        <v>0</v>
      </c>
      <c r="I694" s="8" t="n">
        <v>0</v>
      </c>
      <c r="J694" s="8" t="n">
        <v>1</v>
      </c>
      <c r="K694" s="9" t="n">
        <v>0</v>
      </c>
      <c r="L694" s="9" t="n">
        <v>0</v>
      </c>
      <c r="M694" s="9" t="n">
        <v>0</v>
      </c>
      <c r="N694" s="9" t="n">
        <v>1</v>
      </c>
      <c r="O694" s="10" t="n">
        <v>0</v>
      </c>
      <c r="P694" s="10" t="n">
        <v>0</v>
      </c>
      <c r="Q694" s="10" t="n">
        <v>0</v>
      </c>
      <c r="R694" s="10" t="n">
        <v>0</v>
      </c>
      <c r="S694" s="10" t="n">
        <v>1</v>
      </c>
    </row>
    <row r="695" ht="193" customHeight="1">
      <c r="A695" s="6">
        <f>IFERROR(__xludf.DUMMYFUNCTION("""COMPUTED_VALUE"""),"Why I don't prefer vinegar on my fries")</f>
        <v/>
      </c>
      <c r="B695" s="6">
        <f>IFERROR(__xludf.DUMMYFUNCTION("""COMPUTED_VALUE"""),"Space")</f>
        <v/>
      </c>
      <c r="C695" s="6">
        <f>IFERROR(__xludf.DUMMYFUNCTION("""COMPUTED_VALUE"""),"Conceptualisation")</f>
        <v/>
      </c>
      <c r="D695" s="7">
        <f>IFERROR(__xludf.DUMMYFUNCTION("""COMPUTED_VALUE"""),"&lt;p&gt;Take a look at the video and explore the interactive picture before you and your team use the hypothesis scratchpad to develop an hypothesis ""educated guess"" as to why the statue changed. &lt;/p&gt;&lt;p&gt;&lt;br&gt;&lt;/p&gt;")</f>
        <v/>
      </c>
      <c r="E695" s="7">
        <f>IFERROR(__xludf.DUMMYFUNCTION("""COMPUTED_VALUE"""),"No artifact embedded")</f>
        <v/>
      </c>
      <c r="F695" s="7" t="n"/>
      <c r="G695" s="8" t="n">
        <v>0</v>
      </c>
      <c r="H695" s="8" t="n">
        <v>0</v>
      </c>
      <c r="I695" s="8" t="n">
        <v>0</v>
      </c>
      <c r="J695" s="8" t="n">
        <v>1</v>
      </c>
      <c r="K695" s="9" t="n">
        <v>1</v>
      </c>
      <c r="L695" s="9" t="n">
        <v>0</v>
      </c>
      <c r="M695" s="9" t="n">
        <v>0</v>
      </c>
      <c r="N695" s="9" t="n">
        <v>1</v>
      </c>
      <c r="O695" s="10" t="n">
        <v>1</v>
      </c>
      <c r="P695" s="10" t="n">
        <v>1</v>
      </c>
      <c r="Q695" s="10" t="n">
        <v>0</v>
      </c>
      <c r="R695" s="10" t="n">
        <v>0</v>
      </c>
      <c r="S695" s="10" t="n">
        <v>1</v>
      </c>
    </row>
    <row r="696" ht="121" customHeight="1">
      <c r="A696" s="6">
        <f>IFERROR(__xludf.DUMMYFUNCTION("""COMPUTED_VALUE"""),"Why I don't prefer vinegar on my fries")</f>
        <v/>
      </c>
      <c r="B696" s="6">
        <f>IFERROR(__xludf.DUMMYFUNCTION("""COMPUTED_VALUE"""),"Resource")</f>
        <v/>
      </c>
      <c r="C696" s="6">
        <f>IFERROR(__xludf.DUMMYFUNCTION("""COMPUTED_VALUE"""),"acid rain effects on buildings")</f>
        <v/>
      </c>
      <c r="D696" s="7">
        <f>IFERROR(__xludf.DUMMYFUNCTION("""COMPUTED_VALUE"""),"No task description")</f>
        <v/>
      </c>
      <c r="E696" s="7">
        <f>IFERROR(__xludf.DUMMYFUNCTION("""COMPUTED_VALUE"""),"youtube.com: A widely known video-sharing platform where users can watch videos on a vast array of topics, including educational content.")</f>
        <v/>
      </c>
      <c r="F696" s="7" t="n"/>
      <c r="G696" s="8" t="n">
        <v>1</v>
      </c>
      <c r="H696" s="8" t="n">
        <v>0</v>
      </c>
      <c r="I696" s="8" t="n">
        <v>0</v>
      </c>
      <c r="J696" s="8" t="n">
        <v>0</v>
      </c>
      <c r="K696" s="9" t="n">
        <v>1</v>
      </c>
      <c r="L696" s="9" t="n">
        <v>0</v>
      </c>
      <c r="M696" s="9" t="n">
        <v>0</v>
      </c>
      <c r="N696" s="9" t="n">
        <v>0</v>
      </c>
      <c r="O696" s="10" t="n">
        <v>0</v>
      </c>
      <c r="P696" s="10" t="n">
        <v>0</v>
      </c>
      <c r="Q696" s="10" t="n">
        <v>0</v>
      </c>
      <c r="R696" s="10" t="n">
        <v>0</v>
      </c>
      <c r="S696" s="10" t="n">
        <v>0</v>
      </c>
    </row>
    <row r="697" ht="85" customHeight="1">
      <c r="A697" s="6">
        <f>IFERROR(__xludf.DUMMYFUNCTION("""COMPUTED_VALUE"""),"Why I don't prefer vinegar on my fries")</f>
        <v/>
      </c>
      <c r="B697" s="6">
        <f>IFERROR(__xludf.DUMMYFUNCTION("""COMPUTED_VALUE"""),"Resource")</f>
        <v/>
      </c>
      <c r="C697" s="6">
        <f>IFERROR(__xludf.DUMMYFUNCTION("""COMPUTED_VALUE"""),"pH Scale")</f>
        <v/>
      </c>
      <c r="D697" s="7">
        <f>IFERROR(__xludf.DUMMYFUNCTION("""COMPUTED_VALUE"""),"View the interactive image by Mark Rocha.")</f>
        <v/>
      </c>
      <c r="E697" s="7">
        <f>IFERROR(__xludf.DUMMYFUNCTION("""COMPUTED_VALUE"""),"thinglink.com: Allows users to create interactive images and videos by adding links and annotations.")</f>
        <v/>
      </c>
      <c r="F697" s="7" t="n"/>
      <c r="G697" s="8" t="n">
        <v>1</v>
      </c>
      <c r="H697" s="8" t="n">
        <v>0</v>
      </c>
      <c r="I697" s="8" t="n">
        <v>0</v>
      </c>
      <c r="J697" s="8" t="n">
        <v>0</v>
      </c>
      <c r="K697" s="9" t="n">
        <v>1</v>
      </c>
      <c r="L697" s="9" t="n">
        <v>0</v>
      </c>
      <c r="M697" s="9" t="n">
        <v>0</v>
      </c>
      <c r="N697" s="9" t="n">
        <v>0</v>
      </c>
      <c r="O697" s="10" t="n">
        <v>1</v>
      </c>
      <c r="P697" s="10" t="n">
        <v>0</v>
      </c>
      <c r="Q697" s="10" t="n">
        <v>0</v>
      </c>
      <c r="R697" s="10" t="n">
        <v>0</v>
      </c>
      <c r="S697" s="10" t="n">
        <v>0</v>
      </c>
    </row>
    <row r="698" ht="409.5" customHeight="1">
      <c r="A698" s="6">
        <f>IFERROR(__xludf.DUMMYFUNCTION("""COMPUTED_VALUE"""),"Why I don't prefer vinegar on my fries")</f>
        <v/>
      </c>
      <c r="B698" s="6">
        <f>IFERROR(__xludf.DUMMYFUNCTION("""COMPUTED_VALUE"""),"Application")</f>
        <v/>
      </c>
      <c r="C698" s="6">
        <f>IFERROR(__xludf.DUMMYFUNCTION("""COMPUTED_VALUE"""),"Hypothesis Scratchpad")</f>
        <v/>
      </c>
      <c r="D698" s="7">
        <f>IFERROR(__xludf.DUMMYFUNCTION("""COMPUTED_VALUE"""),"No task description")</f>
        <v/>
      </c>
      <c r="E69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98" s="7" t="n"/>
      <c r="G698" s="8" t="n">
        <v>0</v>
      </c>
      <c r="H698" s="8" t="n">
        <v>0</v>
      </c>
      <c r="I698" s="8" t="n">
        <v>0</v>
      </c>
      <c r="J698" s="8" t="n">
        <v>1</v>
      </c>
      <c r="K698" s="9" t="n">
        <v>0</v>
      </c>
      <c r="L698" s="9" t="n">
        <v>0</v>
      </c>
      <c r="M698" s="9" t="n">
        <v>0</v>
      </c>
      <c r="N698" s="9" t="n">
        <v>1</v>
      </c>
      <c r="O698" s="10" t="n">
        <v>0</v>
      </c>
      <c r="P698" s="10" t="n">
        <v>1</v>
      </c>
      <c r="Q698" s="10" t="n">
        <v>0</v>
      </c>
      <c r="R698" s="10" t="n">
        <v>0</v>
      </c>
      <c r="S698" s="10" t="n">
        <v>0</v>
      </c>
    </row>
    <row r="699" ht="73" customHeight="1">
      <c r="A699" s="6">
        <f>IFERROR(__xludf.DUMMYFUNCTION("""COMPUTED_VALUE"""),"Why I don't prefer vinegar on my fries")</f>
        <v/>
      </c>
      <c r="B699" s="6">
        <f>IFERROR(__xludf.DUMMYFUNCTION("""COMPUTED_VALUE"""),"Space")</f>
        <v/>
      </c>
      <c r="C699" s="6">
        <f>IFERROR(__xludf.DUMMYFUNCTION("""COMPUTED_VALUE"""),"Investigation")</f>
        <v/>
      </c>
      <c r="D699" s="7">
        <f>IFERROR(__xludf.DUMMYFUNCTION("""COMPUTED_VALUE"""),"&lt;p&gt;Acids and Bases can be dangerous so look over the video below . &lt;/p&gt;")</f>
        <v/>
      </c>
      <c r="E699" s="7">
        <f>IFERROR(__xludf.DUMMYFUNCTION("""COMPUTED_VALUE"""),"No artifact embedded")</f>
        <v/>
      </c>
      <c r="F699" s="7" t="n"/>
      <c r="G699" s="8" t="n">
        <v>1</v>
      </c>
      <c r="H699" s="8" t="n">
        <v>0</v>
      </c>
      <c r="I699" s="8" t="n">
        <v>0</v>
      </c>
      <c r="J699" s="8" t="n">
        <v>0</v>
      </c>
      <c r="K699" s="9" t="n">
        <v>1</v>
      </c>
      <c r="L699" s="9" t="n">
        <v>0</v>
      </c>
      <c r="M699" s="9" t="n">
        <v>0</v>
      </c>
      <c r="N699" s="9" t="n">
        <v>0</v>
      </c>
      <c r="O699" s="10" t="n">
        <v>1</v>
      </c>
      <c r="P699" s="10" t="n">
        <v>0</v>
      </c>
      <c r="Q699" s="10" t="n">
        <v>0</v>
      </c>
      <c r="R699" s="10" t="n">
        <v>0</v>
      </c>
      <c r="S699" s="10" t="n">
        <v>0</v>
      </c>
    </row>
    <row r="700" ht="121" customHeight="1">
      <c r="A700" s="6">
        <f>IFERROR(__xludf.DUMMYFUNCTION("""COMPUTED_VALUE"""),"Why I don't prefer vinegar on my fries")</f>
        <v/>
      </c>
      <c r="B700" s="6">
        <f>IFERROR(__xludf.DUMMYFUNCTION("""COMPUTED_VALUE"""),"Resource")</f>
        <v/>
      </c>
      <c r="C700" s="6">
        <f>IFERROR(__xludf.DUMMYFUNCTION("""COMPUTED_VALUE"""),"Tim &amp; Moby Acids and Bases")</f>
        <v/>
      </c>
      <c r="D700" s="7">
        <f>IFERROR(__xludf.DUMMYFUNCTION("""COMPUTED_VALUE"""),"No task description")</f>
        <v/>
      </c>
      <c r="E700" s="7">
        <f>IFERROR(__xludf.DUMMYFUNCTION("""COMPUTED_VALUE"""),"youtube.com: A widely known video-sharing platform where users can watch videos on a vast array of topics, including educational content.")</f>
        <v/>
      </c>
      <c r="F700" s="7" t="n"/>
      <c r="G700" s="8" t="n">
        <v>1</v>
      </c>
      <c r="H700" s="8" t="n">
        <v>0</v>
      </c>
      <c r="I700" s="8" t="n">
        <v>0</v>
      </c>
      <c r="J700" s="8" t="n">
        <v>0</v>
      </c>
      <c r="K700" s="9" t="n">
        <v>1</v>
      </c>
      <c r="L700" s="9" t="n">
        <v>0</v>
      </c>
      <c r="M700" s="9" t="n">
        <v>0</v>
      </c>
      <c r="N700" s="9" t="n">
        <v>0</v>
      </c>
      <c r="O700" s="10" t="n">
        <v>0</v>
      </c>
      <c r="P700" s="10" t="n">
        <v>0</v>
      </c>
      <c r="Q700" s="10" t="n">
        <v>0</v>
      </c>
      <c r="R700" s="10" t="n">
        <v>0</v>
      </c>
      <c r="S700" s="10" t="n">
        <v>0</v>
      </c>
    </row>
    <row r="701" ht="37" customHeight="1">
      <c r="A701" s="6">
        <f>IFERROR(__xludf.DUMMYFUNCTION("""COMPUTED_VALUE"""),"Why I don't prefer vinegar on my fries")</f>
        <v/>
      </c>
      <c r="B701" s="6">
        <f>IFERROR(__xludf.DUMMYFUNCTION("""COMPUTED_VALUE"""),"Resource")</f>
        <v/>
      </c>
      <c r="C701" s="6">
        <f>IFERROR(__xludf.DUMMYFUNCTION("""COMPUTED_VALUE"""),"1st.graasp")</f>
        <v/>
      </c>
      <c r="D701" s="7">
        <f>IFERROR(__xludf.DUMMYFUNCTION("""COMPUTED_VALUE"""),"&lt;p&gt; Complete the short multiple choice quiz.&lt;/p&gt;")</f>
        <v/>
      </c>
      <c r="E701" s="7">
        <f>IFERROR(__xludf.DUMMYFUNCTION("""COMPUTED_VALUE"""),"No artifact embedded")</f>
        <v/>
      </c>
      <c r="F701" s="7" t="n"/>
      <c r="G701" s="8" t="n">
        <v>0</v>
      </c>
      <c r="H701" s="8" t="n">
        <v>0</v>
      </c>
      <c r="I701" s="8" t="n">
        <v>1</v>
      </c>
      <c r="J701" s="8" t="n">
        <v>0</v>
      </c>
      <c r="K701" s="9" t="n">
        <v>0</v>
      </c>
      <c r="L701" s="9" t="n">
        <v>1</v>
      </c>
      <c r="M701" s="9" t="n">
        <v>0</v>
      </c>
      <c r="N701" s="9" t="n">
        <v>0</v>
      </c>
      <c r="O701" s="10" t="n">
        <v>0</v>
      </c>
      <c r="P701" s="10" t="n">
        <v>0</v>
      </c>
      <c r="Q701" s="10" t="n">
        <v>0</v>
      </c>
      <c r="R701" s="10" t="n">
        <v>0</v>
      </c>
      <c r="S701" s="10" t="n">
        <v>0</v>
      </c>
    </row>
    <row r="702" ht="296" customHeight="1">
      <c r="A702" s="6">
        <f>IFERROR(__xludf.DUMMYFUNCTION("""COMPUTED_VALUE"""),"Why I don't prefer vinegar on my fries")</f>
        <v/>
      </c>
      <c r="B702" s="6">
        <f>IFERROR(__xludf.DUMMYFUNCTION("""COMPUTED_VALUE"""),"Application")</f>
        <v/>
      </c>
      <c r="C702" s="6">
        <f>IFERROR(__xludf.DUMMYFUNCTION("""COMPUTED_VALUE"""),"Quiz 1")</f>
        <v/>
      </c>
      <c r="D702" s="7">
        <f>IFERROR(__xludf.DUMMYFUNCTION("""COMPUTED_VALUE"""),"&lt;p&gt;You must complete the quiz before you can attempt the investigation&lt;/p&gt;")</f>
        <v/>
      </c>
      <c r="E702"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2" s="7" t="n"/>
      <c r="G702" s="8" t="n">
        <v>0</v>
      </c>
      <c r="H702" s="8" t="n">
        <v>0</v>
      </c>
      <c r="I702" s="8" t="n">
        <v>0</v>
      </c>
      <c r="J702" s="8" t="n">
        <v>1</v>
      </c>
      <c r="K702" s="9" t="n">
        <v>0</v>
      </c>
      <c r="L702" s="9" t="n">
        <v>1</v>
      </c>
      <c r="M702" s="9" t="n">
        <v>0</v>
      </c>
      <c r="N702" s="9" t="n">
        <v>0</v>
      </c>
      <c r="O702" s="10" t="n">
        <v>0</v>
      </c>
      <c r="P702" s="10" t="n">
        <v>0</v>
      </c>
      <c r="Q702" s="10" t="n">
        <v>0</v>
      </c>
      <c r="R702" s="10" t="n">
        <v>0</v>
      </c>
      <c r="S702" s="10" t="n">
        <v>1</v>
      </c>
    </row>
    <row r="703" ht="296" customHeight="1">
      <c r="A703" s="6">
        <f>IFERROR(__xludf.DUMMYFUNCTION("""COMPUTED_VALUE"""),"Why I don't prefer vinegar on my fries")</f>
        <v/>
      </c>
      <c r="B703" s="6">
        <f>IFERROR(__xludf.DUMMYFUNCTION("""COMPUTED_VALUE"""),"Application")</f>
        <v/>
      </c>
      <c r="C703" s="6">
        <f>IFERROR(__xludf.DUMMYFUNCTION("""COMPUTED_VALUE"""),"Quiz 2")</f>
        <v/>
      </c>
      <c r="D703" s="7">
        <f>IFERROR(__xludf.DUMMYFUNCTION("""COMPUTED_VALUE"""),"No task description")</f>
        <v/>
      </c>
      <c r="E70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3" s="7" t="n"/>
      <c r="G703" s="8" t="n">
        <v>0</v>
      </c>
      <c r="H703" s="8" t="n">
        <v>0</v>
      </c>
      <c r="I703" s="8" t="n">
        <v>0</v>
      </c>
      <c r="J703" s="8" t="n">
        <v>1</v>
      </c>
      <c r="K703" s="9" t="n">
        <v>0</v>
      </c>
      <c r="L703" s="9" t="n">
        <v>1</v>
      </c>
      <c r="M703" s="9" t="n">
        <v>0</v>
      </c>
      <c r="N703" s="9" t="n">
        <v>0</v>
      </c>
      <c r="O703" s="10" t="n">
        <v>0</v>
      </c>
      <c r="P703" s="10" t="n">
        <v>0</v>
      </c>
      <c r="Q703" s="10" t="n">
        <v>0</v>
      </c>
      <c r="R703" s="10" t="n">
        <v>0</v>
      </c>
      <c r="S703" s="10" t="n">
        <v>1</v>
      </c>
    </row>
    <row r="704" ht="296" customHeight="1">
      <c r="A704" s="6">
        <f>IFERROR(__xludf.DUMMYFUNCTION("""COMPUTED_VALUE"""),"Why I don't prefer vinegar on my fries")</f>
        <v/>
      </c>
      <c r="B704" s="6">
        <f>IFERROR(__xludf.DUMMYFUNCTION("""COMPUTED_VALUE"""),"Application")</f>
        <v/>
      </c>
      <c r="C704" s="6">
        <f>IFERROR(__xludf.DUMMYFUNCTION("""COMPUTED_VALUE"""),"Quiz Hypothesis")</f>
        <v/>
      </c>
      <c r="D704" s="7">
        <f>IFERROR(__xludf.DUMMYFUNCTION("""COMPUTED_VALUE"""),"No task description")</f>
        <v/>
      </c>
      <c r="E7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4" s="7" t="n"/>
      <c r="G704" s="8" t="n">
        <v>0</v>
      </c>
      <c r="H704" s="8" t="n">
        <v>0</v>
      </c>
      <c r="I704" s="8" t="n">
        <v>0</v>
      </c>
      <c r="J704" s="8" t="n">
        <v>1</v>
      </c>
      <c r="K704" s="9" t="n">
        <v>0</v>
      </c>
      <c r="L704" s="9" t="n">
        <v>1</v>
      </c>
      <c r="M704" s="9" t="n">
        <v>0</v>
      </c>
      <c r="N704" s="9" t="n">
        <v>0</v>
      </c>
      <c r="O704" s="10" t="n">
        <v>0</v>
      </c>
      <c r="P704" s="10" t="n">
        <v>0</v>
      </c>
      <c r="Q704" s="10" t="n">
        <v>0</v>
      </c>
      <c r="R704" s="10" t="n">
        <v>0</v>
      </c>
      <c r="S704" s="10" t="n">
        <v>1</v>
      </c>
    </row>
    <row r="705" ht="85" customHeight="1">
      <c r="A705" s="6">
        <f>IFERROR(__xludf.DUMMYFUNCTION("""COMPUTED_VALUE"""),"Why I don't prefer vinegar on my fries")</f>
        <v/>
      </c>
      <c r="B705" s="6">
        <f>IFERROR(__xludf.DUMMYFUNCTION("""COMPUTED_VALUE"""),"Resource")</f>
        <v/>
      </c>
      <c r="C705" s="6">
        <f>IFERROR(__xludf.DUMMYFUNCTION("""COMPUTED_VALUE"""),"2nd.graasp")</f>
        <v/>
      </c>
      <c r="D705" s="7">
        <f>IFERROR(__xludf.DUMMYFUNCTION("""COMPUTED_VALUE"""),"&lt;p&gt;Use the app to investigate some substances to see whether they are acidic or basic...enjoy.&lt;/p&gt;")</f>
        <v/>
      </c>
      <c r="E705" s="7">
        <f>IFERROR(__xludf.DUMMYFUNCTION("""COMPUTED_VALUE"""),"No artifact embedded")</f>
        <v/>
      </c>
      <c r="F705" s="7" t="n"/>
      <c r="G705" s="8" t="n">
        <v>0</v>
      </c>
      <c r="H705" s="8" t="n">
        <v>1</v>
      </c>
      <c r="I705" s="8" t="n">
        <v>0</v>
      </c>
      <c r="J705" s="8" t="n">
        <v>0</v>
      </c>
      <c r="K705" s="9" t="n">
        <v>1</v>
      </c>
      <c r="L705" s="9" t="n">
        <v>0</v>
      </c>
      <c r="M705" s="9" t="n">
        <v>0</v>
      </c>
      <c r="N705" s="9" t="n">
        <v>0</v>
      </c>
      <c r="O705" s="10" t="n">
        <v>0</v>
      </c>
      <c r="P705" s="10" t="n">
        <v>0</v>
      </c>
      <c r="Q705" s="10" t="n">
        <v>1</v>
      </c>
      <c r="R705" s="10" t="n">
        <v>0</v>
      </c>
      <c r="S705" s="10" t="n">
        <v>0</v>
      </c>
    </row>
    <row r="706" ht="133" customHeight="1">
      <c r="A706" s="6">
        <f>IFERROR(__xludf.DUMMYFUNCTION("""COMPUTED_VALUE"""),"Why I don't prefer vinegar on my fries")</f>
        <v/>
      </c>
      <c r="B706" s="6">
        <f>IFERROR(__xludf.DUMMYFUNCTION("""COMPUTED_VALUE"""),"Resource")</f>
        <v/>
      </c>
      <c r="C706" s="6">
        <f>IFERROR(__xludf.DUMMYFUNCTION("""COMPUTED_VALUE"""),"‪pH Scale: Basics‬ 1.2.10")</f>
        <v/>
      </c>
      <c r="D706" s="7">
        <f>IFERROR(__xludf.DUMMYFUNCTION("""COMPUTED_VALUE"""),"No task description")</f>
        <v/>
      </c>
      <c r="E706" s="7">
        <f>IFERROR(__xludf.DUMMYFUNCTION("""COMPUTED_VALUE"""),"Artifact from phet.colorado.edu: Provides interactive science and math simulations, such as those on greenhouse effects and natural selection.")</f>
        <v/>
      </c>
      <c r="F706" s="7" t="n"/>
      <c r="G706" s="8" t="n">
        <v>0</v>
      </c>
      <c r="H706" s="8" t="n">
        <v>1</v>
      </c>
      <c r="I706" s="8" t="n">
        <v>0</v>
      </c>
      <c r="J706" s="8" t="n">
        <v>0</v>
      </c>
      <c r="K706" s="9" t="n">
        <v>1</v>
      </c>
      <c r="L706" s="9" t="n">
        <v>0</v>
      </c>
      <c r="M706" s="9" t="n">
        <v>0</v>
      </c>
      <c r="N706" s="9" t="n">
        <v>0</v>
      </c>
      <c r="O706" s="10" t="n">
        <v>0</v>
      </c>
      <c r="P706" s="10" t="n">
        <v>0</v>
      </c>
      <c r="Q706" s="10" t="n">
        <v>1</v>
      </c>
      <c r="R706" s="10" t="n">
        <v>0</v>
      </c>
      <c r="S706" s="10" t="n">
        <v>0</v>
      </c>
    </row>
    <row r="707" ht="296" customHeight="1">
      <c r="A707" s="6">
        <f>IFERROR(__xludf.DUMMYFUNCTION("""COMPUTED_VALUE"""),"Why I don't prefer vinegar on my fries")</f>
        <v/>
      </c>
      <c r="B707" s="6">
        <f>IFERROR(__xludf.DUMMYFUNCTION("""COMPUTED_VALUE"""),"Application")</f>
        <v/>
      </c>
      <c r="C707" s="6">
        <f>IFERROR(__xludf.DUMMYFUNCTION("""COMPUTED_VALUE"""),"Quiz 3")</f>
        <v/>
      </c>
      <c r="D707" s="7">
        <f>IFERROR(__xludf.DUMMYFUNCTION("""COMPUTED_VALUE"""),"No task description")</f>
        <v/>
      </c>
      <c r="E7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7" s="7" t="n"/>
      <c r="G707" s="8" t="n">
        <v>0</v>
      </c>
      <c r="H707" s="8" t="n">
        <v>0</v>
      </c>
      <c r="I707" s="8" t="n">
        <v>0</v>
      </c>
      <c r="J707" s="8" t="n">
        <v>1</v>
      </c>
      <c r="K707" s="9" t="n">
        <v>0</v>
      </c>
      <c r="L707" s="9" t="n">
        <v>1</v>
      </c>
      <c r="M707" s="9" t="n">
        <v>0</v>
      </c>
      <c r="N707" s="9" t="n">
        <v>0</v>
      </c>
      <c r="O707" s="10" t="n">
        <v>0</v>
      </c>
      <c r="P707" s="10" t="n">
        <v>0</v>
      </c>
      <c r="Q707" s="10" t="n">
        <v>0</v>
      </c>
      <c r="R707" s="10" t="n">
        <v>0</v>
      </c>
      <c r="S707" s="10" t="n">
        <v>1</v>
      </c>
    </row>
    <row r="708" ht="296" customHeight="1">
      <c r="A708" s="6">
        <f>IFERROR(__xludf.DUMMYFUNCTION("""COMPUTED_VALUE"""),"Why I don't prefer vinegar on my fries")</f>
        <v/>
      </c>
      <c r="B708" s="6">
        <f>IFERROR(__xludf.DUMMYFUNCTION("""COMPUTED_VALUE"""),"Application")</f>
        <v/>
      </c>
      <c r="C708" s="6">
        <f>IFERROR(__xludf.DUMMYFUNCTION("""COMPUTED_VALUE"""),"Quiz 4")</f>
        <v/>
      </c>
      <c r="D708" s="7">
        <f>IFERROR(__xludf.DUMMYFUNCTION("""COMPUTED_VALUE"""),"No task description")</f>
        <v/>
      </c>
      <c r="E70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8" s="7" t="n"/>
      <c r="G708" s="8" t="n">
        <v>0</v>
      </c>
      <c r="H708" s="8" t="n">
        <v>0</v>
      </c>
      <c r="I708" s="8" t="n">
        <v>0</v>
      </c>
      <c r="J708" s="8" t="n">
        <v>1</v>
      </c>
      <c r="K708" s="9" t="n">
        <v>0</v>
      </c>
      <c r="L708" s="9" t="n">
        <v>1</v>
      </c>
      <c r="M708" s="9" t="n">
        <v>0</v>
      </c>
      <c r="N708" s="9" t="n">
        <v>0</v>
      </c>
      <c r="O708" s="10" t="n">
        <v>0</v>
      </c>
      <c r="P708" s="10" t="n">
        <v>0</v>
      </c>
      <c r="Q708" s="10" t="n">
        <v>0</v>
      </c>
      <c r="R708" s="10" t="n">
        <v>0</v>
      </c>
      <c r="S708" s="10" t="n">
        <v>1</v>
      </c>
    </row>
    <row r="709" ht="296" customHeight="1">
      <c r="A709" s="6">
        <f>IFERROR(__xludf.DUMMYFUNCTION("""COMPUTED_VALUE"""),"Why I don't prefer vinegar on my fries")</f>
        <v/>
      </c>
      <c r="B709" s="6">
        <f>IFERROR(__xludf.DUMMYFUNCTION("""COMPUTED_VALUE"""),"Application")</f>
        <v/>
      </c>
      <c r="C709" s="6">
        <f>IFERROR(__xludf.DUMMYFUNCTION("""COMPUTED_VALUE"""),"Quiz 5")</f>
        <v/>
      </c>
      <c r="D709" s="7">
        <f>IFERROR(__xludf.DUMMYFUNCTION("""COMPUTED_VALUE"""),"No task description")</f>
        <v/>
      </c>
      <c r="E70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9" s="7" t="n"/>
      <c r="G709" s="8" t="n">
        <v>0</v>
      </c>
      <c r="H709" s="8" t="n">
        <v>0</v>
      </c>
      <c r="I709" s="8" t="n">
        <v>0</v>
      </c>
      <c r="J709" s="8" t="n">
        <v>1</v>
      </c>
      <c r="K709" s="9" t="n">
        <v>0</v>
      </c>
      <c r="L709" s="9" t="n">
        <v>1</v>
      </c>
      <c r="M709" s="9" t="n">
        <v>0</v>
      </c>
      <c r="N709" s="9" t="n">
        <v>0</v>
      </c>
      <c r="O709" s="10" t="n">
        <v>0</v>
      </c>
      <c r="P709" s="10" t="n">
        <v>0</v>
      </c>
      <c r="Q709" s="10" t="n">
        <v>0</v>
      </c>
      <c r="R709" s="10" t="n">
        <v>0</v>
      </c>
      <c r="S709" s="10" t="n">
        <v>1</v>
      </c>
    </row>
    <row r="710" ht="296" customHeight="1">
      <c r="A710" s="6">
        <f>IFERROR(__xludf.DUMMYFUNCTION("""COMPUTED_VALUE"""),"Why I don't prefer vinegar on my fries")</f>
        <v/>
      </c>
      <c r="B710" s="6">
        <f>IFERROR(__xludf.DUMMYFUNCTION("""COMPUTED_VALUE"""),"Application")</f>
        <v/>
      </c>
      <c r="C710" s="6">
        <f>IFERROR(__xludf.DUMMYFUNCTION("""COMPUTED_VALUE"""),"Quiz 6")</f>
        <v/>
      </c>
      <c r="D710" s="7">
        <f>IFERROR(__xludf.DUMMYFUNCTION("""COMPUTED_VALUE"""),"No task description")</f>
        <v/>
      </c>
      <c r="E71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10" s="7" t="n"/>
      <c r="G710" s="8" t="n">
        <v>0</v>
      </c>
      <c r="H710" s="8" t="n">
        <v>0</v>
      </c>
      <c r="I710" s="8" t="n">
        <v>0</v>
      </c>
      <c r="J710" s="8" t="n">
        <v>1</v>
      </c>
      <c r="K710" s="9" t="n">
        <v>0</v>
      </c>
      <c r="L710" s="9" t="n">
        <v>1</v>
      </c>
      <c r="M710" s="9" t="n">
        <v>0</v>
      </c>
      <c r="N710" s="9" t="n">
        <v>0</v>
      </c>
      <c r="O710" s="10" t="n">
        <v>0</v>
      </c>
      <c r="P710" s="10" t="n">
        <v>0</v>
      </c>
      <c r="Q710" s="10" t="n">
        <v>0</v>
      </c>
      <c r="R710" s="10" t="n">
        <v>0</v>
      </c>
      <c r="S710" s="10" t="n">
        <v>1</v>
      </c>
    </row>
    <row r="711" ht="97" customHeight="1">
      <c r="A711" s="6">
        <f>IFERROR(__xludf.DUMMYFUNCTION("""COMPUTED_VALUE"""),"Why I don't prefer vinegar on my fries")</f>
        <v/>
      </c>
      <c r="B711" s="6">
        <f>IFERROR(__xludf.DUMMYFUNCTION("""COMPUTED_VALUE"""),"Resource")</f>
        <v/>
      </c>
      <c r="C711" s="6">
        <f>IFERROR(__xludf.DUMMYFUNCTION("""COMPUTED_VALUE"""),"3rd.graasp")</f>
        <v/>
      </c>
      <c r="D711" s="7">
        <f>IFERROR(__xludf.DUMMYFUNCTION("""COMPUTED_VALUE"""),"&lt;p&gt;When you understand what an acid or a base is,  review the video on the chemical reaction of HCl on CaCO3.&lt;/p&gt;")</f>
        <v/>
      </c>
      <c r="E711" s="7">
        <f>IFERROR(__xludf.DUMMYFUNCTION("""COMPUTED_VALUE"""),"No artifact embedded")</f>
        <v/>
      </c>
      <c r="F711" s="7" t="n"/>
      <c r="G711" s="8" t="n">
        <v>1</v>
      </c>
      <c r="H711" s="8" t="n">
        <v>0</v>
      </c>
      <c r="I711" s="8" t="n">
        <v>0</v>
      </c>
      <c r="J711" s="8" t="n">
        <v>0</v>
      </c>
      <c r="K711" s="9" t="n">
        <v>1</v>
      </c>
      <c r="L711" s="9" t="n">
        <v>0</v>
      </c>
      <c r="M711" s="9" t="n">
        <v>0</v>
      </c>
      <c r="N711" s="9" t="n">
        <v>0</v>
      </c>
      <c r="O711" s="10" t="n">
        <v>1</v>
      </c>
      <c r="P711" s="10" t="n">
        <v>0</v>
      </c>
      <c r="Q711" s="10" t="n">
        <v>0</v>
      </c>
      <c r="R711" s="10" t="n">
        <v>0</v>
      </c>
      <c r="S711" s="10" t="n">
        <v>0</v>
      </c>
    </row>
    <row r="712" ht="145" customHeight="1">
      <c r="A712" s="6">
        <f>IFERROR(__xludf.DUMMYFUNCTION("""COMPUTED_VALUE"""),"Why I don't prefer vinegar on my fries")</f>
        <v/>
      </c>
      <c r="B712" s="6">
        <f>IFERROR(__xludf.DUMMYFUNCTION("""COMPUTED_VALUE"""),"Resource")</f>
        <v/>
      </c>
      <c r="C712" s="6">
        <f>IFERROR(__xludf.DUMMYFUNCTION("""COMPUTED_VALUE"""),"Chemical reaction of marble to acid")</f>
        <v/>
      </c>
      <c r="D712" s="7">
        <f>IFERROR(__xludf.DUMMYFUNCTION("""COMPUTED_VALUE"""),"&lt;p&gt;Most marble is composed of Calcium Carbonate, CaCO3, a mineral that reacts with cold, dilute, hydrochloric acid.  &lt;/p&gt;&lt;p&gt;&lt;br&gt;&lt;/p&gt;")</f>
        <v/>
      </c>
      <c r="E712" s="7">
        <f>IFERROR(__xludf.DUMMYFUNCTION("""COMPUTED_VALUE"""),"youtube.com: A widely known video-sharing platform where users can watch videos on a vast array of topics, including educational content.")</f>
        <v/>
      </c>
      <c r="F712" s="7" t="n"/>
      <c r="G712" s="8" t="n">
        <v>1</v>
      </c>
      <c r="H712" s="8" t="n">
        <v>0</v>
      </c>
      <c r="I712" s="8" t="n">
        <v>0</v>
      </c>
      <c r="J712" s="8" t="n">
        <v>0</v>
      </c>
      <c r="K712" s="9" t="n">
        <v>1</v>
      </c>
      <c r="L712" s="9" t="n">
        <v>0</v>
      </c>
      <c r="M712" s="9" t="n">
        <v>0</v>
      </c>
      <c r="N712" s="9" t="n">
        <v>0</v>
      </c>
      <c r="O712" s="10" t="n">
        <v>1</v>
      </c>
      <c r="P712" s="10" t="n">
        <v>0</v>
      </c>
      <c r="Q712" s="10" t="n">
        <v>0</v>
      </c>
      <c r="R712" s="10" t="n">
        <v>0</v>
      </c>
      <c r="S712" s="10" t="n">
        <v>0</v>
      </c>
    </row>
    <row r="713" ht="409.5" customHeight="1">
      <c r="A713" s="6">
        <f>IFERROR(__xludf.DUMMYFUNCTION("""COMPUTED_VALUE"""),"Why I don't prefer vinegar on my fries")</f>
        <v/>
      </c>
      <c r="B713" s="6">
        <f>IFERROR(__xludf.DUMMYFUNCTION("""COMPUTED_VALUE"""),"Resource")</f>
        <v/>
      </c>
      <c r="C713" s="6">
        <f>IFERROR(__xludf.DUMMYFUNCTION("""COMPUTED_VALUE"""),"4th.graasp")</f>
        <v/>
      </c>
      <c r="D713" s="7">
        <f>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
      </c>
      <c r="E713" s="7">
        <f>IFERROR(__xludf.DUMMYFUNCTION("""COMPUTED_VALUE"""),"No artifact embedded")</f>
        <v/>
      </c>
      <c r="F713" s="7" t="n"/>
      <c r="G713" s="8" t="n">
        <v>0</v>
      </c>
      <c r="H713" s="8" t="n">
        <v>0</v>
      </c>
      <c r="I713" s="8" t="n">
        <v>0</v>
      </c>
      <c r="J713" s="8" t="n">
        <v>1</v>
      </c>
      <c r="K713" s="9" t="n">
        <v>0</v>
      </c>
      <c r="L713" s="9" t="n">
        <v>0</v>
      </c>
      <c r="M713" s="9" t="n">
        <v>0</v>
      </c>
      <c r="N713" s="9" t="n">
        <v>1</v>
      </c>
      <c r="O713" s="10" t="n">
        <v>0</v>
      </c>
      <c r="P713" s="10" t="n">
        <v>0</v>
      </c>
      <c r="Q713" s="10" t="n">
        <v>1</v>
      </c>
      <c r="R713" s="10" t="n">
        <v>0</v>
      </c>
      <c r="S713" s="10" t="n">
        <v>1</v>
      </c>
    </row>
    <row r="714" ht="329" customHeight="1">
      <c r="A714" s="6">
        <f>IFERROR(__xludf.DUMMYFUNCTION("""COMPUTED_VALUE"""),"Why I don't prefer vinegar on my fries")</f>
        <v/>
      </c>
      <c r="B714" s="6">
        <f>IFERROR(__xludf.DUMMYFUNCTION("""COMPUTED_VALUE"""),"Application")</f>
        <v/>
      </c>
      <c r="C714" s="6">
        <f>IFERROR(__xludf.DUMMYFUNCTION("""COMPUTED_VALUE"""),"Input Box")</f>
        <v/>
      </c>
      <c r="D714" s="7">
        <f>IFERROR(__xludf.DUMMYFUNCTION("""COMPUTED_VALUE"""),"No task description")</f>
        <v/>
      </c>
      <c r="E71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4" s="7" t="n"/>
      <c r="G714" s="8" t="n">
        <v>0</v>
      </c>
      <c r="H714" s="8" t="n">
        <v>0</v>
      </c>
      <c r="I714" s="8" t="n">
        <v>0</v>
      </c>
      <c r="J714" s="8" t="n">
        <v>1</v>
      </c>
      <c r="K714" s="9" t="n">
        <v>0</v>
      </c>
      <c r="L714" s="9" t="n">
        <v>0</v>
      </c>
      <c r="M714" s="9" t="n">
        <v>0</v>
      </c>
      <c r="N714" s="9" t="n">
        <v>1</v>
      </c>
      <c r="O714" s="10" t="n">
        <v>0</v>
      </c>
      <c r="P714" s="10" t="n">
        <v>0</v>
      </c>
      <c r="Q714" s="10" t="n">
        <v>0</v>
      </c>
      <c r="R714" s="10" t="n">
        <v>0</v>
      </c>
      <c r="S714" s="10" t="n">
        <v>0</v>
      </c>
    </row>
    <row r="715" ht="97" customHeight="1">
      <c r="A715" s="6">
        <f>IFERROR(__xludf.DUMMYFUNCTION("""COMPUTED_VALUE"""),"Why I don't prefer vinegar on my fries")</f>
        <v/>
      </c>
      <c r="B715" s="6">
        <f>IFERROR(__xludf.DUMMYFUNCTION("""COMPUTED_VALUE"""),"Resource")</f>
        <v/>
      </c>
      <c r="C715" s="6">
        <f>IFERROR(__xludf.DUMMYFUNCTION("""COMPUTED_VALUE"""),"5th.graasp")</f>
        <v/>
      </c>
      <c r="D715" s="7">
        <f>IFERROR(__xludf.DUMMYFUNCTION("""COMPUTED_VALUE"""),"&lt;p&gt;Complete your experiment and record it as a video lasting no more than 2 minutes. Upload your video below&lt;/p&gt;")</f>
        <v/>
      </c>
      <c r="E715" s="7">
        <f>IFERROR(__xludf.DUMMYFUNCTION("""COMPUTED_VALUE"""),"No artifact embedded")</f>
        <v/>
      </c>
      <c r="F715" s="7" t="n"/>
      <c r="G715" s="8" t="n">
        <v>0</v>
      </c>
      <c r="H715" s="8" t="n">
        <v>0</v>
      </c>
      <c r="I715" s="8" t="n">
        <v>0</v>
      </c>
      <c r="J715" s="8" t="n">
        <v>1</v>
      </c>
      <c r="K715" s="9" t="n">
        <v>0</v>
      </c>
      <c r="L715" s="9" t="n">
        <v>0</v>
      </c>
      <c r="M715" s="9" t="n">
        <v>0</v>
      </c>
      <c r="N715" s="9" t="n">
        <v>1</v>
      </c>
      <c r="O715" s="10" t="n">
        <v>0</v>
      </c>
      <c r="P715" s="10" t="n">
        <v>0</v>
      </c>
      <c r="Q715" s="10" t="n">
        <v>1</v>
      </c>
      <c r="R715" s="10" t="n">
        <v>0</v>
      </c>
      <c r="S715" s="10" t="n">
        <v>1</v>
      </c>
    </row>
    <row r="716" ht="157" customHeight="1">
      <c r="A716" s="6">
        <f>IFERROR(__xludf.DUMMYFUNCTION("""COMPUTED_VALUE"""),"Why I don't prefer vinegar on my fries")</f>
        <v/>
      </c>
      <c r="B716" s="6">
        <f>IFERROR(__xludf.DUMMYFUNCTION("""COMPUTED_VALUE"""),"Application")</f>
        <v/>
      </c>
      <c r="C716" s="6">
        <f>IFERROR(__xludf.DUMMYFUNCTION("""COMPUTED_VALUE"""),"File Drop")</f>
        <v/>
      </c>
      <c r="D716" s="7">
        <f>IFERROR(__xludf.DUMMYFUNCTION("""COMPUTED_VALUE"""),"No task description")</f>
        <v/>
      </c>
      <c r="E716" s="7">
        <f>IFERROR(__xludf.DUMMYFUNCTION("""COMPUTED_VALUE"""),"Golabz app/lab: ""&lt;p&gt;This app allows students to upload files, e.g., assignment and reports, to the Inquiry learning Space. The app also allows teachers to download the uploaded files.&lt;/p&gt;\r\n""")</f>
        <v/>
      </c>
      <c r="F716" s="7" t="n"/>
      <c r="G716" s="8" t="n">
        <v>0</v>
      </c>
      <c r="H716" s="8" t="n">
        <v>0</v>
      </c>
      <c r="I716" s="8" t="n">
        <v>0</v>
      </c>
      <c r="J716" s="8" t="n">
        <v>1</v>
      </c>
      <c r="K716" s="9" t="n">
        <v>0</v>
      </c>
      <c r="L716" s="9" t="n">
        <v>0</v>
      </c>
      <c r="M716" s="9" t="n">
        <v>0</v>
      </c>
      <c r="N716" s="9" t="n">
        <v>1</v>
      </c>
      <c r="O716" s="10" t="n">
        <v>0</v>
      </c>
      <c r="P716" s="10" t="n">
        <v>0</v>
      </c>
      <c r="Q716" s="10" t="n">
        <v>0</v>
      </c>
      <c r="R716" s="10" t="n">
        <v>0</v>
      </c>
      <c r="S716" s="10" t="n">
        <v>0</v>
      </c>
    </row>
    <row r="717" ht="85" customHeight="1">
      <c r="A717" s="6">
        <f>IFERROR(__xludf.DUMMYFUNCTION("""COMPUTED_VALUE"""),"Why I don't prefer vinegar on my fries")</f>
        <v/>
      </c>
      <c r="B717" s="6">
        <f>IFERROR(__xludf.DUMMYFUNCTION("""COMPUTED_VALUE"""),"Resource")</f>
        <v/>
      </c>
      <c r="C717" s="6">
        <f>IFERROR(__xludf.DUMMYFUNCTION("""COMPUTED_VALUE"""),"6th.graasp")</f>
        <v/>
      </c>
      <c r="D717" s="7">
        <f>IFERROR(__xludf.DUMMYFUNCTION("""COMPUTED_VALUE"""),"&lt;p&gt;Record your data into the table and then capture the screen and post it into Padlet along with your conclusion&lt;/p&gt;")</f>
        <v/>
      </c>
      <c r="E717" s="7">
        <f>IFERROR(__xludf.DUMMYFUNCTION("""COMPUTED_VALUE"""),"No artifact embedded")</f>
        <v/>
      </c>
      <c r="F717" s="7" t="n"/>
      <c r="G717" s="8" t="n">
        <v>0</v>
      </c>
      <c r="H717" s="8" t="n">
        <v>0</v>
      </c>
      <c r="I717" s="8" t="n">
        <v>0</v>
      </c>
      <c r="J717" s="8" t="n">
        <v>1</v>
      </c>
      <c r="K717" s="9" t="n">
        <v>0</v>
      </c>
      <c r="L717" s="9" t="n">
        <v>0</v>
      </c>
      <c r="M717" s="9" t="n">
        <v>0</v>
      </c>
      <c r="N717" s="9" t="n">
        <v>1</v>
      </c>
      <c r="O717" s="10" t="n">
        <v>0</v>
      </c>
      <c r="P717" s="10" t="n">
        <v>0</v>
      </c>
      <c r="Q717" s="10" t="n">
        <v>1</v>
      </c>
      <c r="R717" s="10" t="n">
        <v>1</v>
      </c>
      <c r="S717" s="10" t="n">
        <v>1</v>
      </c>
    </row>
    <row r="718" ht="409.5" customHeight="1">
      <c r="A718" s="6">
        <f>IFERROR(__xludf.DUMMYFUNCTION("""COMPUTED_VALUE"""),"Why I don't prefer vinegar on my fries")</f>
        <v/>
      </c>
      <c r="B718" s="6">
        <f>IFERROR(__xludf.DUMMYFUNCTION("""COMPUTED_VALUE"""),"Application")</f>
        <v/>
      </c>
      <c r="C718" s="6">
        <f>IFERROR(__xludf.DUMMYFUNCTION("""COMPUTED_VALUE"""),"Table tool")</f>
        <v/>
      </c>
      <c r="D718" s="7">
        <f>IFERROR(__xludf.DUMMYFUNCTION("""COMPUTED_VALUE"""),"No task description")</f>
        <v/>
      </c>
      <c r="E71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718" s="7" t="n"/>
      <c r="G718" s="8" t="n">
        <v>0</v>
      </c>
      <c r="H718" s="8" t="n">
        <v>0</v>
      </c>
      <c r="I718" s="8" t="n">
        <v>0</v>
      </c>
      <c r="J718" s="8" t="n">
        <v>1</v>
      </c>
      <c r="K718" s="9" t="n">
        <v>0</v>
      </c>
      <c r="L718" s="9" t="n">
        <v>0</v>
      </c>
      <c r="M718" s="9" t="n">
        <v>0</v>
      </c>
      <c r="N718" s="9" t="n">
        <v>1</v>
      </c>
      <c r="O718" s="10" t="n">
        <v>0</v>
      </c>
      <c r="P718" s="10" t="n">
        <v>0</v>
      </c>
      <c r="Q718" s="10" t="n">
        <v>0</v>
      </c>
      <c r="R718" s="10" t="n">
        <v>0</v>
      </c>
      <c r="S718" s="10" t="n">
        <v>0</v>
      </c>
    </row>
    <row r="719" ht="329" customHeight="1">
      <c r="A719" s="6">
        <f>IFERROR(__xludf.DUMMYFUNCTION("""COMPUTED_VALUE"""),"Why I don't prefer vinegar on my fries")</f>
        <v/>
      </c>
      <c r="B719" s="6">
        <f>IFERROR(__xludf.DUMMYFUNCTION("""COMPUTED_VALUE"""),"Application")</f>
        <v/>
      </c>
      <c r="C719" s="6">
        <f>IFERROR(__xludf.DUMMYFUNCTION("""COMPUTED_VALUE"""),"Input Box (1)")</f>
        <v/>
      </c>
      <c r="D719" s="7">
        <f>IFERROR(__xludf.DUMMYFUNCTION("""COMPUTED_VALUE"""),"&lt;p&gt;Review your video and write down your observations. &lt;/p&gt;&lt;p&gt;&lt;br&gt;&lt;/p&gt;")</f>
        <v/>
      </c>
      <c r="E71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9" s="7" t="n"/>
      <c r="G719" s="8" t="n">
        <v>0</v>
      </c>
      <c r="H719" s="8" t="n">
        <v>0</v>
      </c>
      <c r="I719" s="8" t="n">
        <v>0</v>
      </c>
      <c r="J719" s="8" t="n">
        <v>1</v>
      </c>
      <c r="K719" s="9" t="n">
        <v>1</v>
      </c>
      <c r="L719" s="9" t="n">
        <v>0</v>
      </c>
      <c r="M719" s="9" t="n">
        <v>0</v>
      </c>
      <c r="N719" s="9" t="n">
        <v>1</v>
      </c>
      <c r="O719" s="10" t="n">
        <v>0</v>
      </c>
      <c r="P719" s="10" t="n">
        <v>0</v>
      </c>
      <c r="Q719" s="10" t="n">
        <v>1</v>
      </c>
      <c r="R719" s="10" t="n">
        <v>0</v>
      </c>
      <c r="S719" s="10" t="n">
        <v>1</v>
      </c>
    </row>
    <row r="720" ht="133" customHeight="1">
      <c r="A720" s="6">
        <f>IFERROR(__xludf.DUMMYFUNCTION("""COMPUTED_VALUE"""),"Why I don't prefer vinegar on my fries")</f>
        <v/>
      </c>
      <c r="B720" s="6">
        <f>IFERROR(__xludf.DUMMYFUNCTION("""COMPUTED_VALUE"""),"Space")</f>
        <v/>
      </c>
      <c r="C720" s="6">
        <f>IFERROR(__xludf.DUMMYFUNCTION("""COMPUTED_VALUE"""),"Conclusion")</f>
        <v/>
      </c>
      <c r="D720" s="7">
        <f>IFERROR(__xludf.DUMMYFUNCTION("""COMPUTED_VALUE"""),"&lt;p&gt;Use the conclusion App to to share your conclusions and data with the class. Your conclusion should take into account your original hypothesis. &lt;/p&gt;")</f>
        <v/>
      </c>
      <c r="E720" s="7">
        <f>IFERROR(__xludf.DUMMYFUNCTION("""COMPUTED_VALUE"""),"No artifact embedded")</f>
        <v/>
      </c>
      <c r="F720" s="7" t="n"/>
      <c r="G720" s="8" t="n">
        <v>0</v>
      </c>
      <c r="H720" s="8" t="n">
        <v>0</v>
      </c>
      <c r="I720" s="8" t="n">
        <v>0</v>
      </c>
      <c r="J720" s="8" t="n">
        <v>1</v>
      </c>
      <c r="K720" s="9" t="n">
        <v>0</v>
      </c>
      <c r="L720" s="9" t="n">
        <v>0</v>
      </c>
      <c r="M720" s="9" t="n">
        <v>1</v>
      </c>
      <c r="N720" s="9" t="n">
        <v>0</v>
      </c>
      <c r="O720" s="10" t="n">
        <v>0</v>
      </c>
      <c r="P720" s="10" t="n">
        <v>0</v>
      </c>
      <c r="Q720" s="10" t="n">
        <v>0</v>
      </c>
      <c r="R720" s="10" t="n">
        <v>1</v>
      </c>
      <c r="S720" s="10" t="n">
        <v>1</v>
      </c>
    </row>
    <row r="721" ht="409.5" customHeight="1">
      <c r="A721" s="6">
        <f>IFERROR(__xludf.DUMMYFUNCTION("""COMPUTED_VALUE"""),"Why I don't prefer vinegar on my fries")</f>
        <v/>
      </c>
      <c r="B721" s="6">
        <f>IFERROR(__xludf.DUMMYFUNCTION("""COMPUTED_VALUE"""),"Application")</f>
        <v/>
      </c>
      <c r="C721" s="6">
        <f>IFERROR(__xludf.DUMMYFUNCTION("""COMPUTED_VALUE"""),"Conclusion Tool")</f>
        <v/>
      </c>
      <c r="D721" s="7">
        <f>IFERROR(__xludf.DUMMYFUNCTION("""COMPUTED_VALUE"""),"No task description")</f>
        <v/>
      </c>
      <c r="E72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21" s="7" t="n"/>
      <c r="G721" s="8" t="n">
        <v>0</v>
      </c>
      <c r="H721" s="8" t="n">
        <v>0</v>
      </c>
      <c r="I721" s="8" t="n">
        <v>0</v>
      </c>
      <c r="J721" s="8" t="n">
        <v>1</v>
      </c>
      <c r="K721" s="9" t="n">
        <v>0</v>
      </c>
      <c r="L721" s="9" t="n">
        <v>0</v>
      </c>
      <c r="M721" s="9" t="n">
        <v>0</v>
      </c>
      <c r="N721" s="9" t="n">
        <v>1</v>
      </c>
      <c r="O721" s="10" t="n">
        <v>0</v>
      </c>
      <c r="P721" s="10" t="n">
        <v>0</v>
      </c>
      <c r="Q721" s="10" t="n">
        <v>0</v>
      </c>
      <c r="R721" s="10" t="n">
        <v>1</v>
      </c>
      <c r="S721" s="10" t="n">
        <v>1</v>
      </c>
    </row>
    <row r="722" ht="409.5" customHeight="1">
      <c r="A722" s="6">
        <f>IFERROR(__xludf.DUMMYFUNCTION("""COMPUTED_VALUE"""),"Why I don't prefer vinegar on my fries")</f>
        <v/>
      </c>
      <c r="B722" s="6">
        <f>IFERROR(__xludf.DUMMYFUNCTION("""COMPUTED_VALUE"""),"Space")</f>
        <v/>
      </c>
      <c r="C722" s="6">
        <f>IFERROR(__xludf.DUMMYFUNCTION("""COMPUTED_VALUE"""),"Discussion")</f>
        <v/>
      </c>
      <c r="D722" s="7">
        <f>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
      </c>
      <c r="E722" s="7">
        <f>IFERROR(__xludf.DUMMYFUNCTION("""COMPUTED_VALUE"""),"No artifact embedded")</f>
        <v/>
      </c>
      <c r="F722" s="7" t="n"/>
      <c r="G722" s="8" t="n">
        <v>0</v>
      </c>
      <c r="H722" s="8" t="n">
        <v>0</v>
      </c>
      <c r="I722" s="8" t="n">
        <v>0</v>
      </c>
      <c r="J722" s="8" t="n">
        <v>1</v>
      </c>
      <c r="K722" s="9" t="n">
        <v>0</v>
      </c>
      <c r="L722" s="9" t="n">
        <v>0</v>
      </c>
      <c r="M722" s="9" t="n">
        <v>0</v>
      </c>
      <c r="N722" s="9" t="n">
        <v>1</v>
      </c>
      <c r="O722" s="10" t="n">
        <v>0</v>
      </c>
      <c r="P722" s="10" t="n">
        <v>1</v>
      </c>
      <c r="Q722" s="10" t="n">
        <v>1</v>
      </c>
      <c r="R722" s="10" t="n">
        <v>0</v>
      </c>
      <c r="S722" s="10" t="n">
        <v>1</v>
      </c>
    </row>
    <row r="723" ht="49" customHeight="1">
      <c r="A723" s="6">
        <f>IFERROR(__xludf.DUMMYFUNCTION("""COMPUTED_VALUE"""),"Why I don't prefer vinegar on my fries")</f>
        <v/>
      </c>
      <c r="B723" s="6">
        <f>IFERROR(__xludf.DUMMYFUNCTION("""COMPUTED_VALUE"""),"Application")</f>
        <v/>
      </c>
      <c r="C723" s="6">
        <f>IFERROR(__xludf.DUMMYFUNCTION("""COMPUTED_VALUE"""),"Padlet")</f>
        <v/>
      </c>
      <c r="D723" s="7">
        <f>IFERROR(__xludf.DUMMYFUNCTION("""COMPUTED_VALUE"""),"No task description")</f>
        <v/>
      </c>
      <c r="E723" s="7">
        <f>IFERROR(__xludf.DUMMYFUNCTION("""COMPUTED_VALUE"""),"Golabz app/lab: Wrong URL. Impossible to access it")</f>
        <v/>
      </c>
      <c r="F723" s="7" t="n"/>
      <c r="G723" s="8" t="n">
        <v>0</v>
      </c>
      <c r="H723" s="8" t="n">
        <v>0</v>
      </c>
      <c r="I723" s="8" t="n">
        <v>0</v>
      </c>
      <c r="J723" s="8" t="n">
        <v>0</v>
      </c>
      <c r="K723" s="9" t="n">
        <v>0</v>
      </c>
      <c r="L723" s="9" t="n">
        <v>0</v>
      </c>
      <c r="M723" s="9" t="n">
        <v>0</v>
      </c>
      <c r="N723" s="9" t="n">
        <v>0</v>
      </c>
      <c r="O723" s="10" t="n">
        <v>0</v>
      </c>
      <c r="P723" s="10" t="n">
        <v>0</v>
      </c>
      <c r="Q723" s="10" t="n">
        <v>0</v>
      </c>
      <c r="R723" s="10" t="n">
        <v>0</v>
      </c>
      <c r="S723" s="10" t="n">
        <v>0</v>
      </c>
    </row>
    <row r="724" ht="307" customHeight="1">
      <c r="A724" s="6">
        <f>IFERROR(__xludf.DUMMYFUNCTION("""COMPUTED_VALUE"""),"Electrical Circuits (Cooperative Jigsaw Scenario)")</f>
        <v/>
      </c>
      <c r="B724" s="6">
        <f>IFERROR(__xludf.DUMMYFUNCTION("""COMPUTED_VALUE"""),"Space")</f>
        <v/>
      </c>
      <c r="C724" s="6">
        <f>IFERROR(__xludf.DUMMYFUNCTION("""COMPUTED_VALUE"""),"Orientation")</f>
        <v/>
      </c>
      <c r="D724" s="7">
        <f>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
      </c>
      <c r="E724" s="7">
        <f>IFERROR(__xludf.DUMMYFUNCTION("""COMPUTED_VALUE"""),"No artifact embedded")</f>
        <v/>
      </c>
      <c r="F724" s="7" t="n"/>
      <c r="G724" s="8" t="n">
        <v>0</v>
      </c>
      <c r="H724" s="8" t="n">
        <v>0</v>
      </c>
      <c r="I724" s="8" t="n">
        <v>0</v>
      </c>
      <c r="J724" s="8" t="n">
        <v>1</v>
      </c>
      <c r="K724" s="9" t="n">
        <v>0</v>
      </c>
      <c r="L724" s="9" t="n">
        <v>0</v>
      </c>
      <c r="M724" s="9" t="n">
        <v>1</v>
      </c>
      <c r="N724" s="9" t="n">
        <v>0</v>
      </c>
      <c r="O724" s="10" t="n">
        <v>1</v>
      </c>
      <c r="P724" s="10" t="n">
        <v>0</v>
      </c>
      <c r="Q724" s="10" t="n">
        <v>0</v>
      </c>
      <c r="R724" s="10" t="n">
        <v>0</v>
      </c>
      <c r="S724" s="10" t="n">
        <v>1</v>
      </c>
    </row>
    <row r="725" ht="274" customHeight="1">
      <c r="A725" s="6">
        <f>IFERROR(__xludf.DUMMYFUNCTION("""COMPUTED_VALUE"""),"Electrical Circuits (Cooperative Jigsaw Scenario)")</f>
        <v/>
      </c>
      <c r="B725" s="6">
        <f>IFERROR(__xludf.DUMMYFUNCTION("""COMPUTED_VALUE"""),"Resource")</f>
        <v/>
      </c>
      <c r="C725" s="6">
        <f>IFERROR(__xludf.DUMMYFUNCTION("""COMPUTED_VALUE"""),"Battery-wire-bulb.png")</f>
        <v/>
      </c>
      <c r="D725" s="7">
        <f>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
      </c>
      <c r="E725" s="7">
        <f>IFERROR(__xludf.DUMMYFUNCTION("""COMPUTED_VALUE"""),"image/png – A high-quality image with support for transparency, often used in design and web applications.")</f>
        <v/>
      </c>
      <c r="F725" s="7" t="n"/>
      <c r="G725" s="8" t="n">
        <v>0</v>
      </c>
      <c r="H725" s="8" t="n">
        <v>0</v>
      </c>
      <c r="I725" s="8" t="n">
        <v>0</v>
      </c>
      <c r="J725" s="8" t="n">
        <v>1</v>
      </c>
      <c r="K725" s="9" t="n">
        <v>0</v>
      </c>
      <c r="L725" s="9" t="n">
        <v>0</v>
      </c>
      <c r="M725" s="9" t="n">
        <v>0</v>
      </c>
      <c r="N725" s="9" t="n">
        <v>1</v>
      </c>
      <c r="O725" s="10" t="n">
        <v>1</v>
      </c>
      <c r="P725" s="10" t="n">
        <v>0</v>
      </c>
      <c r="Q725" s="10" t="n">
        <v>0</v>
      </c>
      <c r="R725" s="10" t="n">
        <v>0</v>
      </c>
      <c r="S725" s="10" t="n">
        <v>1</v>
      </c>
    </row>
    <row r="726" ht="329" customHeight="1">
      <c r="A726" s="6">
        <f>IFERROR(__xludf.DUMMYFUNCTION("""COMPUTED_VALUE"""),"Electrical Circuits (Cooperative Jigsaw Scenario)")</f>
        <v/>
      </c>
      <c r="B726" s="6">
        <f>IFERROR(__xludf.DUMMYFUNCTION("""COMPUTED_VALUE"""),"Application")</f>
        <v/>
      </c>
      <c r="C726" s="6">
        <f>IFERROR(__xludf.DUMMYFUNCTION("""COMPUTED_VALUE"""),"Input Box")</f>
        <v/>
      </c>
      <c r="D726" s="7">
        <f>IFERROR(__xludf.DUMMYFUNCTION("""COMPUTED_VALUE"""),"&lt;p&gt;Our group definition of the electrical circuit: &lt;/p&gt;")</f>
        <v/>
      </c>
      <c r="E7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6" s="7" t="n"/>
      <c r="G726" s="8" t="n">
        <v>0</v>
      </c>
      <c r="H726" s="8" t="n">
        <v>0</v>
      </c>
      <c r="I726" s="8" t="n">
        <v>0</v>
      </c>
      <c r="J726" s="8" t="n">
        <v>1</v>
      </c>
      <c r="K726" s="9" t="n">
        <v>0</v>
      </c>
      <c r="L726" s="9" t="n">
        <v>0</v>
      </c>
      <c r="M726" s="9" t="n">
        <v>0</v>
      </c>
      <c r="N726" s="9" t="n">
        <v>1</v>
      </c>
      <c r="O726" s="10" t="n">
        <v>1</v>
      </c>
      <c r="P726" s="10" t="n">
        <v>0</v>
      </c>
      <c r="Q726" s="10" t="n">
        <v>0</v>
      </c>
      <c r="R726" s="10" t="n">
        <v>0</v>
      </c>
      <c r="S726" s="10" t="n">
        <v>1</v>
      </c>
    </row>
    <row r="727" ht="409.5" customHeight="1">
      <c r="A727" s="6">
        <f>IFERROR(__xludf.DUMMYFUNCTION("""COMPUTED_VALUE"""),"Electrical Circuits (Cooperative Jigsaw Scenario)")</f>
        <v/>
      </c>
      <c r="B727" s="6">
        <f>IFERROR(__xludf.DUMMYFUNCTION("""COMPUTED_VALUE"""),"Resource")</f>
        <v/>
      </c>
      <c r="C727" s="6">
        <f>IFERROR(__xludf.DUMMYFUNCTION("""COMPUTED_VALUE"""),"Read the following text to check if your definition is in line with the scientific definition of the electrical circuit.graasp")</f>
        <v/>
      </c>
      <c r="D727" s="7">
        <f>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
      </c>
      <c r="E727" s="7">
        <f>IFERROR(__xludf.DUMMYFUNCTION("""COMPUTED_VALUE"""),"No artifact embedded")</f>
        <v/>
      </c>
      <c r="F727" s="7" t="n"/>
      <c r="G727" s="8" t="n">
        <v>1</v>
      </c>
      <c r="H727" s="8" t="n">
        <v>0</v>
      </c>
      <c r="I727" s="8" t="n">
        <v>0</v>
      </c>
      <c r="J727" s="8" t="n">
        <v>0</v>
      </c>
      <c r="K727" s="9" t="n">
        <v>1</v>
      </c>
      <c r="L727" s="9" t="n">
        <v>0</v>
      </c>
      <c r="M727" s="9" t="n">
        <v>0</v>
      </c>
      <c r="N727" s="9" t="n">
        <v>0</v>
      </c>
      <c r="O727" s="10" t="n">
        <v>1</v>
      </c>
      <c r="P727" s="10" t="n">
        <v>0</v>
      </c>
      <c r="Q727" s="10" t="n">
        <v>0</v>
      </c>
      <c r="R727" s="10" t="n">
        <v>0</v>
      </c>
      <c r="S727" s="10" t="n">
        <v>0</v>
      </c>
    </row>
    <row r="728" ht="121" customHeight="1">
      <c r="A728" s="6">
        <f>IFERROR(__xludf.DUMMYFUNCTION("""COMPUTED_VALUE"""),"Electrical Circuits (Cooperative Jigsaw Scenario)")</f>
        <v/>
      </c>
      <c r="B728" s="6">
        <f>IFERROR(__xludf.DUMMYFUNCTION("""COMPUTED_VALUE"""),"Resource")</f>
        <v/>
      </c>
      <c r="C728" s="6">
        <f>IFERROR(__xludf.DUMMYFUNCTION("""COMPUTED_VALUE"""),"Types of Electrical Circuits")</f>
        <v/>
      </c>
      <c r="D728" s="7">
        <f>IFERROR(__xludf.DUMMYFUNCTION("""COMPUTED_VALUE"""),"&lt;p&gt;&lt;strong&gt;Step 2&lt;/strong&gt;&lt;/p&gt;&lt;p&gt;Watch the following video to learn more about the type of electrical circuits.&lt;/p&gt;")</f>
        <v/>
      </c>
      <c r="E728" s="7">
        <f>IFERROR(__xludf.DUMMYFUNCTION("""COMPUTED_VALUE"""),"youtube.com: A widely known video-sharing platform where users can watch videos on a vast array of topics, including educational content.")</f>
        <v/>
      </c>
      <c r="F728" s="7" t="n"/>
      <c r="G728" s="8" t="n">
        <v>1</v>
      </c>
      <c r="H728" s="8" t="n">
        <v>0</v>
      </c>
      <c r="I728" s="8" t="n">
        <v>0</v>
      </c>
      <c r="J728" s="8" t="n">
        <v>0</v>
      </c>
      <c r="K728" s="9" t="n">
        <v>1</v>
      </c>
      <c r="L728" s="9" t="n">
        <v>0</v>
      </c>
      <c r="M728" s="9" t="n">
        <v>0</v>
      </c>
      <c r="N728" s="9" t="n">
        <v>0</v>
      </c>
      <c r="O728" s="10" t="n">
        <v>1</v>
      </c>
      <c r="P728" s="10" t="n">
        <v>0</v>
      </c>
      <c r="Q728" s="10" t="n">
        <v>0</v>
      </c>
      <c r="R728" s="10" t="n">
        <v>0</v>
      </c>
      <c r="S728" s="10" t="n">
        <v>0</v>
      </c>
    </row>
    <row r="729" ht="409.5" customHeight="1">
      <c r="A729" s="6">
        <f>IFERROR(__xludf.DUMMYFUNCTION("""COMPUTED_VALUE"""),"Electrical Circuits (Cooperative Jigsaw Scenario)")</f>
        <v/>
      </c>
      <c r="B729" s="6">
        <f>IFERROR(__xludf.DUMMYFUNCTION("""COMPUTED_VALUE"""),"Application")</f>
        <v/>
      </c>
      <c r="C729" s="6">
        <f>IFERROR(__xludf.DUMMYFUNCTION("""COMPUTED_VALUE"""),"Electrical Circuit Lab")</f>
        <v/>
      </c>
      <c r="D729" s="7">
        <f>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
      </c>
      <c r="E729"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29" s="7" t="n"/>
      <c r="G729" s="8" t="n">
        <v>0</v>
      </c>
      <c r="H729" s="8" t="n">
        <v>0</v>
      </c>
      <c r="I729" s="8" t="n">
        <v>0</v>
      </c>
      <c r="J729" s="8" t="n">
        <v>1</v>
      </c>
      <c r="K729" s="9" t="n">
        <v>0</v>
      </c>
      <c r="L729" s="9" t="n">
        <v>0</v>
      </c>
      <c r="M729" s="9" t="n">
        <v>0</v>
      </c>
      <c r="N729" s="9" t="n">
        <v>1</v>
      </c>
      <c r="O729" s="10" t="n">
        <v>1</v>
      </c>
      <c r="P729" s="10" t="n">
        <v>0</v>
      </c>
      <c r="Q729" s="10" t="n">
        <v>1</v>
      </c>
      <c r="R729" s="10" t="n">
        <v>0</v>
      </c>
      <c r="S729" s="10" t="n">
        <v>1</v>
      </c>
    </row>
    <row r="730" ht="145" customHeight="1">
      <c r="A730" s="6">
        <f>IFERROR(__xludf.DUMMYFUNCTION("""COMPUTED_VALUE"""),"Electrical Circuits (Cooperative Jigsaw Scenario)")</f>
        <v/>
      </c>
      <c r="B730" s="6">
        <f>IFERROR(__xludf.DUMMYFUNCTION("""COMPUTED_VALUE"""),"Resource")</f>
        <v/>
      </c>
      <c r="C730" s="6">
        <f>IFERROR(__xludf.DUMMYFUNCTION("""COMPUTED_VALUE"""),"End of the phase.graasp")</f>
        <v/>
      </c>
      <c r="D730" s="7">
        <f>IFERROR(__xludf.DUMMYFUNCTION("""COMPUTED_VALUE"""),"&lt;p style=""text-align: center;""&gt;&lt;strong&gt;If all the members of your group are familiar with the Electrical circuit lab then move to the next phase.&lt;/strong&gt;&lt;/p&gt;")</f>
        <v/>
      </c>
      <c r="E730" s="7">
        <f>IFERROR(__xludf.DUMMYFUNCTION("""COMPUTED_VALUE"""),"No artifact embedded")</f>
        <v/>
      </c>
      <c r="F730" s="7" t="n"/>
      <c r="G730" s="8" t="n">
        <v>0</v>
      </c>
      <c r="H730" s="8" t="n">
        <v>0</v>
      </c>
      <c r="I730" s="8" t="n">
        <v>0</v>
      </c>
      <c r="J730" s="8" t="n">
        <v>0</v>
      </c>
      <c r="K730" s="9" t="n">
        <v>0</v>
      </c>
      <c r="L730" s="9" t="n">
        <v>0</v>
      </c>
      <c r="M730" s="9" t="n">
        <v>0</v>
      </c>
      <c r="N730" s="9" t="n">
        <v>0</v>
      </c>
      <c r="O730" s="10" t="n">
        <v>0</v>
      </c>
      <c r="P730" s="10" t="n">
        <v>0</v>
      </c>
      <c r="Q730" s="10" t="n">
        <v>0</v>
      </c>
      <c r="R730" s="10" t="n">
        <v>0</v>
      </c>
      <c r="S730" s="10" t="n">
        <v>0</v>
      </c>
    </row>
    <row r="731" ht="409.5" customHeight="1">
      <c r="A731" s="6">
        <f>IFERROR(__xludf.DUMMYFUNCTION("""COMPUTED_VALUE"""),"Electrical Circuits (Cooperative Jigsaw Scenario)")</f>
        <v/>
      </c>
      <c r="B731" s="6">
        <f>IFERROR(__xludf.DUMMYFUNCTION("""COMPUTED_VALUE"""),"Space")</f>
        <v/>
      </c>
      <c r="C731" s="6">
        <f>IFERROR(__xludf.DUMMYFUNCTION("""COMPUTED_VALUE"""),"Hypothesis")</f>
        <v/>
      </c>
      <c r="D731" s="7">
        <f>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
      </c>
      <c r="E731" s="7">
        <f>IFERROR(__xludf.DUMMYFUNCTION("""COMPUTED_VALUE"""),"No artifact embedded")</f>
        <v/>
      </c>
      <c r="F731" s="7" t="n"/>
      <c r="G731" s="8" t="n">
        <v>0</v>
      </c>
      <c r="H731" s="8" t="n">
        <v>0</v>
      </c>
      <c r="I731" s="8" t="n">
        <v>0</v>
      </c>
      <c r="J731" s="8" t="n">
        <v>1</v>
      </c>
      <c r="K731" s="9" t="n">
        <v>0</v>
      </c>
      <c r="L731" s="9" t="n">
        <v>0</v>
      </c>
      <c r="M731" s="9" t="n">
        <v>0</v>
      </c>
      <c r="N731" s="9" t="n">
        <v>1</v>
      </c>
      <c r="O731" s="10" t="n">
        <v>0</v>
      </c>
      <c r="P731" s="10" t="n">
        <v>1</v>
      </c>
      <c r="Q731" s="10" t="n">
        <v>1</v>
      </c>
      <c r="R731" s="10" t="n">
        <v>0</v>
      </c>
      <c r="S731" s="10" t="n">
        <v>1</v>
      </c>
    </row>
    <row r="732" ht="362" customHeight="1">
      <c r="A732" s="6">
        <f>IFERROR(__xludf.DUMMYFUNCTION("""COMPUTED_VALUE"""),"Electrical Circuits (Cooperative Jigsaw Scenario)")</f>
        <v/>
      </c>
      <c r="B732" s="6">
        <f>IFERROR(__xludf.DUMMYFUNCTION("""COMPUTED_VALUE"""),"Application")</f>
        <v/>
      </c>
      <c r="C732" s="6">
        <f>IFERROR(__xludf.DUMMYFUNCTION("""COMPUTED_VALUE"""),"Input Box")</f>
        <v/>
      </c>
      <c r="D732" s="7">
        <f>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
      </c>
      <c r="E7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32" s="7" t="n"/>
      <c r="G732" s="8" t="n">
        <v>0</v>
      </c>
      <c r="H732" s="8" t="n">
        <v>0</v>
      </c>
      <c r="I732" s="8" t="n">
        <v>0</v>
      </c>
      <c r="J732" s="8" t="n">
        <v>1</v>
      </c>
      <c r="K732" s="9" t="n">
        <v>0</v>
      </c>
      <c r="L732" s="9" t="n">
        <v>0</v>
      </c>
      <c r="M732" s="9" t="n">
        <v>0</v>
      </c>
      <c r="N732" s="9" t="n">
        <v>1</v>
      </c>
      <c r="O732" s="10" t="n">
        <v>0</v>
      </c>
      <c r="P732" s="10" t="n">
        <v>1</v>
      </c>
      <c r="Q732" s="10" t="n">
        <v>0</v>
      </c>
      <c r="R732" s="10" t="n">
        <v>0</v>
      </c>
      <c r="S732" s="10" t="n">
        <v>1</v>
      </c>
    </row>
    <row r="733" ht="409.5" customHeight="1">
      <c r="A733" s="6">
        <f>IFERROR(__xludf.DUMMYFUNCTION("""COMPUTED_VALUE"""),"Electrical Circuits (Cooperative Jigsaw Scenario)")</f>
        <v/>
      </c>
      <c r="B733" s="6">
        <f>IFERROR(__xludf.DUMMYFUNCTION("""COMPUTED_VALUE"""),"Resource")</f>
        <v/>
      </c>
      <c r="C733" s="6">
        <f>IFERROR(__xludf.DUMMYFUNCTION("""COMPUTED_VALUE"""),"Table.graasp")</f>
        <v/>
      </c>
      <c r="D733" s="7">
        <f>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
      </c>
      <c r="E733" s="7">
        <f>IFERROR(__xludf.DUMMYFUNCTION("""COMPUTED_VALUE"""),"No artifact embedded")</f>
        <v/>
      </c>
      <c r="F733" s="7" t="n"/>
      <c r="G733" s="8" t="n">
        <v>0</v>
      </c>
      <c r="H733" s="8" t="n">
        <v>0</v>
      </c>
      <c r="I733" s="8" t="n">
        <v>0</v>
      </c>
      <c r="J733" s="8" t="n">
        <v>1</v>
      </c>
      <c r="K733" s="9" t="n">
        <v>0</v>
      </c>
      <c r="L733" s="9" t="n">
        <v>0</v>
      </c>
      <c r="M733" s="9" t="n">
        <v>1</v>
      </c>
      <c r="N733" s="9" t="n">
        <v>0</v>
      </c>
      <c r="O733" s="10" t="n">
        <v>0</v>
      </c>
      <c r="P733" s="10" t="n">
        <v>0</v>
      </c>
      <c r="Q733" s="10" t="n">
        <v>1</v>
      </c>
      <c r="R733" s="10" t="n">
        <v>0</v>
      </c>
      <c r="S733" s="10" t="n">
        <v>1</v>
      </c>
    </row>
    <row r="734" ht="409.5" customHeight="1">
      <c r="A734" s="6">
        <f>IFERROR(__xludf.DUMMYFUNCTION("""COMPUTED_VALUE"""),"Electrical Circuits (Cooperative Jigsaw Scenario)")</f>
        <v/>
      </c>
      <c r="B734" s="6">
        <f>IFERROR(__xludf.DUMMYFUNCTION("""COMPUTED_VALUE"""),"Resource")</f>
        <v/>
      </c>
      <c r="C734" s="6">
        <f>IFERROR(__xludf.DUMMYFUNCTION("""COMPUTED_VALUE"""),"Step 4.graasp")</f>
        <v/>
      </c>
      <c r="D734" s="7">
        <f>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
      </c>
      <c r="E734" s="7">
        <f>IFERROR(__xludf.DUMMYFUNCTION("""COMPUTED_VALUE"""),"No artifact embedded")</f>
        <v/>
      </c>
      <c r="F734" s="7" t="n"/>
      <c r="G734" s="8" t="n">
        <v>0</v>
      </c>
      <c r="H734" s="8" t="n">
        <v>0</v>
      </c>
      <c r="I734" s="8" t="n">
        <v>0</v>
      </c>
      <c r="J734" s="8" t="n">
        <v>1</v>
      </c>
      <c r="K734" s="9" t="n">
        <v>0</v>
      </c>
      <c r="L734" s="9" t="n">
        <v>0</v>
      </c>
      <c r="M734" s="9" t="n">
        <v>0</v>
      </c>
      <c r="N734" s="9" t="n">
        <v>1</v>
      </c>
      <c r="O734" s="10" t="n">
        <v>0</v>
      </c>
      <c r="P734" s="10" t="n">
        <v>1</v>
      </c>
      <c r="Q734" s="10" t="n">
        <v>0</v>
      </c>
      <c r="R734" s="10" t="n">
        <v>0</v>
      </c>
      <c r="S734" s="10" t="n">
        <v>1</v>
      </c>
    </row>
    <row r="735" ht="409.5" customHeight="1">
      <c r="A735" s="6">
        <f>IFERROR(__xludf.DUMMYFUNCTION("""COMPUTED_VALUE"""),"Electrical Circuits (Cooperative Jigsaw Scenario)")</f>
        <v/>
      </c>
      <c r="B735" s="6">
        <f>IFERROR(__xludf.DUMMYFUNCTION("""COMPUTED_VALUE"""),"Resource")</f>
        <v/>
      </c>
      <c r="C735" s="6">
        <f>IFERROR(__xludf.DUMMYFUNCTION("""COMPUTED_VALUE"""),"Help.graasp")</f>
        <v/>
      </c>
      <c r="D735" s="7">
        <f>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
      </c>
      <c r="E735" s="7">
        <f>IFERROR(__xludf.DUMMYFUNCTION("""COMPUTED_VALUE"""),"No artifact embedded")</f>
        <v/>
      </c>
      <c r="F735" s="7" t="n"/>
      <c r="G735" s="8" t="n">
        <v>1</v>
      </c>
      <c r="H735" s="8" t="n">
        <v>0</v>
      </c>
      <c r="I735" s="8" t="n">
        <v>0</v>
      </c>
      <c r="J735" s="8" t="n">
        <v>0</v>
      </c>
      <c r="K735" s="9" t="n">
        <v>1</v>
      </c>
      <c r="L735" s="9" t="n">
        <v>0</v>
      </c>
      <c r="M735" s="9" t="n">
        <v>0</v>
      </c>
      <c r="N735" s="9" t="n">
        <v>0</v>
      </c>
      <c r="O735" s="10" t="n">
        <v>1</v>
      </c>
      <c r="P735" s="10" t="n">
        <v>1</v>
      </c>
      <c r="Q735" s="10" t="n">
        <v>0</v>
      </c>
      <c r="R735" s="10" t="n">
        <v>0</v>
      </c>
      <c r="S735" s="10" t="n">
        <v>0</v>
      </c>
    </row>
    <row r="736" ht="409.5" customHeight="1">
      <c r="A736" s="6">
        <f>IFERROR(__xludf.DUMMYFUNCTION("""COMPUTED_VALUE"""),"Electrical Circuits (Cooperative Jigsaw Scenario)")</f>
        <v/>
      </c>
      <c r="B736" s="6">
        <f>IFERROR(__xludf.DUMMYFUNCTION("""COMPUTED_VALUE"""),"Application")</f>
        <v/>
      </c>
      <c r="C736" s="6">
        <f>IFERROR(__xludf.DUMMYFUNCTION("""COMPUTED_VALUE"""),"Hypothesis Scratchpad")</f>
        <v/>
      </c>
      <c r="D736" s="7">
        <f>IFERROR(__xludf.DUMMYFUNCTION("""COMPUTED_VALUE"""),"No task description")</f>
        <v/>
      </c>
      <c r="E73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36" s="7" t="n"/>
      <c r="G736" s="8" t="n">
        <v>0</v>
      </c>
      <c r="H736" s="8" t="n">
        <v>0</v>
      </c>
      <c r="I736" s="8" t="n">
        <v>0</v>
      </c>
      <c r="J736" s="8" t="n">
        <v>1</v>
      </c>
      <c r="K736" s="9" t="n">
        <v>0</v>
      </c>
      <c r="L736" s="9" t="n">
        <v>0</v>
      </c>
      <c r="M736" s="9" t="n">
        <v>0</v>
      </c>
      <c r="N736" s="9" t="n">
        <v>1</v>
      </c>
      <c r="O736" s="10" t="n">
        <v>0</v>
      </c>
      <c r="P736" s="10" t="n">
        <v>1</v>
      </c>
      <c r="Q736" s="10" t="n">
        <v>0</v>
      </c>
      <c r="R736" s="10" t="n">
        <v>0</v>
      </c>
      <c r="S736" s="10" t="n">
        <v>1</v>
      </c>
    </row>
    <row r="737" ht="157" customHeight="1">
      <c r="A737" s="6">
        <f>IFERROR(__xludf.DUMMYFUNCTION("""COMPUTED_VALUE"""),"Electrical Circuits (Cooperative Jigsaw Scenario)")</f>
        <v/>
      </c>
      <c r="B737" s="6">
        <f>IFERROR(__xludf.DUMMYFUNCTION("""COMPUTED_VALUE"""),"Resource")</f>
        <v/>
      </c>
      <c r="C737" s="6">
        <f>IFERROR(__xludf.DUMMYFUNCTION("""COMPUTED_VALUE"""),"End of the phase.graasp")</f>
        <v/>
      </c>
      <c r="D737" s="7">
        <f>IFERROR(__xludf.DUMMYFUNCTION("""COMPUTED_VALUE"""),"&lt;p style=""text-align: center;""&gt;&lt;strong&gt;If you formulated your expert group hypothesis, move to the next phase to continue your expert group work.&lt;/strong&gt;&lt;/p&gt;")</f>
        <v/>
      </c>
      <c r="E737" s="7">
        <f>IFERROR(__xludf.DUMMYFUNCTION("""COMPUTED_VALUE"""),"No artifact embedded")</f>
        <v/>
      </c>
      <c r="F737" s="7" t="n"/>
      <c r="G737" s="8" t="n">
        <v>0</v>
      </c>
      <c r="H737" s="8" t="n">
        <v>0</v>
      </c>
      <c r="I737" s="8" t="n">
        <v>0</v>
      </c>
      <c r="J737" s="8" t="n">
        <v>0</v>
      </c>
      <c r="K737" s="9" t="n">
        <v>0</v>
      </c>
      <c r="L737" s="9" t="n">
        <v>0</v>
      </c>
      <c r="M737" s="9" t="n">
        <v>0</v>
      </c>
      <c r="N737" s="9" t="n">
        <v>0</v>
      </c>
      <c r="O737" s="10" t="n">
        <v>0</v>
      </c>
      <c r="P737" s="10" t="n">
        <v>0</v>
      </c>
      <c r="Q737" s="10" t="n">
        <v>0</v>
      </c>
      <c r="R737" s="10" t="n">
        <v>0</v>
      </c>
      <c r="S737" s="10" t="n">
        <v>0</v>
      </c>
    </row>
    <row r="738" ht="263" customHeight="1">
      <c r="A738" s="6">
        <f>IFERROR(__xludf.DUMMYFUNCTION("""COMPUTED_VALUE"""),"Electrical Circuits (Cooperative Jigsaw Scenario)")</f>
        <v/>
      </c>
      <c r="B738" s="6">
        <f>IFERROR(__xludf.DUMMYFUNCTION("""COMPUTED_VALUE"""),"Space")</f>
        <v/>
      </c>
      <c r="C738" s="6">
        <f>IFERROR(__xludf.DUMMYFUNCTION("""COMPUTED_VALUE"""),"Experimentation")</f>
        <v/>
      </c>
      <c r="D738" s="7">
        <f>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
      </c>
      <c r="E738" s="7">
        <f>IFERROR(__xludf.DUMMYFUNCTION("""COMPUTED_VALUE"""),"No artifact embedded")</f>
        <v/>
      </c>
      <c r="F738" s="7" t="n"/>
      <c r="G738" s="8" t="n">
        <v>0</v>
      </c>
      <c r="H738" s="8" t="n">
        <v>0</v>
      </c>
      <c r="I738" s="8" t="n">
        <v>0</v>
      </c>
      <c r="J738" s="8" t="n">
        <v>1</v>
      </c>
      <c r="K738" s="9" t="n">
        <v>0</v>
      </c>
      <c r="L738" s="9" t="n">
        <v>0</v>
      </c>
      <c r="M738" s="9" t="n">
        <v>1</v>
      </c>
      <c r="N738" s="9" t="n">
        <v>0</v>
      </c>
      <c r="O738" s="10" t="n">
        <v>0</v>
      </c>
      <c r="P738" s="10" t="n">
        <v>0</v>
      </c>
      <c r="Q738" s="10" t="n">
        <v>1</v>
      </c>
      <c r="R738" s="10" t="n">
        <v>0</v>
      </c>
      <c r="S738" s="10" t="n">
        <v>1</v>
      </c>
    </row>
    <row r="739" ht="351" customHeight="1">
      <c r="A739" s="6">
        <f>IFERROR(__xludf.DUMMYFUNCTION("""COMPUTED_VALUE"""),"Electrical Circuits (Cooperative Jigsaw Scenario)")</f>
        <v/>
      </c>
      <c r="B739" s="6">
        <f>IFERROR(__xludf.DUMMYFUNCTION("""COMPUTED_VALUE"""),"Application")</f>
        <v/>
      </c>
      <c r="C739" s="6">
        <f>IFERROR(__xludf.DUMMYFUNCTION("""COMPUTED_VALUE"""),"Viewer")</f>
        <v/>
      </c>
      <c r="D739" s="7">
        <f>IFERROR(__xludf.DUMMYFUNCTION("""COMPUTED_VALUE"""),"&lt;p&gt;&lt;strong&gt;Step 1&lt;/strong&gt;&lt;/p&gt;&lt;p&gt;Below you can see your expert group hypothesis. Discuss with the members of your expert group about the experiment you need to carry out in order to test your hypothesis.&lt;/p&gt;")</f>
        <v/>
      </c>
      <c r="E739"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739" s="7" t="n"/>
      <c r="G739" s="8" t="n">
        <v>0</v>
      </c>
      <c r="H739" s="8" t="n">
        <v>0</v>
      </c>
      <c r="I739" s="8" t="n">
        <v>0</v>
      </c>
      <c r="J739" s="8" t="n">
        <v>1</v>
      </c>
      <c r="K739" s="9" t="n">
        <v>0</v>
      </c>
      <c r="L739" s="9" t="n">
        <v>0</v>
      </c>
      <c r="M739" s="9" t="n">
        <v>1</v>
      </c>
      <c r="N739" s="9" t="n">
        <v>0</v>
      </c>
      <c r="O739" s="10" t="n">
        <v>0</v>
      </c>
      <c r="P739" s="10" t="n">
        <v>0</v>
      </c>
      <c r="Q739" s="10" t="n">
        <v>1</v>
      </c>
      <c r="R739" s="10" t="n">
        <v>0</v>
      </c>
      <c r="S739" s="10" t="n">
        <v>1</v>
      </c>
    </row>
    <row r="740" ht="409.5" customHeight="1">
      <c r="A740" s="6">
        <f>IFERROR(__xludf.DUMMYFUNCTION("""COMPUTED_VALUE"""),"Electrical Circuits (Cooperative Jigsaw Scenario)")</f>
        <v/>
      </c>
      <c r="B740" s="6">
        <f>IFERROR(__xludf.DUMMYFUNCTION("""COMPUTED_VALUE"""),"Application")</f>
        <v/>
      </c>
      <c r="C740" s="6">
        <f>IFERROR(__xludf.DUMMYFUNCTION("""COMPUTED_VALUE"""),"Experiment Design Tool")</f>
        <v/>
      </c>
      <c r="D740" s="7">
        <f>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
      </c>
      <c r="E740"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740" s="7" t="n"/>
      <c r="G740" s="8" t="n">
        <v>0</v>
      </c>
      <c r="H740" s="8" t="n">
        <v>0</v>
      </c>
      <c r="I740" s="8" t="n">
        <v>0</v>
      </c>
      <c r="J740" s="8" t="n">
        <v>1</v>
      </c>
      <c r="K740" s="9" t="n">
        <v>0</v>
      </c>
      <c r="L740" s="9" t="n">
        <v>0</v>
      </c>
      <c r="M740" s="9" t="n">
        <v>0</v>
      </c>
      <c r="N740" s="9" t="n">
        <v>1</v>
      </c>
      <c r="O740" s="10" t="n">
        <v>0</v>
      </c>
      <c r="P740" s="10" t="n">
        <v>0</v>
      </c>
      <c r="Q740" s="10" t="n">
        <v>1</v>
      </c>
      <c r="R740" s="10" t="n">
        <v>0</v>
      </c>
      <c r="S740" s="10" t="n">
        <v>1</v>
      </c>
    </row>
    <row r="741" ht="409.5" customHeight="1">
      <c r="A741" s="6">
        <f>IFERROR(__xludf.DUMMYFUNCTION("""COMPUTED_VALUE"""),"Electrical Circuits (Cooperative Jigsaw Scenario)")</f>
        <v/>
      </c>
      <c r="B741" s="6">
        <f>IFERROR(__xludf.DUMMYFUNCTION("""COMPUTED_VALUE"""),"Application")</f>
        <v/>
      </c>
      <c r="C741" s="6">
        <f>IFERROR(__xludf.DUMMYFUNCTION("""COMPUTED_VALUE"""),"Electrical Circuit Lab")</f>
        <v/>
      </c>
      <c r="D741" s="7">
        <f>IFERROR(__xludf.DUMMYFUNCTION("""COMPUTED_VALUE"""),"&lt;p&gt;&lt;strong&gt;Step 3&lt;/strong&gt;&lt;/p&gt;&lt;p&gt;Once you complete the design of your experiment use the virtual lab. Meanwhile, discuss with the experts about your observations and measurements.&lt;/p&gt;")</f>
        <v/>
      </c>
      <c r="E741"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41" s="7" t="n"/>
      <c r="G741" s="8" t="n">
        <v>0</v>
      </c>
      <c r="H741" s="8" t="n">
        <v>0</v>
      </c>
      <c r="I741" s="8" t="n">
        <v>0</v>
      </c>
      <c r="J741" s="8" t="n">
        <v>1</v>
      </c>
      <c r="K741" s="9" t="n">
        <v>0</v>
      </c>
      <c r="L741" s="9" t="n">
        <v>0</v>
      </c>
      <c r="M741" s="9" t="n">
        <v>1</v>
      </c>
      <c r="N741" s="9" t="n">
        <v>0</v>
      </c>
      <c r="O741" s="10" t="n">
        <v>0</v>
      </c>
      <c r="P741" s="10" t="n">
        <v>0</v>
      </c>
      <c r="Q741" s="10" t="n">
        <v>1</v>
      </c>
      <c r="R741" s="10" t="n">
        <v>0</v>
      </c>
      <c r="S741" s="10" t="n">
        <v>1</v>
      </c>
    </row>
    <row r="742" ht="229" customHeight="1">
      <c r="A742" s="6">
        <f>IFERROR(__xludf.DUMMYFUNCTION("""COMPUTED_VALUE"""),"Electrical Circuits (Cooperative Jigsaw Scenario)")</f>
        <v/>
      </c>
      <c r="B742" s="6">
        <f>IFERROR(__xludf.DUMMYFUNCTION("""COMPUTED_VALUE"""),"Resource")</f>
        <v/>
      </c>
      <c r="C742" s="6">
        <f>IFERROR(__xludf.DUMMYFUNCTION("""COMPUTED_VALUE"""),"End of phase.graasp")</f>
        <v/>
      </c>
      <c r="D742" s="7">
        <f>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
      </c>
      <c r="E742" s="7">
        <f>IFERROR(__xludf.DUMMYFUNCTION("""COMPUTED_VALUE"""),"No artifact embedded")</f>
        <v/>
      </c>
      <c r="F742" s="7" t="n"/>
      <c r="G742" s="8" t="n">
        <v>0</v>
      </c>
      <c r="H742" s="8" t="n">
        <v>0</v>
      </c>
      <c r="I742" s="8" t="n">
        <v>0</v>
      </c>
      <c r="J742" s="8" t="n">
        <v>1</v>
      </c>
      <c r="K742" s="9" t="n">
        <v>0</v>
      </c>
      <c r="L742" s="9" t="n">
        <v>0</v>
      </c>
      <c r="M742" s="9" t="n">
        <v>0</v>
      </c>
      <c r="N742" s="9" t="n">
        <v>1</v>
      </c>
      <c r="O742" s="10" t="n">
        <v>0</v>
      </c>
      <c r="P742" s="10" t="n">
        <v>0</v>
      </c>
      <c r="Q742" s="10" t="n">
        <v>1</v>
      </c>
      <c r="R742" s="10" t="n">
        <v>0</v>
      </c>
      <c r="S742" s="10" t="n">
        <v>1</v>
      </c>
    </row>
    <row r="743" ht="205" customHeight="1">
      <c r="A743" s="6">
        <f>IFERROR(__xludf.DUMMYFUNCTION("""COMPUTED_VALUE"""),"Electrical Circuits (Cooperative Jigsaw Scenario)")</f>
        <v/>
      </c>
      <c r="B743" s="6">
        <f>IFERROR(__xludf.DUMMYFUNCTION("""COMPUTED_VALUE"""),"Space")</f>
        <v/>
      </c>
      <c r="C743" s="6">
        <f>IFERROR(__xludf.DUMMYFUNCTION("""COMPUTED_VALUE"""),"Data Interpretation")</f>
        <v/>
      </c>
      <c r="D743" s="7">
        <f>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
      </c>
      <c r="E743" s="7">
        <f>IFERROR(__xludf.DUMMYFUNCTION("""COMPUTED_VALUE"""),"No artifact embedded")</f>
        <v/>
      </c>
      <c r="F743" s="7" t="n"/>
      <c r="G743" s="8" t="n">
        <v>0</v>
      </c>
      <c r="H743" s="8" t="n">
        <v>0</v>
      </c>
      <c r="I743" s="8" t="n">
        <v>0</v>
      </c>
      <c r="J743" s="8" t="n">
        <v>1</v>
      </c>
      <c r="K743" s="9" t="n">
        <v>0</v>
      </c>
      <c r="L743" s="9" t="n">
        <v>0</v>
      </c>
      <c r="M743" s="9" t="n">
        <v>0</v>
      </c>
      <c r="N743" s="9" t="n">
        <v>1</v>
      </c>
      <c r="O743" s="10" t="n">
        <v>0</v>
      </c>
      <c r="P743" s="10" t="n">
        <v>0</v>
      </c>
      <c r="Q743" s="10" t="n">
        <v>1</v>
      </c>
      <c r="R743" s="10" t="n">
        <v>0</v>
      </c>
      <c r="S743" s="10" t="n">
        <v>1</v>
      </c>
    </row>
    <row r="744" ht="409.5" customHeight="1">
      <c r="A744" s="6">
        <f>IFERROR(__xludf.DUMMYFUNCTION("""COMPUTED_VALUE"""),"Electrical Circuits (Cooperative Jigsaw Scenario)")</f>
        <v/>
      </c>
      <c r="B744" s="6">
        <f>IFERROR(__xludf.DUMMYFUNCTION("""COMPUTED_VALUE"""),"Application")</f>
        <v/>
      </c>
      <c r="C744" s="6">
        <f>IFERROR(__xludf.DUMMYFUNCTION("""COMPUTED_VALUE"""),"Data Viewer")</f>
        <v/>
      </c>
      <c r="D744" s="7">
        <f>IFERROR(__xludf.DUMMYFUNCTION("""COMPUTED_VALUE"""),"&lt;p&gt;&lt;strong&gt;Step 1&lt;/strong&gt;&lt;/p&gt;&lt;p&gt;Load your data in the tool below and drag and drop the dependent variable in the vertical axis and the independent variable in the horizontal axis to create a line chart.&lt;/p&gt;")</f>
        <v/>
      </c>
      <c r="E744"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744" s="7" t="n"/>
      <c r="G744" s="8" t="n">
        <v>0</v>
      </c>
      <c r="H744" s="8" t="n">
        <v>0</v>
      </c>
      <c r="I744" s="8" t="n">
        <v>0</v>
      </c>
      <c r="J744" s="8" t="n">
        <v>1</v>
      </c>
      <c r="K744" s="9" t="n">
        <v>0</v>
      </c>
      <c r="L744" s="9" t="n">
        <v>0</v>
      </c>
      <c r="M744" s="9" t="n">
        <v>0</v>
      </c>
      <c r="N744" s="9" t="n">
        <v>1</v>
      </c>
      <c r="O744" s="10" t="n">
        <v>0</v>
      </c>
      <c r="P744" s="10" t="n">
        <v>0</v>
      </c>
      <c r="Q744" s="10" t="n">
        <v>1</v>
      </c>
      <c r="R744" s="10" t="n">
        <v>0</v>
      </c>
      <c r="S744" s="10" t="n">
        <v>1</v>
      </c>
    </row>
    <row r="745" ht="193" customHeight="1">
      <c r="A745" s="6">
        <f>IFERROR(__xludf.DUMMYFUNCTION("""COMPUTED_VALUE"""),"Electrical Circuits (Cooperative Jigsaw Scenario)")</f>
        <v/>
      </c>
      <c r="B745" s="6">
        <f>IFERROR(__xludf.DUMMYFUNCTION("""COMPUTED_VALUE"""),"Resource")</f>
        <v/>
      </c>
      <c r="C745" s="6">
        <f>IFERROR(__xludf.DUMMYFUNCTION("""COMPUTED_VALUE"""),"Step 2.graasp")</f>
        <v/>
      </c>
      <c r="D745" s="7">
        <f>IFERROR(__xludf.DUMMYFUNCTION("""COMPUTED_VALUE"""),"&lt;p&gt;&lt;strong&gt;Step 2&lt;/strong&gt;&lt;/p&gt;&lt;p&gt;Use the communication tool to discuss about the relation between the two variables, the dependent and the independent. What will happen if the independent variable continues to increase?&lt;/p&gt;")</f>
        <v/>
      </c>
      <c r="E745" s="7">
        <f>IFERROR(__xludf.DUMMYFUNCTION("""COMPUTED_VALUE"""),"No artifact embedded")</f>
        <v/>
      </c>
      <c r="F745" s="7" t="n"/>
      <c r="G745" s="8" t="n">
        <v>0</v>
      </c>
      <c r="H745" s="8" t="n">
        <v>0</v>
      </c>
      <c r="I745" s="8" t="n">
        <v>0</v>
      </c>
      <c r="J745" s="8" t="n">
        <v>1</v>
      </c>
      <c r="K745" s="9" t="n">
        <v>0</v>
      </c>
      <c r="L745" s="9" t="n">
        <v>0</v>
      </c>
      <c r="M745" s="9" t="n">
        <v>1</v>
      </c>
      <c r="N745" s="9" t="n">
        <v>0</v>
      </c>
      <c r="O745" s="10" t="n">
        <v>0</v>
      </c>
      <c r="P745" s="10" t="n">
        <v>0</v>
      </c>
      <c r="Q745" s="10" t="n">
        <v>1</v>
      </c>
      <c r="R745" s="10" t="n">
        <v>0</v>
      </c>
      <c r="S745" s="10" t="n">
        <v>1</v>
      </c>
    </row>
    <row r="746" ht="145" customHeight="1">
      <c r="A746" s="6">
        <f>IFERROR(__xludf.DUMMYFUNCTION("""COMPUTED_VALUE"""),"Electrical Circuits (Cooperative Jigsaw Scenario)")</f>
        <v/>
      </c>
      <c r="B746" s="6">
        <f>IFERROR(__xludf.DUMMYFUNCTION("""COMPUTED_VALUE"""),"Resource")</f>
        <v/>
      </c>
      <c r="C746" s="6">
        <f>IFERROR(__xludf.DUMMYFUNCTION("""COMPUTED_VALUE"""),"End.graasp")</f>
        <v/>
      </c>
      <c r="D746" s="7">
        <f>IFERROR(__xludf.DUMMYFUNCTION("""COMPUTED_VALUE"""),"&lt;p style=""text-align: center;""&gt;&lt;strong&gt;If the relation between the variables that you have investigated is clear, you can move to the next phase.&lt;/strong&gt;&lt;/p&gt;")</f>
        <v/>
      </c>
      <c r="E746" s="7">
        <f>IFERROR(__xludf.DUMMYFUNCTION("""COMPUTED_VALUE"""),"No artifact embedded")</f>
        <v/>
      </c>
      <c r="F746" s="7" t="n"/>
      <c r="G746" s="8" t="n">
        <v>0</v>
      </c>
      <c r="H746" s="8" t="n">
        <v>0</v>
      </c>
      <c r="I746" s="8" t="n">
        <v>0</v>
      </c>
      <c r="J746" s="8" t="n">
        <v>1</v>
      </c>
      <c r="K746" s="9" t="n">
        <v>0</v>
      </c>
      <c r="L746" s="9" t="n">
        <v>0</v>
      </c>
      <c r="M746" s="9" t="n">
        <v>1</v>
      </c>
      <c r="N746" s="9" t="n">
        <v>0</v>
      </c>
      <c r="O746" s="10" t="n">
        <v>0</v>
      </c>
      <c r="P746" s="10" t="n">
        <v>0</v>
      </c>
      <c r="Q746" s="10" t="n">
        <v>1</v>
      </c>
      <c r="R746" s="10" t="n">
        <v>0</v>
      </c>
      <c r="S746" s="10" t="n">
        <v>1</v>
      </c>
    </row>
    <row r="747" ht="133" customHeight="1">
      <c r="A747" s="6">
        <f>IFERROR(__xludf.DUMMYFUNCTION("""COMPUTED_VALUE"""),"Electrical Circuits (Cooperative Jigsaw Scenario)")</f>
        <v/>
      </c>
      <c r="B747" s="6">
        <f>IFERROR(__xludf.DUMMYFUNCTION("""COMPUTED_VALUE"""),"Space")</f>
        <v/>
      </c>
      <c r="C747" s="6">
        <f>IFERROR(__xludf.DUMMYFUNCTION("""COMPUTED_VALUE"""),"Conclusion")</f>
        <v/>
      </c>
      <c r="D747" s="7">
        <f>IFERROR(__xludf.DUMMYFUNCTION("""COMPUTED_VALUE"""),"&lt;p&gt;Dear students, your expert group task is coming to the end. The last thing that you have to prepare is your &lt;strong&gt;expert’s conclusion&lt;/strong&gt;.&lt;/p&gt;")</f>
        <v/>
      </c>
      <c r="E747" s="7">
        <f>IFERROR(__xludf.DUMMYFUNCTION("""COMPUTED_VALUE"""),"No artifact embedded")</f>
        <v/>
      </c>
      <c r="F747" s="7" t="n"/>
      <c r="G747" s="8" t="n">
        <v>0</v>
      </c>
      <c r="H747" s="8" t="n">
        <v>0</v>
      </c>
      <c r="I747" s="8" t="n">
        <v>0</v>
      </c>
      <c r="J747" s="8" t="n">
        <v>1</v>
      </c>
      <c r="K747" s="9" t="n">
        <v>0</v>
      </c>
      <c r="L747" s="9" t="n">
        <v>0</v>
      </c>
      <c r="M747" s="9" t="n">
        <v>0</v>
      </c>
      <c r="N747" s="9" t="n">
        <v>1</v>
      </c>
      <c r="O747" s="10" t="n">
        <v>0</v>
      </c>
      <c r="P747" s="10" t="n">
        <v>0</v>
      </c>
      <c r="Q747" s="10" t="n">
        <v>0</v>
      </c>
      <c r="R747" s="10" t="n">
        <v>1</v>
      </c>
      <c r="S747" s="10" t="n">
        <v>1</v>
      </c>
    </row>
    <row r="748" ht="409.5" customHeight="1">
      <c r="A748" s="6">
        <f>IFERROR(__xludf.DUMMYFUNCTION("""COMPUTED_VALUE"""),"Electrical Circuits (Cooperative Jigsaw Scenario)")</f>
        <v/>
      </c>
      <c r="B748" s="6">
        <f>IFERROR(__xludf.DUMMYFUNCTION("""COMPUTED_VALUE"""),"Application")</f>
        <v/>
      </c>
      <c r="C748" s="6">
        <f>IFERROR(__xludf.DUMMYFUNCTION("""COMPUTED_VALUE"""),"Conclusion Tool")</f>
        <v/>
      </c>
      <c r="D748" s="7">
        <f>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
      </c>
      <c r="E748"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48" s="7" t="n"/>
      <c r="G748" s="8" t="n">
        <v>0</v>
      </c>
      <c r="H748" s="8" t="n">
        <v>0</v>
      </c>
      <c r="I748" s="8" t="n">
        <v>0</v>
      </c>
      <c r="J748" s="8" t="n">
        <v>1</v>
      </c>
      <c r="K748" s="9" t="n">
        <v>0</v>
      </c>
      <c r="L748" s="9" t="n">
        <v>0</v>
      </c>
      <c r="M748" s="9" t="n">
        <v>0</v>
      </c>
      <c r="N748" s="9" t="n">
        <v>1</v>
      </c>
      <c r="O748" s="10" t="n">
        <v>0</v>
      </c>
      <c r="P748" s="10" t="n">
        <v>0</v>
      </c>
      <c r="Q748" s="10" t="n">
        <v>0</v>
      </c>
      <c r="R748" s="10" t="n">
        <v>1</v>
      </c>
      <c r="S748" s="10" t="n">
        <v>1</v>
      </c>
    </row>
    <row r="749" ht="181" customHeight="1">
      <c r="A749" s="6">
        <f>IFERROR(__xludf.DUMMYFUNCTION("""COMPUTED_VALUE"""),"Electrical Circuits (Cooperative Jigsaw Scenario)")</f>
        <v/>
      </c>
      <c r="B749" s="6">
        <f>IFERROR(__xludf.DUMMYFUNCTION("""COMPUTED_VALUE"""),"Resource")</f>
        <v/>
      </c>
      <c r="C749" s="6">
        <f>IFERROR(__xludf.DUMMYFUNCTION("""COMPUTED_VALUE"""),"Step 2.graasp")</f>
        <v/>
      </c>
      <c r="D749" s="7">
        <f>IFERROR(__xludf.DUMMYFUNCTION("""COMPUTED_VALUE"""),"&lt;p&gt;&lt;strong&gt;Step 2 &lt;/strong&gt;&lt;/p&gt;&lt;p&gt;It is time to thank your peers for your expert work! Moreover, if any of you have any doubt about the work done, this is the perfect time to discuss it in the communication tool. &lt;/p&gt;")</f>
        <v/>
      </c>
      <c r="E749" s="7">
        <f>IFERROR(__xludf.DUMMYFUNCTION("""COMPUTED_VALUE"""),"No artifact embedded")</f>
        <v/>
      </c>
      <c r="F749" s="7" t="n"/>
      <c r="G749" s="8" t="n">
        <v>0</v>
      </c>
      <c r="H749" s="8" t="n">
        <v>0</v>
      </c>
      <c r="I749" s="8" t="n">
        <v>0</v>
      </c>
      <c r="J749" s="8" t="n">
        <v>1</v>
      </c>
      <c r="K749" s="9" t="n">
        <v>0</v>
      </c>
      <c r="L749" s="9" t="n">
        <v>0</v>
      </c>
      <c r="M749" s="9" t="n">
        <v>1</v>
      </c>
      <c r="N749" s="9" t="n">
        <v>0</v>
      </c>
      <c r="O749" s="10" t="n">
        <v>0</v>
      </c>
      <c r="P749" s="10" t="n">
        <v>0</v>
      </c>
      <c r="Q749" s="10" t="n">
        <v>0</v>
      </c>
      <c r="R749" s="10" t="n">
        <v>0</v>
      </c>
      <c r="S749" s="10" t="n">
        <v>1</v>
      </c>
    </row>
    <row r="750" ht="193" customHeight="1">
      <c r="A750" s="6">
        <f>IFERROR(__xludf.DUMMYFUNCTION("""COMPUTED_VALUE"""),"Electrical Circuits (Cooperative Jigsaw Scenario)")</f>
        <v/>
      </c>
      <c r="B750" s="6">
        <f>IFERROR(__xludf.DUMMYFUNCTION("""COMPUTED_VALUE"""),"Resource")</f>
        <v/>
      </c>
      <c r="C750" s="6">
        <f>IFERROR(__xludf.DUMMYFUNCTION("""COMPUTED_VALUE"""),"End of phase.graasp")</f>
        <v/>
      </c>
      <c r="D750" s="7">
        <f>IFERROR(__xludf.DUMMYFUNCTION("""COMPUTED_VALUE"""),"&lt;p style=""text-align: center;""&gt;&lt;strong&gt;This is the end of your expert investigation. Now you are ready to share what you have learned with the members of your initial group. To do so, move to next phase.&lt;/strong&gt;&lt;/p&gt;")</f>
        <v/>
      </c>
      <c r="E750" s="7">
        <f>IFERROR(__xludf.DUMMYFUNCTION("""COMPUTED_VALUE"""),"No artifact embedded")</f>
        <v/>
      </c>
      <c r="F750" s="7" t="n"/>
      <c r="G750" s="8" t="n">
        <v>0</v>
      </c>
      <c r="H750" s="8" t="n">
        <v>0</v>
      </c>
      <c r="I750" s="8" t="n">
        <v>0</v>
      </c>
      <c r="J750" s="8" t="n">
        <v>0</v>
      </c>
      <c r="K750" s="9" t="n">
        <v>0</v>
      </c>
      <c r="L750" s="9" t="n">
        <v>0</v>
      </c>
      <c r="M750" s="9" t="n">
        <v>0</v>
      </c>
      <c r="N750" s="9" t="n">
        <v>0</v>
      </c>
      <c r="O750" s="10" t="n">
        <v>0</v>
      </c>
      <c r="P750" s="10" t="n">
        <v>0</v>
      </c>
      <c r="Q750" s="10" t="n">
        <v>0</v>
      </c>
      <c r="R750" s="10" t="n">
        <v>0</v>
      </c>
      <c r="S750" s="10" t="n">
        <v>0</v>
      </c>
    </row>
    <row r="751" ht="406" customHeight="1">
      <c r="A751" s="6">
        <f>IFERROR(__xludf.DUMMYFUNCTION("""COMPUTED_VALUE"""),"Electrical Circuits (Cooperative Jigsaw Scenario)")</f>
        <v/>
      </c>
      <c r="B751" s="6">
        <f>IFERROR(__xludf.DUMMYFUNCTION("""COMPUTED_VALUE"""),"Space")</f>
        <v/>
      </c>
      <c r="C751" s="6">
        <f>IFERROR(__xludf.DUMMYFUNCTION("""COMPUTED_VALUE"""),"Communication")</f>
        <v/>
      </c>
      <c r="D751" s="7">
        <f>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
      </c>
      <c r="E751" s="7">
        <f>IFERROR(__xludf.DUMMYFUNCTION("""COMPUTED_VALUE"""),"No artifact embedded")</f>
        <v/>
      </c>
      <c r="F751" s="7" t="n"/>
      <c r="G751" s="8" t="n">
        <v>0</v>
      </c>
      <c r="H751" s="8" t="n">
        <v>0</v>
      </c>
      <c r="I751" s="8" t="n">
        <v>0</v>
      </c>
      <c r="J751" s="8" t="n">
        <v>1</v>
      </c>
      <c r="K751" s="9" t="n">
        <v>0</v>
      </c>
      <c r="L751" s="9" t="n">
        <v>1</v>
      </c>
      <c r="M751" s="9" t="n">
        <v>1</v>
      </c>
      <c r="N751" s="9" t="n">
        <v>0</v>
      </c>
      <c r="O751" s="10" t="n">
        <v>0</v>
      </c>
      <c r="P751" s="10" t="n">
        <v>0</v>
      </c>
      <c r="Q751" s="10" t="n">
        <v>0</v>
      </c>
      <c r="R751" s="10" t="n">
        <v>1</v>
      </c>
      <c r="S751" s="10" t="n">
        <v>1</v>
      </c>
    </row>
    <row r="752" ht="409.5" customHeight="1">
      <c r="A752" s="6">
        <f>IFERROR(__xludf.DUMMYFUNCTION("""COMPUTED_VALUE"""),"Electrical Circuits (Cooperative Jigsaw Scenario)")</f>
        <v/>
      </c>
      <c r="B752" s="6">
        <f>IFERROR(__xludf.DUMMYFUNCTION("""COMPUTED_VALUE"""),"Resource")</f>
        <v/>
      </c>
      <c r="C752" s="6">
        <f>IFERROR(__xludf.DUMMYFUNCTION("""COMPUTED_VALUE"""),"Step 1.graasp")</f>
        <v/>
      </c>
      <c r="D752" s="7">
        <f>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
      </c>
      <c r="E752" s="7">
        <f>IFERROR(__xludf.DUMMYFUNCTION("""COMPUTED_VALUE"""),"No artifact embedded")</f>
        <v/>
      </c>
      <c r="F752" s="7" t="n"/>
      <c r="G752" s="8" t="n">
        <v>0</v>
      </c>
      <c r="H752" s="8" t="n">
        <v>0</v>
      </c>
      <c r="I752" s="8" t="n">
        <v>1</v>
      </c>
      <c r="J752" s="8" t="n">
        <v>0</v>
      </c>
      <c r="K752" s="9" t="n">
        <v>0</v>
      </c>
      <c r="L752" s="9" t="n">
        <v>1</v>
      </c>
      <c r="M752" s="9" t="n">
        <v>0</v>
      </c>
      <c r="N752" s="9" t="n">
        <v>0</v>
      </c>
      <c r="O752" s="10" t="n">
        <v>0</v>
      </c>
      <c r="P752" s="10" t="n">
        <v>1</v>
      </c>
      <c r="Q752" s="10" t="n">
        <v>1</v>
      </c>
      <c r="R752" s="10" t="n">
        <v>1</v>
      </c>
      <c r="S752" s="10" t="n">
        <v>0</v>
      </c>
    </row>
    <row r="753" ht="395" customHeight="1">
      <c r="A753" s="6">
        <f>IFERROR(__xludf.DUMMYFUNCTION("""COMPUTED_VALUE"""),"Electrical Circuits (Cooperative Jigsaw Scenario)")</f>
        <v/>
      </c>
      <c r="B753" s="6">
        <f>IFERROR(__xludf.DUMMYFUNCTION("""COMPUTED_VALUE"""),"Application")</f>
        <v/>
      </c>
      <c r="C753" s="6">
        <f>IFERROR(__xludf.DUMMYFUNCTION("""COMPUTED_VALUE"""),"Shared Wiki")</f>
        <v/>
      </c>
      <c r="D753" s="7">
        <f>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
      </c>
      <c r="E753"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753" s="7" t="n"/>
      <c r="G753" s="8" t="n">
        <v>0</v>
      </c>
      <c r="H753" s="8" t="n">
        <v>0</v>
      </c>
      <c r="I753" s="8" t="n">
        <v>0</v>
      </c>
      <c r="J753" s="8" t="n">
        <v>1</v>
      </c>
      <c r="K753" s="9" t="n">
        <v>0</v>
      </c>
      <c r="L753" s="9" t="n">
        <v>0</v>
      </c>
      <c r="M753" s="9" t="n">
        <v>0</v>
      </c>
      <c r="N753" s="9" t="n">
        <v>1</v>
      </c>
      <c r="O753" s="10" t="n">
        <v>0</v>
      </c>
      <c r="P753" s="10" t="n">
        <v>0</v>
      </c>
      <c r="Q753" s="10" t="n">
        <v>0</v>
      </c>
      <c r="R753" s="10" t="n">
        <v>0</v>
      </c>
      <c r="S753" s="10" t="n">
        <v>1</v>
      </c>
    </row>
    <row r="754" ht="121" customHeight="1">
      <c r="A754" s="6">
        <f>IFERROR(__xludf.DUMMYFUNCTION("""COMPUTED_VALUE"""),"Electrical Circuits (Cooperative Jigsaw Scenario)")</f>
        <v/>
      </c>
      <c r="B754" s="6">
        <f>IFERROR(__xludf.DUMMYFUNCTION("""COMPUTED_VALUE"""),"Resource")</f>
        <v/>
      </c>
      <c r="C754" s="6">
        <f>IFERROR(__xludf.DUMMYFUNCTION("""COMPUTED_VALUE"""),"End of the phase.graasp")</f>
        <v/>
      </c>
      <c r="D754" s="7">
        <f>IFERROR(__xludf.DUMMYFUNCTION("""COMPUTED_VALUE"""),"&lt;p style=""text-align: center;""&gt;&lt;strong&gt;Discuss with your teacher about your group report and then move to the last phase!&lt;/strong&gt;&lt;/p&gt;")</f>
        <v/>
      </c>
      <c r="E754" s="7">
        <f>IFERROR(__xludf.DUMMYFUNCTION("""COMPUTED_VALUE"""),"No artifact embedded")</f>
        <v/>
      </c>
      <c r="F754" s="7" t="n"/>
      <c r="G754" s="8" t="n">
        <v>0</v>
      </c>
      <c r="H754" s="8" t="n">
        <v>0</v>
      </c>
      <c r="I754" s="8" t="n">
        <v>0</v>
      </c>
      <c r="J754" s="8" t="n">
        <v>1</v>
      </c>
      <c r="K754" s="9" t="n">
        <v>0</v>
      </c>
      <c r="L754" s="9" t="n">
        <v>0</v>
      </c>
      <c r="M754" s="9" t="n">
        <v>1</v>
      </c>
      <c r="N754" s="9" t="n">
        <v>0</v>
      </c>
      <c r="O754" s="10" t="n">
        <v>0</v>
      </c>
      <c r="P754" s="10" t="n">
        <v>0</v>
      </c>
      <c r="Q754" s="10" t="n">
        <v>0</v>
      </c>
      <c r="R754" s="10" t="n">
        <v>0</v>
      </c>
      <c r="S754" s="10" t="n">
        <v>1</v>
      </c>
    </row>
    <row r="755" ht="409.5" customHeight="1">
      <c r="A755" s="6">
        <f>IFERROR(__xludf.DUMMYFUNCTION("""COMPUTED_VALUE"""),"Electrical Circuits (Cooperative Jigsaw Scenario)")</f>
        <v/>
      </c>
      <c r="B755" s="6">
        <f>IFERROR(__xludf.DUMMYFUNCTION("""COMPUTED_VALUE"""),"Space")</f>
        <v/>
      </c>
      <c r="C755" s="6">
        <f>IFERROR(__xludf.DUMMYFUNCTION("""COMPUTED_VALUE"""),"Reflection")</f>
        <v/>
      </c>
      <c r="D755" s="7">
        <f>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
      </c>
      <c r="E755" s="7">
        <f>IFERROR(__xludf.DUMMYFUNCTION("""COMPUTED_VALUE"""),"No artifact embedded")</f>
        <v/>
      </c>
      <c r="F755" s="7" t="n"/>
      <c r="G755" s="8" t="n">
        <v>0</v>
      </c>
      <c r="H755" s="8" t="n">
        <v>0</v>
      </c>
      <c r="I755" s="8" t="n">
        <v>0</v>
      </c>
      <c r="J755" s="8" t="n">
        <v>1</v>
      </c>
      <c r="K755" s="9" t="n">
        <v>0</v>
      </c>
      <c r="L755" s="9" t="n">
        <v>0</v>
      </c>
      <c r="M755" s="9" t="n">
        <v>1</v>
      </c>
      <c r="N755" s="9" t="n">
        <v>0</v>
      </c>
      <c r="O755" s="10" t="n">
        <v>0</v>
      </c>
      <c r="P755" s="10" t="n">
        <v>0</v>
      </c>
      <c r="Q755" s="10" t="n">
        <v>0</v>
      </c>
      <c r="R755" s="10" t="n">
        <v>0</v>
      </c>
      <c r="S755" s="10" t="n">
        <v>1</v>
      </c>
    </row>
    <row r="756" ht="329" customHeight="1">
      <c r="A756" s="6">
        <f>IFERROR(__xludf.DUMMYFUNCTION("""COMPUTED_VALUE"""),"Electrical Circuits (Cooperative Jigsaw Scenario)")</f>
        <v/>
      </c>
      <c r="B756" s="6">
        <f>IFERROR(__xludf.DUMMYFUNCTION("""COMPUTED_VALUE"""),"Application")</f>
        <v/>
      </c>
      <c r="C756" s="6">
        <f>IFERROR(__xludf.DUMMYFUNCTION("""COMPUTED_VALUE"""),"Activity Plot")</f>
        <v/>
      </c>
      <c r="D756" s="7">
        <f>IFERROR(__xludf.DUMMYFUNCTION("""COMPUTED_VALUE"""),"No task description")</f>
        <v/>
      </c>
      <c r="E756" s="7">
        <f>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
      </c>
      <c r="F756" s="7" t="n"/>
      <c r="G756" s="8" t="n">
        <v>1</v>
      </c>
      <c r="H756" s="8" t="n">
        <v>0</v>
      </c>
      <c r="I756" s="8" t="n">
        <v>0</v>
      </c>
      <c r="J756" s="8" t="n">
        <v>0</v>
      </c>
      <c r="K756" s="9" t="n">
        <v>1</v>
      </c>
      <c r="L756" s="9" t="n">
        <v>0</v>
      </c>
      <c r="M756" s="9" t="n">
        <v>0</v>
      </c>
      <c r="N756" s="9" t="n">
        <v>0</v>
      </c>
      <c r="O756" s="10" t="n">
        <v>0</v>
      </c>
      <c r="P756" s="10" t="n">
        <v>0</v>
      </c>
      <c r="Q756" s="10" t="n">
        <v>0</v>
      </c>
      <c r="R756" s="10" t="n">
        <v>0</v>
      </c>
      <c r="S756" s="10" t="n">
        <v>1</v>
      </c>
    </row>
    <row r="757" ht="241" customHeight="1">
      <c r="A757" s="6">
        <f>IFERROR(__xludf.DUMMYFUNCTION("""COMPUTED_VALUE"""),"Electrical Circuits (Cooperative Jigsaw Scenario)")</f>
        <v/>
      </c>
      <c r="B757" s="6">
        <f>IFERROR(__xludf.DUMMYFUNCTION("""COMPUTED_VALUE"""),"Application")</f>
        <v/>
      </c>
      <c r="C757" s="6">
        <f>IFERROR(__xludf.DUMMYFUNCTION("""COMPUTED_VALUE"""),"Quest")</f>
        <v/>
      </c>
      <c r="D757" s="7">
        <f>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
      </c>
      <c r="E757"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757" s="7" t="n"/>
      <c r="G757" s="8" t="n">
        <v>0</v>
      </c>
      <c r="H757" s="8" t="n">
        <v>0</v>
      </c>
      <c r="I757" s="8" t="n">
        <v>1</v>
      </c>
      <c r="J757" s="8" t="n">
        <v>0</v>
      </c>
      <c r="K757" s="9" t="n">
        <v>0</v>
      </c>
      <c r="L757" s="9" t="n">
        <v>1</v>
      </c>
      <c r="M757" s="9" t="n">
        <v>0</v>
      </c>
      <c r="N757" s="9" t="n">
        <v>0</v>
      </c>
      <c r="O757" s="10" t="n">
        <v>0</v>
      </c>
      <c r="P757" s="10" t="n">
        <v>0</v>
      </c>
      <c r="Q757" s="10" t="n">
        <v>0</v>
      </c>
      <c r="R757" s="10" t="n">
        <v>0</v>
      </c>
      <c r="S757" s="10" t="n">
        <v>1</v>
      </c>
    </row>
    <row r="758" ht="109" customHeight="1">
      <c r="A758" s="6">
        <f>IFERROR(__xludf.DUMMYFUNCTION("""COMPUTED_VALUE"""),"Electrical Circuits (Cooperative Jigsaw Scenario)")</f>
        <v/>
      </c>
      <c r="B758" s="6">
        <f>IFERROR(__xludf.DUMMYFUNCTION("""COMPUTED_VALUE"""),"Resource")</f>
        <v/>
      </c>
      <c r="C758" s="6">
        <f>IFERROR(__xludf.DUMMYFUNCTION("""COMPUTED_VALUE"""),"End of phase.graasp")</f>
        <v/>
      </c>
      <c r="D758" s="7">
        <f>IFERROR(__xludf.DUMMYFUNCTION("""COMPUTED_VALUE"""),"&lt;p style=""text-align: center;""&gt;&lt;strong&gt;This is the end of our lesson! Congratulations for completing all the activities. &lt;/strong&gt;&lt;/p&gt;")</f>
        <v/>
      </c>
      <c r="E758" s="7">
        <f>IFERROR(__xludf.DUMMYFUNCTION("""COMPUTED_VALUE"""),"No artifact embedded")</f>
        <v/>
      </c>
      <c r="F758" s="7" t="n"/>
      <c r="G758" s="8" t="n">
        <v>0</v>
      </c>
      <c r="H758" s="8" t="n">
        <v>0</v>
      </c>
      <c r="I758" s="8" t="n">
        <v>0</v>
      </c>
      <c r="J758" s="8" t="n">
        <v>0</v>
      </c>
      <c r="K758" s="9" t="n">
        <v>0</v>
      </c>
      <c r="L758" s="9" t="n">
        <v>0</v>
      </c>
      <c r="M758" s="9" t="n">
        <v>0</v>
      </c>
      <c r="N758" s="9" t="n">
        <v>0</v>
      </c>
      <c r="O758" s="10" t="n">
        <v>0</v>
      </c>
      <c r="P758" s="10" t="n">
        <v>0</v>
      </c>
      <c r="Q758" s="10" t="n">
        <v>0</v>
      </c>
      <c r="R758" s="10" t="n">
        <v>0</v>
      </c>
      <c r="S758" s="10" t="n">
        <v>0</v>
      </c>
    </row>
    <row r="759" ht="25" customHeight="1">
      <c r="A759" s="6">
        <f>IFERROR(__xludf.DUMMYFUNCTION("""COMPUTED_VALUE"""),"Electrical Circuits (Cooperative Jigsaw Scenario)")</f>
        <v/>
      </c>
      <c r="B759" s="6">
        <f>IFERROR(__xludf.DUMMYFUNCTION("""COMPUTED_VALUE"""),"Application")</f>
        <v/>
      </c>
      <c r="C759" s="6">
        <f>IFERROR(__xludf.DUMMYFUNCTION("""COMPUTED_VALUE"""),"SpeakUp (1)")</f>
        <v/>
      </c>
      <c r="D759" s="7">
        <f>IFERROR(__xludf.DUMMYFUNCTION("""COMPUTED_VALUE"""),"No task description")</f>
        <v/>
      </c>
      <c r="E759" s="7">
        <f>IFERROR(__xludf.DUMMYFUNCTION("""COMPUTED_VALUE"""),"No artifact embedded")</f>
        <v/>
      </c>
      <c r="F759" s="7" t="n"/>
      <c r="G759" s="8" t="n">
        <v>0</v>
      </c>
      <c r="H759" s="8" t="n">
        <v>0</v>
      </c>
      <c r="I759" s="8" t="n">
        <v>0</v>
      </c>
      <c r="J759" s="8" t="n">
        <v>0</v>
      </c>
      <c r="K759" s="9" t="n">
        <v>0</v>
      </c>
      <c r="L759" s="9" t="n">
        <v>0</v>
      </c>
      <c r="M759" s="9" t="n">
        <v>0</v>
      </c>
      <c r="N759" s="9" t="n">
        <v>0</v>
      </c>
      <c r="O759" s="10" t="n">
        <v>0</v>
      </c>
      <c r="P759" s="10" t="n">
        <v>0</v>
      </c>
      <c r="Q759" s="10" t="n">
        <v>0</v>
      </c>
      <c r="R759" s="10" t="n">
        <v>0</v>
      </c>
      <c r="S759" s="10" t="n">
        <v>0</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759"/>
  <sheetViews>
    <sheetView tabSelected="1" topLeftCell="A623" workbookViewId="0">
      <selection activeCell="R633" sqref="R633"/>
    </sheetView>
  </sheetViews>
  <sheetFormatPr baseColWidth="10" defaultRowHeight="16"/>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Summary</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inlineStr">
        <is>
          <t>No instructions or artifacts are provided for Item1.</t>
        </is>
      </c>
      <c r="G2" s="8" t="inlineStr">
        <is>
          <t>0</t>
        </is>
      </c>
      <c r="H2" s="8" t="inlineStr">
        <is>
          <t>0</t>
        </is>
      </c>
      <c r="I2" s="8" t="inlineStr">
        <is>
          <t>0</t>
        </is>
      </c>
      <c r="J2" s="8" t="inlineStr">
        <is>
          <t>0</t>
        </is>
      </c>
      <c r="K2" s="9" t="inlineStr">
        <is>
          <t>0</t>
        </is>
      </c>
      <c r="L2" s="9" t="inlineStr">
        <is>
          <t>0</t>
        </is>
      </c>
      <c r="M2" s="9" t="inlineStr">
        <is>
          <t>0</t>
        </is>
      </c>
      <c r="N2" s="9" t="inlineStr">
        <is>
          <t>0</t>
        </is>
      </c>
      <c r="O2" s="10" t="inlineStr">
        <is>
          <t>0</t>
        </is>
      </c>
      <c r="P2" s="10" t="inlineStr">
        <is>
          <t>0</t>
        </is>
      </c>
      <c r="Q2" s="10" t="inlineStr">
        <is>
          <t>0</t>
        </is>
      </c>
      <c r="R2" s="10" t="inlineStr">
        <is>
          <t>0</t>
        </is>
      </c>
      <c r="S2" s="10" t="inlineStr">
        <is>
          <t>0</t>
        </is>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inlineStr">
        <is>
          <t>Students observe images, describe contents, and explain object functions and roles. No artifacts are embedded.</t>
        </is>
      </c>
      <c r="G3" s="8" t="inlineStr">
        <is>
          <t>0</t>
        </is>
      </c>
      <c r="H3" s="8" t="inlineStr">
        <is>
          <t>0</t>
        </is>
      </c>
      <c r="I3" s="8" t="inlineStr">
        <is>
          <t>0</t>
        </is>
      </c>
      <c r="J3" s="8" t="inlineStr">
        <is>
          <t>1</t>
        </is>
      </c>
      <c r="K3" s="9" t="inlineStr">
        <is>
          <t>1</t>
        </is>
      </c>
      <c r="L3" s="9" t="inlineStr">
        <is>
          <t>1</t>
        </is>
      </c>
      <c r="M3" s="9" t="inlineStr">
        <is>
          <t>0</t>
        </is>
      </c>
      <c r="N3" s="9" t="inlineStr">
        <is>
          <t>0</t>
        </is>
      </c>
      <c r="O3" s="10" t="inlineStr">
        <is>
          <t>1</t>
        </is>
      </c>
      <c r="P3" s="10" t="inlineStr">
        <is>
          <t>0</t>
        </is>
      </c>
      <c r="Q3" s="10" t="inlineStr">
        <is>
          <t>0</t>
        </is>
      </c>
      <c r="R3" s="10" t="inlineStr">
        <is>
          <t>0</t>
        </is>
      </c>
      <c r="S3" s="10" t="inlineStr">
        <is>
          <t>0</t>
        </is>
      </c>
    </row>
    <row r="4" ht="121"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inlineStr">
        <is>
          <t>Students were given tasks with questions about images. Some items had no descriptions, while others had specific queries and an embedded JPEG artifact.</t>
        </is>
      </c>
      <c r="G4" s="8" t="inlineStr">
        <is>
          <t>1</t>
        </is>
      </c>
      <c r="H4" s="8" t="inlineStr">
        <is>
          <t>0</t>
        </is>
      </c>
      <c r="I4" s="8" t="inlineStr">
        <is>
          <t>0</t>
        </is>
      </c>
      <c r="J4" s="8" t="inlineStr">
        <is>
          <t>0</t>
        </is>
      </c>
      <c r="K4" s="9" t="inlineStr">
        <is>
          <t>1</t>
        </is>
      </c>
      <c r="L4" s="9" t="inlineStr">
        <is>
          <t>0</t>
        </is>
      </c>
      <c r="M4" s="9" t="inlineStr">
        <is>
          <t>0</t>
        </is>
      </c>
      <c r="N4" s="9" t="inlineStr">
        <is>
          <t>0</t>
        </is>
      </c>
      <c r="O4" s="10" t="inlineStr">
        <is>
          <t>0</t>
        </is>
      </c>
      <c r="P4" s="10" t="inlineStr">
        <is>
          <t>0</t>
        </is>
      </c>
      <c r="Q4" s="10" t="inlineStr">
        <is>
          <t>0</t>
        </is>
      </c>
      <c r="R4" s="10" t="inlineStr">
        <is>
          <t>0</t>
        </is>
      </c>
      <c r="S4" s="10" t="inlineStr">
        <is>
          <t>0</t>
        </is>
      </c>
    </row>
    <row r="5" ht="329"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inlineStr">
        <is>
          <t>Students observe images and describe their functions. Embedded artifacts include a JPEG image and the Golabz app/lab for note-taking and collaboration.</t>
        </is>
      </c>
      <c r="G5" s="8" t="inlineStr">
        <is>
          <t>0</t>
        </is>
      </c>
      <c r="H5" s="8" t="inlineStr">
        <is>
          <t>1</t>
        </is>
      </c>
      <c r="I5" s="8" t="inlineStr">
        <is>
          <t>1</t>
        </is>
      </c>
      <c r="J5" s="8" t="inlineStr">
        <is>
          <t>1</t>
        </is>
      </c>
      <c r="K5" s="9" t="inlineStr">
        <is>
          <t>0</t>
        </is>
      </c>
      <c r="L5" s="9" t="inlineStr">
        <is>
          <t>1</t>
        </is>
      </c>
      <c r="M5" s="9" t="inlineStr">
        <is>
          <t>0</t>
        </is>
      </c>
      <c r="N5" s="9" t="inlineStr">
        <is>
          <t>1</t>
        </is>
      </c>
      <c r="O5" s="10" t="inlineStr">
        <is>
          <t>0</t>
        </is>
      </c>
      <c r="P5" s="10" t="inlineStr">
        <is>
          <t>0</t>
        </is>
      </c>
      <c r="Q5" s="10" t="inlineStr">
        <is>
          <t>0</t>
        </is>
      </c>
      <c r="R5" s="10" t="inlineStr">
        <is>
          <t>0</t>
        </is>
      </c>
      <c r="S5" s="10" t="inlineStr">
        <is>
          <t>1</t>
        </is>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inlineStr">
        <is>
          <t>No task descriptions are provided. Embedded artifacts include images and Golabz apps for note-taking, collaboration, and teacher feedback.</t>
        </is>
      </c>
      <c r="G6" s="8" t="inlineStr">
        <is>
          <t>1</t>
        </is>
      </c>
      <c r="H6" s="8" t="inlineStr">
        <is>
          <t>0</t>
        </is>
      </c>
      <c r="I6" s="8" t="inlineStr">
        <is>
          <t>1</t>
        </is>
      </c>
      <c r="J6" s="8" t="inlineStr">
        <is>
          <t>0</t>
        </is>
      </c>
      <c r="K6" s="9" t="inlineStr">
        <is>
          <t>0</t>
        </is>
      </c>
      <c r="L6" s="9" t="inlineStr">
        <is>
          <t>1</t>
        </is>
      </c>
      <c r="M6" s="9" t="inlineStr">
        <is>
          <t>0</t>
        </is>
      </c>
      <c r="N6" s="9" t="inlineStr">
        <is>
          <t>0</t>
        </is>
      </c>
      <c r="O6" s="10" t="inlineStr">
        <is>
          <t>0</t>
        </is>
      </c>
      <c r="P6" s="10" t="inlineStr">
        <is>
          <t>0</t>
        </is>
      </c>
      <c r="Q6" s="10" t="inlineStr">
        <is>
          <t>0</t>
        </is>
      </c>
      <c r="R6" s="10" t="inlineStr">
        <is>
          <t>0</t>
        </is>
      </c>
      <c r="S6" s="10" t="inlineStr">
        <is>
          <t>1</t>
        </is>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inlineStr">
        <is>
          <t>Students have no task descriptions, but use Golabz apps for note-taking and teacher feedback. One item has a video observation task.</t>
        </is>
      </c>
      <c r="G7" s="8" t="inlineStr">
        <is>
          <t>1</t>
        </is>
      </c>
      <c r="H7" s="8" t="inlineStr">
        <is>
          <t>0</t>
        </is>
      </c>
      <c r="I7" s="8" t="inlineStr">
        <is>
          <t>0</t>
        </is>
      </c>
      <c r="J7" s="8" t="inlineStr">
        <is>
          <t>0</t>
        </is>
      </c>
      <c r="K7" s="9" t="inlineStr">
        <is>
          <t>1</t>
        </is>
      </c>
      <c r="L7" s="9" t="inlineStr">
        <is>
          <t>0</t>
        </is>
      </c>
      <c r="M7" s="9" t="inlineStr">
        <is>
          <t>0</t>
        </is>
      </c>
      <c r="N7" s="9" t="inlineStr">
        <is>
          <t>0</t>
        </is>
      </c>
      <c r="O7" s="10" t="inlineStr">
        <is>
          <t>0</t>
        </is>
      </c>
      <c r="P7" s="10" t="inlineStr">
        <is>
          <t>0</t>
        </is>
      </c>
      <c r="Q7" s="10" t="inlineStr">
        <is>
          <t>0</t>
        </is>
      </c>
      <c r="R7" s="10" t="inlineStr">
        <is>
          <t>0</t>
        </is>
      </c>
      <c r="S7" s="10" t="inlineStr">
        <is>
          <t>0</t>
        </is>
      </c>
    </row>
    <row r="8" ht="121"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inlineStr">
        <is>
          <t>Students were given tasks with varying descriptions and artifacts, including a feedback tool, a video, and an MP4 video file.</t>
        </is>
      </c>
      <c r="G8" s="8" t="inlineStr">
        <is>
          <t>1</t>
        </is>
      </c>
      <c r="H8" s="8" t="inlineStr">
        <is>
          <t>0</t>
        </is>
      </c>
      <c r="I8" s="8" t="inlineStr">
        <is>
          <t>0</t>
        </is>
      </c>
      <c r="J8" s="8" t="inlineStr">
        <is>
          <t>0</t>
        </is>
      </c>
      <c r="K8" s="9" t="inlineStr">
        <is>
          <t>1</t>
        </is>
      </c>
      <c r="L8" s="9" t="inlineStr">
        <is>
          <t>0</t>
        </is>
      </c>
      <c r="M8" s="9" t="inlineStr">
        <is>
          <t>0</t>
        </is>
      </c>
      <c r="N8" s="9" t="inlineStr">
        <is>
          <t>0</t>
        </is>
      </c>
      <c r="O8" s="10" t="inlineStr">
        <is>
          <t>0</t>
        </is>
      </c>
      <c r="P8" s="10" t="inlineStr">
        <is>
          <t>0</t>
        </is>
      </c>
      <c r="Q8" s="10" t="inlineStr">
        <is>
          <t>0</t>
        </is>
      </c>
      <c r="R8" s="10" t="inlineStr">
        <is>
          <t>0</t>
        </is>
      </c>
      <c r="S8" s="10" t="inlineStr">
        <is>
          <t>0</t>
        </is>
      </c>
    </row>
    <row r="9" ht="329"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inlineStr">
        <is>
          <t>Students observe a video and use apps like Input Box for note-taking, with optional collaboration features.</t>
        </is>
      </c>
      <c r="G9" s="8" t="inlineStr">
        <is>
          <t>0</t>
        </is>
      </c>
      <c r="H9" s="8" t="inlineStr">
        <is>
          <t>1</t>
        </is>
      </c>
      <c r="I9" s="8" t="inlineStr">
        <is>
          <t>1</t>
        </is>
      </c>
      <c r="J9" s="8" t="inlineStr">
        <is>
          <t>1</t>
        </is>
      </c>
      <c r="K9" s="9" t="inlineStr">
        <is>
          <t>0</t>
        </is>
      </c>
      <c r="L9" s="9" t="inlineStr">
        <is>
          <t>1</t>
        </is>
      </c>
      <c r="M9" s="9" t="inlineStr">
        <is>
          <t>0</t>
        </is>
      </c>
      <c r="N9" s="9" t="inlineStr">
        <is>
          <t>0</t>
        </is>
      </c>
      <c r="O9" s="10" t="inlineStr">
        <is>
          <t>0</t>
        </is>
      </c>
      <c r="P9" s="10" t="inlineStr">
        <is>
          <t>0</t>
        </is>
      </c>
      <c r="Q9" s="10" t="inlineStr">
        <is>
          <t>0</t>
        </is>
      </c>
      <c r="R9" s="10" t="inlineStr">
        <is>
          <t>0</t>
        </is>
      </c>
      <c r="S9" s="10" t="inlineStr">
        <is>
          <t>1</t>
        </is>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inlineStr">
        <is>
          <t>No task descriptions are provided. Embedded artifacts include a video file and two Golabz apps for note-taking and teacher feedback.</t>
        </is>
      </c>
      <c r="G10" s="8" t="inlineStr">
        <is>
          <t>1</t>
        </is>
      </c>
      <c r="H10" s="8" t="inlineStr">
        <is>
          <t>1</t>
        </is>
      </c>
      <c r="I10" s="8" t="inlineStr">
        <is>
          <t>1</t>
        </is>
      </c>
      <c r="J10" s="8" t="inlineStr">
        <is>
          <t>0</t>
        </is>
      </c>
      <c r="K10" s="9" t="inlineStr">
        <is>
          <t>1</t>
        </is>
      </c>
      <c r="L10" s="9" t="inlineStr">
        <is>
          <t>1</t>
        </is>
      </c>
      <c r="M10" s="9" t="inlineStr">
        <is>
          <t>0</t>
        </is>
      </c>
      <c r="N10" s="9" t="inlineStr">
        <is>
          <t>0</t>
        </is>
      </c>
      <c r="O10" s="10" t="inlineStr">
        <is>
          <t>0</t>
        </is>
      </c>
      <c r="P10" s="10" t="inlineStr">
        <is>
          <t>0</t>
        </is>
      </c>
      <c r="Q10" s="10" t="inlineStr">
        <is>
          <t>0</t>
        </is>
      </c>
      <c r="R10" s="10" t="inlineStr">
        <is>
          <t>0</t>
        </is>
      </c>
      <c r="S10" s="10" t="inlineStr">
        <is>
          <t>1</t>
        </is>
      </c>
    </row>
    <row r="11" ht="37"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inlineStr">
        <is>
          <t>Students received no task descriptions for Items 1 and 2, but had access to Golabz apps. Item 3 instructed "Click Explore".</t>
        </is>
      </c>
      <c r="G11" s="8" t="inlineStr">
        <is>
          <t>0</t>
        </is>
      </c>
      <c r="H11" s="8" t="inlineStr">
        <is>
          <t>0</t>
        </is>
      </c>
      <c r="I11" s="8" t="inlineStr">
        <is>
          <t>0</t>
        </is>
      </c>
      <c r="J11" s="8" t="inlineStr">
        <is>
          <t>1</t>
        </is>
      </c>
      <c r="K11" s="9" t="inlineStr">
        <is>
          <t>1</t>
        </is>
      </c>
      <c r="L11" s="9" t="inlineStr">
        <is>
          <t>0</t>
        </is>
      </c>
      <c r="M11" s="9" t="inlineStr">
        <is>
          <t>0</t>
        </is>
      </c>
      <c r="N11" s="9" t="inlineStr">
        <is>
          <t>0</t>
        </is>
      </c>
      <c r="O11" s="10" t="inlineStr">
        <is>
          <t>0</t>
        </is>
      </c>
      <c r="P11" s="10" t="inlineStr">
        <is>
          <t>0</t>
        </is>
      </c>
      <c r="Q11" s="10" t="inlineStr">
        <is>
          <t>0</t>
        </is>
      </c>
      <c r="R11" s="10" t="inlineStr">
        <is>
          <t>0</t>
        </is>
      </c>
      <c r="S11" s="10" t="inlineStr">
        <is>
          <t>0</t>
        </is>
      </c>
    </row>
    <row r="12" ht="241"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inlineStr">
        <is>
          <t>Students are given tasks with varying descriptions and some have embedded artifacts like the Golabz app/lab for teacher feedback.</t>
        </is>
      </c>
      <c r="G12" s="8" t="inlineStr">
        <is>
          <t>1</t>
        </is>
      </c>
      <c r="H12" s="8" t="inlineStr">
        <is>
          <t>0</t>
        </is>
      </c>
      <c r="I12" s="8" t="inlineStr">
        <is>
          <t>0</t>
        </is>
      </c>
      <c r="J12" s="8" t="inlineStr">
        <is>
          <t>1</t>
        </is>
      </c>
      <c r="K12" s="9" t="inlineStr">
        <is>
          <t>1</t>
        </is>
      </c>
      <c r="L12" s="9" t="inlineStr">
        <is>
          <t>0</t>
        </is>
      </c>
      <c r="M12" s="9" t="inlineStr">
        <is>
          <t>0</t>
        </is>
      </c>
      <c r="N12" s="9" t="inlineStr">
        <is>
          <t>0</t>
        </is>
      </c>
      <c r="O12" s="10" t="inlineStr">
        <is>
          <t>0</t>
        </is>
      </c>
      <c r="P12" s="10" t="inlineStr">
        <is>
          <t>0</t>
        </is>
      </c>
      <c r="Q12" s="10" t="inlineStr">
        <is>
          <t>0</t>
        </is>
      </c>
      <c r="R12" s="10" t="inlineStr">
        <is>
          <t>0</t>
        </is>
      </c>
      <c r="S12" s="10" t="inlineStr">
        <is>
          <t>0</t>
        </is>
      </c>
    </row>
    <row r="13" ht="133"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inlineStr">
        <is>
          <t>Students are given tasks and instructions, with some items having embedded artifacts, such as a lab simulation.</t>
        </is>
      </c>
      <c r="G13" s="8" t="inlineStr">
        <is>
          <t>0</t>
        </is>
      </c>
      <c r="H13" s="8" t="inlineStr">
        <is>
          <t>1</t>
        </is>
      </c>
      <c r="I13" s="8" t="inlineStr">
        <is>
          <t>1</t>
        </is>
      </c>
      <c r="J13" s="8" t="inlineStr">
        <is>
          <t>1</t>
        </is>
      </c>
      <c r="K13" s="9" t="inlineStr">
        <is>
          <t>1</t>
        </is>
      </c>
      <c r="L13" s="9" t="inlineStr">
        <is>
          <t>1</t>
        </is>
      </c>
      <c r="M13" s="9" t="inlineStr">
        <is>
          <t>0</t>
        </is>
      </c>
      <c r="N13" s="9" t="inlineStr">
        <is>
          <t>0</t>
        </is>
      </c>
      <c r="O13" s="10" t="inlineStr">
        <is>
          <t>0</t>
        </is>
      </c>
      <c r="P13" s="10" t="inlineStr">
        <is>
          <t>0</t>
        </is>
      </c>
      <c r="Q13" s="10" t="inlineStr">
        <is>
          <t>1</t>
        </is>
      </c>
      <c r="R13" s="10" t="inlineStr">
        <is>
          <t>0</t>
        </is>
      </c>
      <c r="S13" s="10" t="inlineStr">
        <is>
          <t>0</t>
        </is>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inlineStr">
        <is>
          <t>Students read instructions, then proceed. Embedded artifacts include a lab app for experimenting with Hooke's law.</t>
        </is>
      </c>
      <c r="G14" s="8" t="inlineStr">
        <is>
          <t>0</t>
        </is>
      </c>
      <c r="H14" s="8" t="inlineStr">
        <is>
          <t>0</t>
        </is>
      </c>
      <c r="I14" s="8" t="inlineStr">
        <is>
          <t>0</t>
        </is>
      </c>
      <c r="J14" s="8" t="inlineStr">
        <is>
          <t>0</t>
        </is>
      </c>
      <c r="K14" s="9" t="inlineStr">
        <is>
          <t>1</t>
        </is>
      </c>
      <c r="L14" s="9" t="inlineStr">
        <is>
          <t>0</t>
        </is>
      </c>
      <c r="M14" s="9" t="inlineStr">
        <is>
          <t>0</t>
        </is>
      </c>
      <c r="N14" s="9" t="inlineStr">
        <is>
          <t>0</t>
        </is>
      </c>
      <c r="O14" s="10" t="inlineStr">
        <is>
          <t>0</t>
        </is>
      </c>
      <c r="P14" s="10" t="inlineStr">
        <is>
          <t>0</t>
        </is>
      </c>
      <c r="Q14" s="10" t="inlineStr">
        <is>
          <t>0</t>
        </is>
      </c>
      <c r="R14" s="10" t="inlineStr">
        <is>
          <t>0</t>
        </is>
      </c>
      <c r="S14" s="10" t="inlineStr">
        <is>
          <t>0</t>
        </is>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inlineStr">
        <is>
          <t>Students were given tasks with some items having no descriptions. Embedded artifacts included the Golabz app/lab for experimenting with Hooke's law.</t>
        </is>
      </c>
      <c r="G15" s="8" t="inlineStr">
        <is>
          <t>0</t>
        </is>
      </c>
      <c r="H15" s="8" t="inlineStr">
        <is>
          <t>0</t>
        </is>
      </c>
      <c r="I15" s="8" t="inlineStr">
        <is>
          <t>0</t>
        </is>
      </c>
      <c r="J15" s="8" t="inlineStr">
        <is>
          <t>0</t>
        </is>
      </c>
      <c r="K15" s="9" t="inlineStr">
        <is>
          <t>0</t>
        </is>
      </c>
      <c r="L15" s="9" t="inlineStr">
        <is>
          <t>0</t>
        </is>
      </c>
      <c r="M15" s="9" t="inlineStr">
        <is>
          <t>0</t>
        </is>
      </c>
      <c r="N15" s="9" t="inlineStr">
        <is>
          <t>0</t>
        </is>
      </c>
      <c r="O15" s="10" t="inlineStr">
        <is>
          <t>0</t>
        </is>
      </c>
      <c r="P15" s="10" t="inlineStr">
        <is>
          <t>0</t>
        </is>
      </c>
      <c r="Q15" s="10" t="inlineStr">
        <is>
          <t>0</t>
        </is>
      </c>
      <c r="R15" s="10" t="inlineStr">
        <is>
          <t>0</t>
        </is>
      </c>
      <c r="S15" s="10" t="inlineStr">
        <is>
          <t>0</t>
        </is>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inlineStr">
        <is>
          <t>Students click "Explain" with no embedded artifacts in Items 1 and 2. Item 3 has a Golabz app/lab for hypothesis formulation with configuration options.</t>
        </is>
      </c>
      <c r="G16" s="8" t="inlineStr">
        <is>
          <t>0</t>
        </is>
      </c>
      <c r="H16" s="8" t="inlineStr">
        <is>
          <t>1</t>
        </is>
      </c>
      <c r="I16" s="8" t="inlineStr">
        <is>
          <t>1</t>
        </is>
      </c>
      <c r="J16" s="8" t="inlineStr">
        <is>
          <t>0</t>
        </is>
      </c>
      <c r="K16" s="9" t="inlineStr">
        <is>
          <t>0</t>
        </is>
      </c>
      <c r="L16" s="9" t="inlineStr">
        <is>
          <t>1</t>
        </is>
      </c>
      <c r="M16" s="9" t="inlineStr">
        <is>
          <t>1</t>
        </is>
      </c>
      <c r="N16" s="9" t="inlineStr">
        <is>
          <t>1</t>
        </is>
      </c>
      <c r="O16" s="10" t="inlineStr">
        <is>
          <t>0</t>
        </is>
      </c>
      <c r="P16" s="10" t="inlineStr">
        <is>
          <t>1</t>
        </is>
      </c>
      <c r="Q16" s="10" t="inlineStr">
        <is>
          <t>1</t>
        </is>
      </c>
      <c r="R16" s="10" t="inlineStr">
        <is>
          <t>0</t>
        </is>
      </c>
      <c r="S16" s="10" t="inlineStr">
        <is>
          <t>0</t>
        </is>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inlineStr">
        <is>
          <t>Students received no task descriptions for Items 1 and 2, but Item 2 had a Golabz app/lab with instructions on using the Hypothesis Scratchpad tool. Item 3 had a task description with no embedded artifact.</t>
        </is>
      </c>
      <c r="G17" s="8" t="inlineStr">
        <is>
          <t>0</t>
        </is>
      </c>
      <c r="H17" s="8" t="inlineStr">
        <is>
          <t>0</t>
        </is>
      </c>
      <c r="I17" s="8" t="inlineStr">
        <is>
          <t>1</t>
        </is>
      </c>
      <c r="J17" s="8" t="inlineStr">
        <is>
          <t>1</t>
        </is>
      </c>
      <c r="K17" s="9" t="inlineStr">
        <is>
          <t>1</t>
        </is>
      </c>
      <c r="L17" s="9" t="inlineStr">
        <is>
          <t>0</t>
        </is>
      </c>
      <c r="M17" s="9" t="inlineStr">
        <is>
          <t>0</t>
        </is>
      </c>
      <c r="N17" s="9" t="inlineStr">
        <is>
          <t>0</t>
        </is>
      </c>
      <c r="O17" s="10" t="inlineStr">
        <is>
          <t>1</t>
        </is>
      </c>
      <c r="P17" s="10" t="inlineStr">
        <is>
          <t>1</t>
        </is>
      </c>
      <c r="Q17" s="10" t="inlineStr">
        <is>
          <t>1</t>
        </is>
      </c>
      <c r="R17" s="10" t="inlineStr">
        <is>
          <t>0</t>
        </is>
      </c>
      <c r="S17" s="10" t="inlineStr">
        <is>
          <t>0</t>
        </is>
      </c>
    </row>
    <row r="18" ht="329"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inlineStr">
        <is>
          <t>Students were given tasks with some having no description. Embedded artifacts included interactive tools like Hypothesis Scratchpad and Input Box for hypothesis formulation and note-taking.</t>
        </is>
      </c>
      <c r="G18" s="8" t="inlineStr">
        <is>
          <t>0</t>
        </is>
      </c>
      <c r="H18" s="8" t="inlineStr">
        <is>
          <t>1</t>
        </is>
      </c>
      <c r="I18" s="8" t="inlineStr">
        <is>
          <t>1</t>
        </is>
      </c>
      <c r="J18" s="8" t="inlineStr">
        <is>
          <t>1</t>
        </is>
      </c>
      <c r="K18" s="9" t="inlineStr">
        <is>
          <t>0</t>
        </is>
      </c>
      <c r="L18" s="9" t="inlineStr">
        <is>
          <t>1</t>
        </is>
      </c>
      <c r="M18" s="9" t="inlineStr">
        <is>
          <t>0</t>
        </is>
      </c>
      <c r="N18" s="9" t="inlineStr">
        <is>
          <t>1</t>
        </is>
      </c>
      <c r="O18" s="10" t="inlineStr">
        <is>
          <t>0</t>
        </is>
      </c>
      <c r="P18" s="10" t="inlineStr">
        <is>
          <t>0</t>
        </is>
      </c>
      <c r="Q18" s="10" t="inlineStr">
        <is>
          <t>0</t>
        </is>
      </c>
      <c r="R18" s="10" t="inlineStr">
        <is>
          <t>0</t>
        </is>
      </c>
      <c r="S18" s="10" t="inlineStr">
        <is>
          <t>1</t>
        </is>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inlineStr">
        <is>
          <t>Students receive task descriptions with no artifacts in Items 1 and 3, while Item 2 has an embedded Golabz app for note-taking.</t>
        </is>
      </c>
      <c r="G19" s="8" t="inlineStr">
        <is>
          <t>0</t>
        </is>
      </c>
      <c r="H19" s="8" t="inlineStr">
        <is>
          <t>0</t>
        </is>
      </c>
      <c r="I19" s="8" t="inlineStr">
        <is>
          <t>1</t>
        </is>
      </c>
      <c r="J19" s="8" t="inlineStr">
        <is>
          <t>1</t>
        </is>
      </c>
      <c r="K19" s="9" t="inlineStr">
        <is>
          <t>1</t>
        </is>
      </c>
      <c r="L19" s="9" t="inlineStr">
        <is>
          <t>1</t>
        </is>
      </c>
      <c r="M19" s="9" t="inlineStr">
        <is>
          <t>0</t>
        </is>
      </c>
      <c r="N19" s="9" t="inlineStr">
        <is>
          <t>0</t>
        </is>
      </c>
      <c r="O19" s="10" t="inlineStr">
        <is>
          <t>1</t>
        </is>
      </c>
      <c r="P19" s="10" t="inlineStr">
        <is>
          <t>1</t>
        </is>
      </c>
      <c r="Q19" s="10" t="inlineStr">
        <is>
          <t>1</t>
        </is>
      </c>
      <c r="R19" s="10" t="inlineStr">
        <is>
          <t>0</t>
        </is>
      </c>
      <c r="S19" s="10" t="inlineStr">
        <is>
          <t>0</t>
        </is>
      </c>
    </row>
    <row r="20" ht="329"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inlineStr">
        <is>
          <t>Students receive tasks with optional embedded artifacts, including a note-taking app for collaboration and reflection on forces applied to springs.</t>
        </is>
      </c>
      <c r="G20" s="8" t="inlineStr">
        <is>
          <t>0</t>
        </is>
      </c>
      <c r="H20" s="8" t="inlineStr">
        <is>
          <t>0</t>
        </is>
      </c>
      <c r="I20" s="8" t="inlineStr">
        <is>
          <t>1</t>
        </is>
      </c>
      <c r="J20" s="8" t="inlineStr">
        <is>
          <t>0</t>
        </is>
      </c>
      <c r="K20" s="9" t="inlineStr">
        <is>
          <t>0</t>
        </is>
      </c>
      <c r="L20" s="9" t="inlineStr">
        <is>
          <t>1</t>
        </is>
      </c>
      <c r="M20" s="9" t="inlineStr">
        <is>
          <t>1</t>
        </is>
      </c>
      <c r="N20" s="9" t="inlineStr">
        <is>
          <t>1</t>
        </is>
      </c>
      <c r="O20" s="10" t="inlineStr">
        <is>
          <t>0</t>
        </is>
      </c>
      <c r="P20" s="10" t="inlineStr">
        <is>
          <t>0</t>
        </is>
      </c>
      <c r="Q20" s="10" t="inlineStr">
        <is>
          <t>0</t>
        </is>
      </c>
      <c r="R20" s="10" t="inlineStr">
        <is>
          <t>0</t>
        </is>
      </c>
      <c r="S20" s="10" t="inlineStr">
        <is>
          <t>1</t>
        </is>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inlineStr">
        <is>
          <t>Students were asked about relationships between forces and spring extensions, and measured extensions. Embedded artifacts include a note-taking app in Item2.</t>
        </is>
      </c>
      <c r="G21" s="8" t="inlineStr">
        <is>
          <t>0</t>
        </is>
      </c>
      <c r="H21" s="8" t="inlineStr">
        <is>
          <t>1</t>
        </is>
      </c>
      <c r="I21" s="8" t="inlineStr">
        <is>
          <t>0</t>
        </is>
      </c>
      <c r="J21" s="8" t="inlineStr">
        <is>
          <t>1</t>
        </is>
      </c>
      <c r="K21" s="9" t="inlineStr">
        <is>
          <t>1</t>
        </is>
      </c>
      <c r="L21" s="9" t="inlineStr">
        <is>
          <t>1</t>
        </is>
      </c>
      <c r="M21" s="9" t="inlineStr">
        <is>
          <t>0</t>
        </is>
      </c>
      <c r="N21" s="9" t="inlineStr">
        <is>
          <t>0</t>
        </is>
      </c>
      <c r="O21" s="10" t="inlineStr">
        <is>
          <t>1</t>
        </is>
      </c>
      <c r="P21" s="10" t="inlineStr">
        <is>
          <t>1</t>
        </is>
      </c>
      <c r="Q21" s="10" t="inlineStr">
        <is>
          <t>1</t>
        </is>
      </c>
      <c r="R21" s="10" t="inlineStr">
        <is>
          <t>0</t>
        </is>
      </c>
      <c r="S21" s="10" t="inlineStr">
        <is>
          <t>0</t>
        </is>
      </c>
    </row>
    <row r="22" ht="329"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inlineStr">
        <is>
          <t>Students are given tasks and access to Golabz app/lab for note-taking, with optional collaboration mode.</t>
        </is>
      </c>
      <c r="G22" s="8" t="inlineStr">
        <is>
          <t>1</t>
        </is>
      </c>
      <c r="H22" s="8" t="inlineStr">
        <is>
          <t>1</t>
        </is>
      </c>
      <c r="I22" s="8" t="inlineStr">
        <is>
          <t>1</t>
        </is>
      </c>
      <c r="J22" s="8" t="inlineStr">
        <is>
          <t>1</t>
        </is>
      </c>
      <c r="K22" s="9" t="inlineStr">
        <is>
          <t>0</t>
        </is>
      </c>
      <c r="L22" s="9" t="inlineStr">
        <is>
          <t>1</t>
        </is>
      </c>
      <c r="M22" s="9" t="inlineStr">
        <is>
          <t>0</t>
        </is>
      </c>
      <c r="N22" s="9" t="inlineStr">
        <is>
          <t>0</t>
        </is>
      </c>
      <c r="O22" s="10" t="inlineStr">
        <is>
          <t>0</t>
        </is>
      </c>
      <c r="P22" s="10" t="inlineStr">
        <is>
          <t>0</t>
        </is>
      </c>
      <c r="Q22" s="10" t="inlineStr">
        <is>
          <t>0</t>
        </is>
      </c>
      <c r="R22" s="10" t="inlineStr">
        <is>
          <t>0</t>
        </is>
      </c>
      <c r="S22" s="10" t="inlineStr">
        <is>
          <t>1</t>
        </is>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inlineStr">
        <is>
          <t>Students were given tasks with varying descriptions and some had embedded artifacts like the Golabz app for note-taking.</t>
        </is>
      </c>
      <c r="G23" s="8" t="inlineStr">
        <is>
          <t>0</t>
        </is>
      </c>
      <c r="H23" s="8" t="inlineStr">
        <is>
          <t>0</t>
        </is>
      </c>
      <c r="I23" s="8" t="inlineStr">
        <is>
          <t>0</t>
        </is>
      </c>
      <c r="J23" s="8" t="inlineStr">
        <is>
          <t>0</t>
        </is>
      </c>
      <c r="K23" s="9" t="inlineStr">
        <is>
          <t>1</t>
        </is>
      </c>
      <c r="L23" s="9" t="inlineStr">
        <is>
          <t>0</t>
        </is>
      </c>
      <c r="M23" s="9" t="inlineStr">
        <is>
          <t>0</t>
        </is>
      </c>
      <c r="N23" s="9" t="inlineStr">
        <is>
          <t>0</t>
        </is>
      </c>
      <c r="O23" s="10" t="inlineStr">
        <is>
          <t>0</t>
        </is>
      </c>
      <c r="P23" s="10" t="inlineStr">
        <is>
          <t>0</t>
        </is>
      </c>
      <c r="Q23" s="10" t="inlineStr">
        <is>
          <t>0</t>
        </is>
      </c>
      <c r="R23" s="10" t="inlineStr">
        <is>
          <t>0</t>
        </is>
      </c>
      <c r="S23" s="10" t="inlineStr">
        <is>
          <t>0</t>
        </is>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inlineStr">
        <is>
          <t>Students are given tasks with optional descriptions and embedded artifacts, such as the Golabz app/lab for note-taking.</t>
        </is>
      </c>
      <c r="G24" s="8" t="inlineStr">
        <is>
          <t>0</t>
        </is>
      </c>
      <c r="H24" s="8" t="inlineStr">
        <is>
          <t>0</t>
        </is>
      </c>
      <c r="I24" s="8" t="inlineStr">
        <is>
          <t>0</t>
        </is>
      </c>
      <c r="J24" s="8" t="inlineStr">
        <is>
          <t>0</t>
        </is>
      </c>
      <c r="K24" s="9" t="inlineStr">
        <is>
          <t>0</t>
        </is>
      </c>
      <c r="L24" s="9" t="inlineStr">
        <is>
          <t>0</t>
        </is>
      </c>
      <c r="M24" s="9" t="inlineStr">
        <is>
          <t>0</t>
        </is>
      </c>
      <c r="N24" s="9" t="inlineStr">
        <is>
          <t>0</t>
        </is>
      </c>
      <c r="O24" s="10" t="inlineStr">
        <is>
          <t>0</t>
        </is>
      </c>
      <c r="P24" s="10" t="inlineStr">
        <is>
          <t>0</t>
        </is>
      </c>
      <c r="Q24" s="10" t="inlineStr">
        <is>
          <t>0</t>
        </is>
      </c>
      <c r="R24" s="10" t="inlineStr">
        <is>
          <t>0</t>
        </is>
      </c>
      <c r="S24" s="10" t="inlineStr">
        <is>
          <t>0</t>
        </is>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inlineStr">
        <is>
          <t>Students were given task descriptions with no artifacts embedded. Item 1 and 2 had minimal instructions, while Item 3 described elastic materials.</t>
        </is>
      </c>
      <c r="G25" s="8" t="inlineStr">
        <is>
          <t>1</t>
        </is>
      </c>
      <c r="H25" s="8" t="inlineStr">
        <is>
          <t>0</t>
        </is>
      </c>
      <c r="I25" s="8" t="inlineStr">
        <is>
          <t>0</t>
        </is>
      </c>
      <c r="J25" s="8" t="inlineStr">
        <is>
          <t>0</t>
        </is>
      </c>
      <c r="K25" s="9" t="inlineStr">
        <is>
          <t>1</t>
        </is>
      </c>
      <c r="L25" s="9" t="inlineStr">
        <is>
          <t>0</t>
        </is>
      </c>
      <c r="M25" s="9" t="inlineStr">
        <is>
          <t>0</t>
        </is>
      </c>
      <c r="N25" s="9" t="inlineStr">
        <is>
          <t>0</t>
        </is>
      </c>
      <c r="O25" s="10" t="inlineStr">
        <is>
          <t>1</t>
        </is>
      </c>
      <c r="P25" s="10" t="inlineStr">
        <is>
          <t>0</t>
        </is>
      </c>
      <c r="Q25" s="10" t="inlineStr">
        <is>
          <t>0</t>
        </is>
      </c>
      <c r="R25" s="10" t="inlineStr">
        <is>
          <t>0</t>
        </is>
      </c>
      <c r="S25" s="10" t="inlineStr">
        <is>
          <t>0</t>
        </is>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inlineStr">
        <is>
          <t>No task descriptions or artifacts in Items 1 and 3. Item 2 describes elastic materials and Hooke's Law.</t>
        </is>
      </c>
      <c r="G26" s="8" t="inlineStr">
        <is>
          <t>0</t>
        </is>
      </c>
      <c r="H26" s="8" t="inlineStr">
        <is>
          <t>0</t>
        </is>
      </c>
      <c r="I26" s="8" t="inlineStr">
        <is>
          <t>0</t>
        </is>
      </c>
      <c r="J26" s="8" t="inlineStr">
        <is>
          <t>0</t>
        </is>
      </c>
      <c r="K26" s="9" t="inlineStr">
        <is>
          <t>1</t>
        </is>
      </c>
      <c r="L26" s="9" t="inlineStr">
        <is>
          <t>0</t>
        </is>
      </c>
      <c r="M26" s="9" t="inlineStr">
        <is>
          <t>0</t>
        </is>
      </c>
      <c r="N26" s="9" t="inlineStr">
        <is>
          <t>0</t>
        </is>
      </c>
      <c r="O26" s="10" t="inlineStr">
        <is>
          <t>0</t>
        </is>
      </c>
      <c r="P26" s="10" t="inlineStr">
        <is>
          <t>0</t>
        </is>
      </c>
      <c r="Q26" s="10" t="inlineStr">
        <is>
          <t>0</t>
        </is>
      </c>
      <c r="R26" s="10" t="inlineStr">
        <is>
          <t>0</t>
        </is>
      </c>
      <c r="S26" s="10" t="inlineStr">
        <is>
          <t>0</t>
        </is>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inlineStr">
        <is>
          <t>No instructions are provided to students. All items have "No artifact embedded" and lack meaningful tasks, except for Item2 which says "Click on Evaluation to continue".</t>
        </is>
      </c>
      <c r="G27" s="8" t="inlineStr">
        <is>
          <t>0</t>
        </is>
      </c>
      <c r="H27" s="8" t="inlineStr">
        <is>
          <t>0</t>
        </is>
      </c>
      <c r="I27" s="8" t="inlineStr">
        <is>
          <t>0</t>
        </is>
      </c>
      <c r="J27" s="8" t="inlineStr">
        <is>
          <t>0</t>
        </is>
      </c>
      <c r="K27" s="9" t="inlineStr">
        <is>
          <t>0</t>
        </is>
      </c>
      <c r="L27" s="9" t="inlineStr">
        <is>
          <t>0</t>
        </is>
      </c>
      <c r="M27" s="9" t="inlineStr">
        <is>
          <t>0</t>
        </is>
      </c>
      <c r="N27" s="9" t="inlineStr">
        <is>
          <t>0</t>
        </is>
      </c>
      <c r="O27" s="10" t="inlineStr">
        <is>
          <t>0</t>
        </is>
      </c>
      <c r="P27" s="10" t="inlineStr">
        <is>
          <t>0</t>
        </is>
      </c>
      <c r="Q27" s="10" t="inlineStr">
        <is>
          <t>0</t>
        </is>
      </c>
      <c r="R27" s="10" t="inlineStr">
        <is>
          <t>0</t>
        </is>
      </c>
      <c r="S27" s="10" t="inlineStr">
        <is>
          <t>0</t>
        </is>
      </c>
    </row>
    <row r="28" ht="296"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inlineStr">
        <is>
          <t>Students were instructed to click "Evaluation", attempt questions, with an embedded Golabz quiz app artifact in Item3.</t>
        </is>
      </c>
      <c r="G28" s="8" t="inlineStr">
        <is>
          <t>0</t>
        </is>
      </c>
      <c r="H28" s="8" t="inlineStr">
        <is>
          <t>1</t>
        </is>
      </c>
      <c r="I28" s="8" t="inlineStr">
        <is>
          <t>1</t>
        </is>
      </c>
      <c r="J28" s="8" t="inlineStr">
        <is>
          <t>1</t>
        </is>
      </c>
      <c r="K28" s="9" t="inlineStr">
        <is>
          <t>1</t>
        </is>
      </c>
      <c r="L28" s="9" t="inlineStr">
        <is>
          <t>1</t>
        </is>
      </c>
      <c r="M28" s="9" t="inlineStr">
        <is>
          <t>0</t>
        </is>
      </c>
      <c r="N28" s="9" t="inlineStr">
        <is>
          <t>0</t>
        </is>
      </c>
      <c r="O28" s="10" t="inlineStr">
        <is>
          <t>0</t>
        </is>
      </c>
      <c r="P28" s="10" t="inlineStr">
        <is>
          <t>0</t>
        </is>
      </c>
      <c r="Q28" s="10" t="inlineStr">
        <is>
          <t>0</t>
        </is>
      </c>
      <c r="R28" s="10" t="inlineStr">
        <is>
          <t>0</t>
        </is>
      </c>
      <c r="S28" s="10" t="inlineStr">
        <is>
          <t>1</t>
        </is>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inlineStr">
        <is>
          <t>Students were given tasks with varying levels of guidance, including taking a quiz via Golabz app and answering a question about Hooke's Law.</t>
        </is>
      </c>
      <c r="G29" s="8" t="inlineStr">
        <is>
          <t>0</t>
        </is>
      </c>
      <c r="H29" s="8" t="inlineStr">
        <is>
          <t>0</t>
        </is>
      </c>
      <c r="I29" s="8" t="inlineStr">
        <is>
          <t>1</t>
        </is>
      </c>
      <c r="J29" s="8" t="inlineStr">
        <is>
          <t>0</t>
        </is>
      </c>
      <c r="K29" s="9" t="inlineStr">
        <is>
          <t>0</t>
        </is>
      </c>
      <c r="L29" s="9" t="inlineStr">
        <is>
          <t>1</t>
        </is>
      </c>
      <c r="M29" s="9" t="inlineStr">
        <is>
          <t>0</t>
        </is>
      </c>
      <c r="N29" s="9" t="inlineStr">
        <is>
          <t>0</t>
        </is>
      </c>
      <c r="O29" s="10" t="inlineStr">
        <is>
          <t>0</t>
        </is>
      </c>
      <c r="P29" s="10" t="inlineStr">
        <is>
          <t>0</t>
        </is>
      </c>
      <c r="Q29" s="10" t="inlineStr">
        <is>
          <t>0</t>
        </is>
      </c>
      <c r="R29" s="10" t="inlineStr">
        <is>
          <t>0</t>
        </is>
      </c>
      <c r="S29" s="10" t="inlineStr">
        <is>
          <t>0</t>
        </is>
      </c>
    </row>
    <row r="30" ht="329"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inlineStr">
        <is>
          <t>Students attempt quiz questions with interactive tools and apps, including Golabz and input boxes, with some items having no task or artifact description.</t>
        </is>
      </c>
      <c r="G30" s="8" t="inlineStr">
        <is>
          <t>0</t>
        </is>
      </c>
      <c r="H30" s="8" t="inlineStr">
        <is>
          <t>1</t>
        </is>
      </c>
      <c r="I30" s="8" t="inlineStr">
        <is>
          <t>1</t>
        </is>
      </c>
      <c r="J30" s="8" t="inlineStr">
        <is>
          <t>1</t>
        </is>
      </c>
      <c r="K30" s="9" t="inlineStr">
        <is>
          <t>0</t>
        </is>
      </c>
      <c r="L30" s="9" t="inlineStr">
        <is>
          <t>1</t>
        </is>
      </c>
      <c r="M30" s="9" t="inlineStr">
        <is>
          <t>0</t>
        </is>
      </c>
      <c r="N30" s="9" t="inlineStr">
        <is>
          <t>0</t>
        </is>
      </c>
      <c r="O30" s="10" t="inlineStr">
        <is>
          <t>0</t>
        </is>
      </c>
      <c r="P30" s="10" t="inlineStr">
        <is>
          <t>0</t>
        </is>
      </c>
      <c r="Q30" s="10" t="inlineStr">
        <is>
          <t>0</t>
        </is>
      </c>
      <c r="R30" s="10" t="inlineStr">
        <is>
          <t>0</t>
        </is>
      </c>
      <c r="S30" s="10" t="inlineStr">
        <is>
          <t>1</t>
        </is>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inlineStr">
        <is>
          <t>Students were instructed to state Hooke's Law. Embedded artifacts include note-taking and feedback tools.</t>
        </is>
      </c>
      <c r="G31" s="8" t="inlineStr">
        <is>
          <t>1</t>
        </is>
      </c>
      <c r="H31" s="8" t="inlineStr">
        <is>
          <t>0</t>
        </is>
      </c>
      <c r="I31" s="8" t="inlineStr">
        <is>
          <t>1</t>
        </is>
      </c>
      <c r="J31" s="8" t="inlineStr">
        <is>
          <t>0</t>
        </is>
      </c>
      <c r="K31" s="9" t="inlineStr">
        <is>
          <t>0</t>
        </is>
      </c>
      <c r="L31" s="9" t="inlineStr">
        <is>
          <t>1</t>
        </is>
      </c>
      <c r="M31" s="9" t="inlineStr">
        <is>
          <t>0</t>
        </is>
      </c>
      <c r="N31" s="9" t="inlineStr">
        <is>
          <t>0</t>
        </is>
      </c>
      <c r="O31" s="10" t="inlineStr">
        <is>
          <t>0</t>
        </is>
      </c>
      <c r="P31" s="10" t="inlineStr">
        <is>
          <t>0</t>
        </is>
      </c>
      <c r="Q31" s="10" t="inlineStr">
        <is>
          <t>0</t>
        </is>
      </c>
      <c r="R31" s="10" t="inlineStr">
        <is>
          <t>0</t>
        </is>
      </c>
      <c r="S31" s="10" t="inlineStr">
        <is>
          <t>1</t>
        </is>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inlineStr">
        <is>
          <t>Students have no task descriptions for Items 1 and 2, but Item 3 has a question about Hooke's Law. Embedded artifacts include note-taking and feedback tools in Golabz app/lab.</t>
        </is>
      </c>
      <c r="G32" s="8" t="inlineStr">
        <is>
          <t>0</t>
        </is>
      </c>
      <c r="H32" s="8" t="inlineStr">
        <is>
          <t>0</t>
        </is>
      </c>
      <c r="I32" s="8" t="inlineStr">
        <is>
          <t>1</t>
        </is>
      </c>
      <c r="J32" s="8" t="inlineStr">
        <is>
          <t>1</t>
        </is>
      </c>
      <c r="K32" s="9" t="inlineStr">
        <is>
          <t>0</t>
        </is>
      </c>
      <c r="L32" s="9" t="inlineStr">
        <is>
          <t>1</t>
        </is>
      </c>
      <c r="M32" s="9" t="inlineStr">
        <is>
          <t>0</t>
        </is>
      </c>
      <c r="N32" s="9" t="inlineStr">
        <is>
          <t>0</t>
        </is>
      </c>
      <c r="O32" s="10" t="inlineStr">
        <is>
          <t>0</t>
        </is>
      </c>
      <c r="P32" s="10" t="inlineStr">
        <is>
          <t>1</t>
        </is>
      </c>
      <c r="Q32" s="10" t="inlineStr">
        <is>
          <t>0</t>
        </is>
      </c>
      <c r="R32" s="10" t="inlineStr">
        <is>
          <t>0</t>
        </is>
      </c>
      <c r="S32" s="10" t="inlineStr">
        <is>
          <t>0</t>
        </is>
      </c>
    </row>
    <row r="33" ht="329"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inlineStr">
        <is>
          <t>Students received task descriptions and embedded artifacts, including Golabz apps for feedback and note-taking with optional collaboration mode.</t>
        </is>
      </c>
      <c r="G33" s="8" t="inlineStr">
        <is>
          <t>0</t>
        </is>
      </c>
      <c r="H33" s="8" t="inlineStr">
        <is>
          <t>1</t>
        </is>
      </c>
      <c r="I33" s="8" t="inlineStr">
        <is>
          <t>1</t>
        </is>
      </c>
      <c r="J33" s="8" t="inlineStr">
        <is>
          <t>1</t>
        </is>
      </c>
      <c r="K33" s="9" t="inlineStr">
        <is>
          <t>0</t>
        </is>
      </c>
      <c r="L33" s="9" t="inlineStr">
        <is>
          <t>1</t>
        </is>
      </c>
      <c r="M33" s="9" t="inlineStr">
        <is>
          <t>0</t>
        </is>
      </c>
      <c r="N33" s="9" t="inlineStr">
        <is>
          <t>0</t>
        </is>
      </c>
      <c r="O33" s="10" t="inlineStr">
        <is>
          <t>0</t>
        </is>
      </c>
      <c r="P33" s="10" t="inlineStr">
        <is>
          <t>0</t>
        </is>
      </c>
      <c r="Q33" s="10" t="inlineStr">
        <is>
          <t>0</t>
        </is>
      </c>
      <c r="R33" s="10" t="inlineStr">
        <is>
          <t>0</t>
        </is>
      </c>
      <c r="S33" s="10" t="inlineStr">
        <is>
          <t>1</t>
        </is>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inlineStr">
        <is>
          <t>Students state practical applications of materials obeying or not obeying Hooke's Law. Embedded artifacts include note-taking and feedback tools.</t>
        </is>
      </c>
      <c r="G34" s="8" t="inlineStr">
        <is>
          <t>1</t>
        </is>
      </c>
      <c r="H34" s="8" t="inlineStr">
        <is>
          <t>0</t>
        </is>
      </c>
      <c r="I34" s="8" t="inlineStr">
        <is>
          <t>1</t>
        </is>
      </c>
      <c r="J34" s="8" t="inlineStr">
        <is>
          <t>0</t>
        </is>
      </c>
      <c r="K34" s="9" t="inlineStr">
        <is>
          <t>0</t>
        </is>
      </c>
      <c r="L34" s="9" t="inlineStr">
        <is>
          <t>1</t>
        </is>
      </c>
      <c r="M34" s="9" t="inlineStr">
        <is>
          <t>0</t>
        </is>
      </c>
      <c r="N34" s="9" t="inlineStr">
        <is>
          <t>0</t>
        </is>
      </c>
      <c r="O34" s="10" t="inlineStr">
        <is>
          <t>0</t>
        </is>
      </c>
      <c r="P34" s="10" t="inlineStr">
        <is>
          <t>0</t>
        </is>
      </c>
      <c r="Q34" s="10" t="inlineStr">
        <is>
          <t>0</t>
        </is>
      </c>
      <c r="R34" s="10" t="inlineStr">
        <is>
          <t>0</t>
        </is>
      </c>
      <c r="S34" s="10" t="inlineStr">
        <is>
          <t>1</t>
        </is>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inlineStr">
        <is>
          <t>No instructions provided. Embedded artifacts include note-taking and feedback tools in Golabz app/lab.</t>
        </is>
      </c>
      <c r="G35" s="8" t="inlineStr">
        <is>
          <t>0</t>
        </is>
      </c>
      <c r="H35" s="8" t="inlineStr">
        <is>
          <t>0</t>
        </is>
      </c>
      <c r="I35" s="8" t="inlineStr">
        <is>
          <t>0</t>
        </is>
      </c>
      <c r="J35" s="8" t="inlineStr">
        <is>
          <t>0</t>
        </is>
      </c>
      <c r="K35" s="9" t="inlineStr">
        <is>
          <t>0</t>
        </is>
      </c>
      <c r="L35" s="9" t="inlineStr">
        <is>
          <t>0</t>
        </is>
      </c>
      <c r="M35" s="9" t="inlineStr">
        <is>
          <t>0</t>
        </is>
      </c>
      <c r="N35" s="9" t="inlineStr">
        <is>
          <t>0</t>
        </is>
      </c>
      <c r="O35" s="10" t="inlineStr">
        <is>
          <t>0</t>
        </is>
      </c>
      <c r="P35" s="10" t="inlineStr">
        <is>
          <t>0</t>
        </is>
      </c>
      <c r="Q35" s="10" t="inlineStr">
        <is>
          <t>0</t>
        </is>
      </c>
      <c r="R35" s="10" t="inlineStr">
        <is>
          <t>0</t>
        </is>
      </c>
      <c r="S35" s="10" t="inlineStr">
        <is>
          <t>0</t>
        </is>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inlineStr">
        <is>
          <t>Students received tasks with varying levels of detail, including using Golabz app for feedback and explaining uses of elastic materials. Some items had no task description or embedded artifacts.</t>
        </is>
      </c>
      <c r="G36" s="8" t="inlineStr">
        <is>
          <t>0</t>
        </is>
      </c>
      <c r="H36" s="8" t="inlineStr">
        <is>
          <t>0</t>
        </is>
      </c>
      <c r="I36" s="8" t="inlineStr">
        <is>
          <t>1</t>
        </is>
      </c>
      <c r="J36" s="8" t="inlineStr">
        <is>
          <t>1</t>
        </is>
      </c>
      <c r="K36" s="9" t="inlineStr">
        <is>
          <t>0</t>
        </is>
      </c>
      <c r="L36" s="9" t="inlineStr">
        <is>
          <t>1</t>
        </is>
      </c>
      <c r="M36" s="9" t="inlineStr">
        <is>
          <t>0</t>
        </is>
      </c>
      <c r="N36" s="9" t="inlineStr">
        <is>
          <t>0</t>
        </is>
      </c>
      <c r="O36" s="10" t="inlineStr">
        <is>
          <t>0</t>
        </is>
      </c>
      <c r="P36" s="10" t="inlineStr">
        <is>
          <t>1</t>
        </is>
      </c>
      <c r="Q36" s="10" t="inlineStr">
        <is>
          <t>0</t>
        </is>
      </c>
      <c r="R36" s="10" t="inlineStr">
        <is>
          <t>0</t>
        </is>
      </c>
      <c r="S36" s="10" t="inlineStr">
        <is>
          <t>0</t>
        </is>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inlineStr">
        <is>
          <t>Students are assigned to explain elastic materials' uses and analyze spring connections. Embedded artifacts include a Microsoft Word document in Item 3.</t>
        </is>
      </c>
      <c r="G37" s="8" t="inlineStr">
        <is>
          <t>1</t>
        </is>
      </c>
      <c r="H37" s="8" t="inlineStr">
        <is>
          <t>0</t>
        </is>
      </c>
      <c r="I37" s="8" t="inlineStr">
        <is>
          <t>0</t>
        </is>
      </c>
      <c r="J37" s="8" t="inlineStr">
        <is>
          <t>0</t>
        </is>
      </c>
      <c r="K37" s="9" t="inlineStr">
        <is>
          <t>1</t>
        </is>
      </c>
      <c r="L37" s="9" t="inlineStr">
        <is>
          <t>1</t>
        </is>
      </c>
      <c r="M37" s="9" t="inlineStr">
        <is>
          <t>0</t>
        </is>
      </c>
      <c r="N37" s="9" t="inlineStr">
        <is>
          <t>0</t>
        </is>
      </c>
      <c r="O37" s="10" t="inlineStr">
        <is>
          <t>0</t>
        </is>
      </c>
      <c r="P37" s="10" t="inlineStr">
        <is>
          <t>0</t>
        </is>
      </c>
      <c r="Q37" s="10" t="inlineStr">
        <is>
          <t>0</t>
        </is>
      </c>
      <c r="R37" s="10" t="inlineStr">
        <is>
          <t>0</t>
        </is>
      </c>
      <c r="S37" s="10" t="inlineStr">
        <is>
          <t>0</t>
        </is>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inlineStr">
        <is>
          <t>Students are asked to state and explain uses of elastic materials and analyze spring connections. Embedded artifacts include a Microsoft Word document and a file-upload app.</t>
        </is>
      </c>
      <c r="G38" s="8" t="inlineStr">
        <is>
          <t>1</t>
        </is>
      </c>
      <c r="H38" s="8" t="inlineStr">
        <is>
          <t>1</t>
        </is>
      </c>
      <c r="I38" s="8" t="inlineStr">
        <is>
          <t>1</t>
        </is>
      </c>
      <c r="J38" s="8" t="inlineStr">
        <is>
          <t>0</t>
        </is>
      </c>
      <c r="K38" s="9" t="inlineStr">
        <is>
          <t>0</t>
        </is>
      </c>
      <c r="L38" s="9" t="inlineStr">
        <is>
          <t>1</t>
        </is>
      </c>
      <c r="M38" s="9" t="inlineStr">
        <is>
          <t>0</t>
        </is>
      </c>
      <c r="N38" s="9" t="inlineStr">
        <is>
          <t>0</t>
        </is>
      </c>
      <c r="O38" s="10" t="inlineStr">
        <is>
          <t>0</t>
        </is>
      </c>
      <c r="P38" s="10" t="inlineStr">
        <is>
          <t>0</t>
        </is>
      </c>
      <c r="Q38" s="10" t="inlineStr">
        <is>
          <t>0</t>
        </is>
      </c>
      <c r="R38" s="10" t="inlineStr">
        <is>
          <t>0</t>
        </is>
      </c>
      <c r="S38" s="10" t="inlineStr">
        <is>
          <t>1</t>
        </is>
      </c>
    </row>
    <row r="39" ht="263" customHeight="1">
      <c r="A39" s="6">
        <f>IFERROR(__xludf.DUMMYFUNCTION("""COMPUTED_VALUE"""),"Machine Learning and Artificial Intelligence")</f>
        <v/>
      </c>
      <c r="B39" s="6">
        <f>IFERROR(__xludf.DUMMYFUNCTION("""COMPUTED_VALUE"""),"Space")</f>
        <v/>
      </c>
      <c r="C39" s="6">
        <f>IFERROR(__xludf.DUMMYFUNCTION("""COMPUTED_VALUE"""),"Orientation")</f>
        <v/>
      </c>
      <c r="D39" s="7">
        <f>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
      </c>
      <c r="E39" s="7">
        <f>IFERROR(__xludf.DUMMYFUNCTION("""COMPUTED_VALUE"""),"No artifact embedded")</f>
        <v/>
      </c>
      <c r="F39" s="7" t="inlineStr">
        <is>
          <t>Students received no task descriptions for Items 1 and 2, but Item 3 involves watching a video and discussing. Embedded artifacts include a Word document and Golabz app/lab.</t>
        </is>
      </c>
      <c r="G39" s="8" t="inlineStr">
        <is>
          <t>0</t>
        </is>
      </c>
      <c r="H39" s="8" t="inlineStr">
        <is>
          <t>0</t>
        </is>
      </c>
      <c r="I39" s="8" t="inlineStr">
        <is>
          <t>0</t>
        </is>
      </c>
      <c r="J39" s="8" t="inlineStr">
        <is>
          <t>1</t>
        </is>
      </c>
      <c r="K39" s="9" t="inlineStr">
        <is>
          <t>0</t>
        </is>
      </c>
      <c r="L39" s="9" t="inlineStr">
        <is>
          <t>0</t>
        </is>
      </c>
      <c r="M39" s="9" t="inlineStr">
        <is>
          <t>1</t>
        </is>
      </c>
      <c r="N39" s="9" t="inlineStr">
        <is>
          <t>1</t>
        </is>
      </c>
      <c r="O39" s="10" t="inlineStr">
        <is>
          <t>1</t>
        </is>
      </c>
      <c r="P39" s="10" t="inlineStr">
        <is>
          <t>1</t>
        </is>
      </c>
      <c r="Q39" s="10" t="inlineStr">
        <is>
          <t>0</t>
        </is>
      </c>
      <c r="R39" s="10" t="inlineStr">
        <is>
          <t>0</t>
        </is>
      </c>
      <c r="S39" s="10" t="inlineStr">
        <is>
          <t>1</t>
        </is>
      </c>
    </row>
    <row r="40" ht="373" customHeight="1">
      <c r="A40" s="6">
        <f>IFERROR(__xludf.DUMMYFUNCTION("""COMPUTED_VALUE"""),"Machine Learning and Artificial Intelligence")</f>
        <v/>
      </c>
      <c r="B40" s="6">
        <f>IFERROR(__xludf.DUMMYFUNCTION("""COMPUTED_VALUE"""),"Resource")</f>
        <v/>
      </c>
      <c r="C40" s="6">
        <f>IFERROR(__xludf.DUMMYFUNCTION("""COMPUTED_VALUE"""),"BUDDY - the Emotional Robot (EN-FR)")</f>
        <v/>
      </c>
      <c r="D40" s="7">
        <f>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
      </c>
      <c r="E40" s="7">
        <f>IFERROR(__xludf.DUMMYFUNCTION("""COMPUTED_VALUE"""),"youtube.com: A widely known video-sharing platform where users can watch videos on a vast array of topics, including educational content.")</f>
        <v/>
      </c>
      <c r="F40" s="7" t="inlineStr">
        <is>
          <t>Students are given tasks with varying levels of guidance and embedded artifacts such as apps and videos.</t>
        </is>
      </c>
      <c r="G40" s="8" t="inlineStr">
        <is>
          <t>1</t>
        </is>
      </c>
      <c r="H40" s="8" t="inlineStr">
        <is>
          <t>0</t>
        </is>
      </c>
      <c r="I40" s="8" t="inlineStr">
        <is>
          <t>0</t>
        </is>
      </c>
      <c r="J40" s="8" t="inlineStr">
        <is>
          <t>0</t>
        </is>
      </c>
      <c r="K40" s="9" t="inlineStr">
        <is>
          <t>1</t>
        </is>
      </c>
      <c r="L40" s="9" t="inlineStr">
        <is>
          <t>0</t>
        </is>
      </c>
      <c r="M40" s="9" t="inlineStr">
        <is>
          <t>0</t>
        </is>
      </c>
      <c r="N40" s="9" t="inlineStr">
        <is>
          <t>0</t>
        </is>
      </c>
      <c r="O40" s="10" t="inlineStr">
        <is>
          <t>1</t>
        </is>
      </c>
      <c r="P40" s="10" t="inlineStr">
        <is>
          <t>0</t>
        </is>
      </c>
      <c r="Q40" s="10" t="inlineStr">
        <is>
          <t>0</t>
        </is>
      </c>
      <c r="R40" s="10" t="inlineStr">
        <is>
          <t>0</t>
        </is>
      </c>
      <c r="S40" s="10" t="inlineStr">
        <is>
          <t>0</t>
        </is>
      </c>
    </row>
    <row r="41" ht="409.5" customHeight="1">
      <c r="A41" s="6">
        <f>IFERROR(__xludf.DUMMYFUNCTION("""COMPUTED_VALUE"""),"Machine Learning and Artificial Intelligence")</f>
        <v/>
      </c>
      <c r="B41" s="6">
        <f>IFERROR(__xludf.DUMMYFUNCTION("""COMPUTED_VALUE"""),"Application")</f>
        <v/>
      </c>
      <c r="C41" s="6">
        <f>IFERROR(__xludf.DUMMYFUNCTION("""COMPUTED_VALUE"""),"Speakup: how can Buddy interact with us?")</f>
        <v/>
      </c>
      <c r="D41" s="7">
        <f>IFERROR(__xludf.DUMMYFUNCTION("""COMPUTED_VALUE"""),"&lt;p&gt;Discuss with your team and try to respond to the next questions.&lt;/p&gt;&lt;p&gt;1) How do you think that Buddy can interact with people?&lt;br&gt;2) How does it ""hear"", ""see"", or ""talk""?&lt;br&gt;3) How does it move?&lt;/p&gt;")</f>
        <v/>
      </c>
      <c r="E41"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1" s="7" t="inlineStr">
        <is>
          <t>Students discuss and answer questions about smart devices and robots, with embedded artifacts including videos and interactive apps like SpeakUp.</t>
        </is>
      </c>
      <c r="G41" s="8" t="inlineStr">
        <is>
          <t>0</t>
        </is>
      </c>
      <c r="H41" s="8" t="inlineStr">
        <is>
          <t>0</t>
        </is>
      </c>
      <c r="I41" s="8" t="inlineStr">
        <is>
          <t>0</t>
        </is>
      </c>
      <c r="J41" s="8" t="inlineStr">
        <is>
          <t>1</t>
        </is>
      </c>
      <c r="K41" s="9" t="inlineStr">
        <is>
          <t>0</t>
        </is>
      </c>
      <c r="L41" s="9" t="inlineStr">
        <is>
          <t>0</t>
        </is>
      </c>
      <c r="M41" s="9" t="inlineStr">
        <is>
          <t>1</t>
        </is>
      </c>
      <c r="N41" s="9" t="inlineStr">
        <is>
          <t>1</t>
        </is>
      </c>
      <c r="O41" s="10" t="inlineStr">
        <is>
          <t>1</t>
        </is>
      </c>
      <c r="P41" s="10" t="inlineStr">
        <is>
          <t>1</t>
        </is>
      </c>
      <c r="Q41" s="10" t="inlineStr">
        <is>
          <t>0</t>
        </is>
      </c>
      <c r="R41" s="10" t="inlineStr">
        <is>
          <t>0</t>
        </is>
      </c>
      <c r="S41" s="10" t="inlineStr">
        <is>
          <t>1</t>
        </is>
      </c>
    </row>
    <row r="42" ht="145" customHeight="1">
      <c r="A42" s="6">
        <f>IFERROR(__xludf.DUMMYFUNCTION("""COMPUTED_VALUE"""),"Machine Learning and Artificial Intelligence")</f>
        <v/>
      </c>
      <c r="B42" s="6">
        <f>IFERROR(__xludf.DUMMYFUNCTION("""COMPUTED_VALUE"""),"Space")</f>
        <v/>
      </c>
      <c r="C42" s="6">
        <f>IFERROR(__xludf.DUMMYFUNCTION("""COMPUTED_VALUE"""),"Conceptualisation")</f>
        <v/>
      </c>
      <c r="D42" s="7">
        <f>IFERROR(__xludf.DUMMYFUNCTION("""COMPUTED_VALUE"""),"&lt;p&gt;Maybe you have come to some answers about how Buddy can respond to different requests. Think of Buddy as a computer. Watch the video bellow and try to resolve the quizzes!&lt;/p&gt;")</f>
        <v/>
      </c>
      <c r="E42" s="7">
        <f>IFERROR(__xludf.DUMMYFUNCTION("""COMPUTED_VALUE"""),"No artifact embedded")</f>
        <v/>
      </c>
      <c r="F42" s="7" t="inlineStr">
        <is>
          <t>Students are given tasks to discuss BUDDY robot's interactions, watch videos, and complete quizzes using embedded artifacts like YouTube and Golabz app/lab.</t>
        </is>
      </c>
      <c r="G42" s="8" t="inlineStr">
        <is>
          <t>0</t>
        </is>
      </c>
      <c r="H42" s="8" t="inlineStr">
        <is>
          <t>0</t>
        </is>
      </c>
      <c r="I42" s="8" t="inlineStr">
        <is>
          <t>1</t>
        </is>
      </c>
      <c r="J42" s="8" t="inlineStr">
        <is>
          <t>1</t>
        </is>
      </c>
      <c r="K42" s="9" t="inlineStr">
        <is>
          <t>1</t>
        </is>
      </c>
      <c r="L42" s="9" t="inlineStr">
        <is>
          <t>1</t>
        </is>
      </c>
      <c r="M42" s="9" t="inlineStr">
        <is>
          <t>0</t>
        </is>
      </c>
      <c r="N42" s="9" t="inlineStr">
        <is>
          <t>0</t>
        </is>
      </c>
      <c r="O42" s="10" t="inlineStr">
        <is>
          <t>1</t>
        </is>
      </c>
      <c r="P42" s="10" t="inlineStr">
        <is>
          <t>0</t>
        </is>
      </c>
      <c r="Q42" s="10" t="inlineStr">
        <is>
          <t>0</t>
        </is>
      </c>
      <c r="R42" s="10" t="inlineStr">
        <is>
          <t>0</t>
        </is>
      </c>
      <c r="S42" s="10" t="inlineStr">
        <is>
          <t>0</t>
        </is>
      </c>
    </row>
    <row r="43" ht="157" customHeight="1">
      <c r="A43" s="6">
        <f>IFERROR(__xludf.DUMMYFUNCTION("""COMPUTED_VALUE"""),"Machine Learning and Artificial Intelligence")</f>
        <v/>
      </c>
      <c r="B43" s="6">
        <f>IFERROR(__xludf.DUMMYFUNCTION("""COMPUTED_VALUE"""),"Resource")</f>
        <v/>
      </c>
      <c r="C43" s="6">
        <f>IFERROR(__xludf.DUMMYFUNCTION("""COMPUTED_VALUE"""),"How Computers Work: What Makes a Computer, a Computer?")</f>
        <v/>
      </c>
      <c r="D43" s="7">
        <f>IFERROR(__xludf.DUMMYFUNCTION("""COMPUTED_VALUE"""),"&lt;p&gt;Computers are all around us, but what really makes a computer, a computer? Explore the history of computers and the features they all share.&lt;/p&gt;&lt;p&gt;&lt;br&gt;&lt;/p&gt;")</f>
        <v/>
      </c>
      <c r="E43" s="7">
        <f>IFERROR(__xludf.DUMMYFUNCTION("""COMPUTED_VALUE"""),"youtu.be: A shortened URL service for YouTube, leading to various videos on the platform.")</f>
        <v/>
      </c>
      <c r="F43" s="7" t="inlineStr">
        <is>
          <t>Students discuss and respond to questions about Buddy's interactions. Embedded artifacts include Golabz app and YouTube video links.</t>
        </is>
      </c>
      <c r="G43" s="8" t="inlineStr">
        <is>
          <t>1</t>
        </is>
      </c>
      <c r="H43" s="8" t="inlineStr">
        <is>
          <t>0</t>
        </is>
      </c>
      <c r="I43" s="8" t="inlineStr">
        <is>
          <t>0</t>
        </is>
      </c>
      <c r="J43" s="8" t="inlineStr">
        <is>
          <t>0</t>
        </is>
      </c>
      <c r="K43" s="9" t="inlineStr">
        <is>
          <t>1</t>
        </is>
      </c>
      <c r="L43" s="9" t="inlineStr">
        <is>
          <t>0</t>
        </is>
      </c>
      <c r="M43" s="9" t="inlineStr">
        <is>
          <t>0</t>
        </is>
      </c>
      <c r="N43" s="9" t="inlineStr">
        <is>
          <t>0</t>
        </is>
      </c>
      <c r="O43" s="10" t="inlineStr">
        <is>
          <t>1</t>
        </is>
      </c>
      <c r="P43" s="10" t="inlineStr">
        <is>
          <t>0</t>
        </is>
      </c>
      <c r="Q43" s="10" t="inlineStr">
        <is>
          <t>0</t>
        </is>
      </c>
      <c r="R43" s="10" t="inlineStr">
        <is>
          <t>0</t>
        </is>
      </c>
      <c r="S43" s="10" t="inlineStr">
        <is>
          <t>0</t>
        </is>
      </c>
    </row>
    <row r="44" ht="157" customHeight="1">
      <c r="A44" s="6">
        <f>IFERROR(__xludf.DUMMYFUNCTION("""COMPUTED_VALUE"""),"Machine Learning and Artificial Intelligence")</f>
        <v/>
      </c>
      <c r="B44" s="6">
        <f>IFERROR(__xludf.DUMMYFUNCTION("""COMPUTED_VALUE"""),"Resource")</f>
        <v/>
      </c>
      <c r="C44" s="6">
        <f>IFERROR(__xludf.DUMMYFUNCTION("""COMPUTED_VALUE"""),"Algorithm:Teach a Computer to draw the letter L")</f>
        <v/>
      </c>
      <c r="D44" s="7">
        <f>IFERROR(__xludf.DUMMYFUNCTION("""COMPUTED_VALUE"""),"Me the A.I eTwinning Project 2019-2020 Create an algorithm! Put the sentences in the right place and teach a computer how to draw the letter L! Teacher: Lascaris Georgia, Greece")</f>
        <v/>
      </c>
      <c r="E44" s="7">
        <f>IFERROR(__xludf.DUMMYFUNCTION("""COMPUTED_VALUE"""),"learningapps.org: A platform for interactive learning modules and educational games.")</f>
        <v/>
      </c>
      <c r="F44" s="7" t="inlineStr">
        <is>
          <t>Students are instructed to watch videos, resolve quizzes, explore computer history, and create an algorithm. Embedded artifacts include YouTube videos and interactive learning modules from learningapps.org.</t>
        </is>
      </c>
      <c r="G44" s="8" t="inlineStr">
        <is>
          <t>0</t>
        </is>
      </c>
      <c r="H44" s="8" t="inlineStr">
        <is>
          <t>1</t>
        </is>
      </c>
      <c r="I44" s="8" t="inlineStr">
        <is>
          <t>1</t>
        </is>
      </c>
      <c r="J44" s="8" t="inlineStr">
        <is>
          <t>1</t>
        </is>
      </c>
      <c r="K44" s="9" t="inlineStr">
        <is>
          <t>0</t>
        </is>
      </c>
      <c r="L44" s="9" t="inlineStr">
        <is>
          <t>1</t>
        </is>
      </c>
      <c r="M44" s="9" t="inlineStr">
        <is>
          <t>0</t>
        </is>
      </c>
      <c r="N44" s="9" t="inlineStr">
        <is>
          <t>0</t>
        </is>
      </c>
      <c r="O44" s="10" t="inlineStr">
        <is>
          <t>0</t>
        </is>
      </c>
      <c r="P44" s="10" t="inlineStr">
        <is>
          <t>0</t>
        </is>
      </c>
      <c r="Q44" s="10" t="inlineStr">
        <is>
          <t>0</t>
        </is>
      </c>
      <c r="R44" s="10" t="inlineStr">
        <is>
          <t>0</t>
        </is>
      </c>
      <c r="S44" s="10" t="inlineStr">
        <is>
          <t>0</t>
        </is>
      </c>
    </row>
    <row r="45" ht="409.5" customHeight="1">
      <c r="A45" s="6">
        <f>IFERROR(__xludf.DUMMYFUNCTION("""COMPUTED_VALUE"""),"Machine Learning and Artificial Intelligence")</f>
        <v/>
      </c>
      <c r="B45" s="6">
        <f>IFERROR(__xludf.DUMMYFUNCTION("""COMPUTED_VALUE"""),"Space")</f>
        <v/>
      </c>
      <c r="C45" s="6">
        <f>IFERROR(__xludf.DUMMYFUNCTION("""COMPUTED_VALUE"""),"Investigation")</f>
        <v/>
      </c>
      <c r="D45" s="7">
        <f>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
      </c>
      <c r="E45" s="7">
        <f>IFERROR(__xludf.DUMMYFUNCTION("""COMPUTED_VALUE"""),"No artifact embedded")</f>
        <v/>
      </c>
      <c r="F45" s="7" t="inlineStr">
        <is>
          <t>Students explore computer history, create algorithms, and program robots using platforms like YouTube, LearningApps, and Scratch.</t>
        </is>
      </c>
      <c r="G45" s="8" t="inlineStr">
        <is>
          <t>1</t>
        </is>
      </c>
      <c r="H45" s="8" t="inlineStr">
        <is>
          <t>1</t>
        </is>
      </c>
      <c r="I45" s="8" t="inlineStr">
        <is>
          <t>1</t>
        </is>
      </c>
      <c r="J45" s="8" t="inlineStr">
        <is>
          <t>1</t>
        </is>
      </c>
      <c r="K45" s="9" t="inlineStr">
        <is>
          <t>1</t>
        </is>
      </c>
      <c r="L45" s="9" t="inlineStr">
        <is>
          <t>1</t>
        </is>
      </c>
      <c r="M45" s="9" t="inlineStr">
        <is>
          <t>0</t>
        </is>
      </c>
      <c r="N45" s="9" t="inlineStr">
        <is>
          <t>0</t>
        </is>
      </c>
      <c r="O45" s="10" t="inlineStr">
        <is>
          <t>1</t>
        </is>
      </c>
      <c r="P45" s="10" t="inlineStr">
        <is>
          <t>1</t>
        </is>
      </c>
      <c r="Q45" s="10" t="inlineStr">
        <is>
          <t>1</t>
        </is>
      </c>
      <c r="R45" s="10" t="inlineStr">
        <is>
          <t>0</t>
        </is>
      </c>
      <c r="S45" s="10" t="inlineStr">
        <is>
          <t>0</t>
        </is>
      </c>
    </row>
    <row r="46" ht="409.5" customHeight="1">
      <c r="A46" s="6">
        <f>IFERROR(__xludf.DUMMYFUNCTION("""COMPUTED_VALUE"""),"Machine Learning and Artificial Intelligence")</f>
        <v/>
      </c>
      <c r="B46" s="6">
        <f>IFERROR(__xludf.DUMMYFUNCTION("""COMPUTED_VALUE"""),"Application")</f>
        <v/>
      </c>
      <c r="C46" s="6">
        <f>IFERROR(__xludf.DUMMYFUNCTION("""COMPUTED_VALUE"""),"Hypothesis : If ...Then")</f>
        <v/>
      </c>
      <c r="D46" s="7">
        <f>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
      </c>
      <c r="E4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6" s="7" t="inlineStr">
        <is>
          <t>Students create algorithms and program robots using platforms like LearningApps and Scratch, with embedded artifacts including interactive learning modules and hypothesis-forming tools like Golabz app/lab.</t>
        </is>
      </c>
      <c r="G46" s="8" t="inlineStr">
        <is>
          <t>0</t>
        </is>
      </c>
      <c r="H46" s="8" t="inlineStr">
        <is>
          <t>1</t>
        </is>
      </c>
      <c r="I46" s="8" t="inlineStr">
        <is>
          <t>1</t>
        </is>
      </c>
      <c r="J46" s="8" t="inlineStr">
        <is>
          <t>1</t>
        </is>
      </c>
      <c r="K46" s="9" t="inlineStr">
        <is>
          <t>0</t>
        </is>
      </c>
      <c r="L46" s="9" t="inlineStr">
        <is>
          <t>1</t>
        </is>
      </c>
      <c r="M46" s="9" t="inlineStr">
        <is>
          <t>0</t>
        </is>
      </c>
      <c r="N46" s="9" t="inlineStr">
        <is>
          <t>1</t>
        </is>
      </c>
      <c r="O46" s="10" t="inlineStr">
        <is>
          <t>0</t>
        </is>
      </c>
      <c r="P46" s="10" t="inlineStr">
        <is>
          <t>1</t>
        </is>
      </c>
      <c r="Q46" s="10" t="inlineStr">
        <is>
          <t>1</t>
        </is>
      </c>
      <c r="R46" s="10" t="inlineStr">
        <is>
          <t>0</t>
        </is>
      </c>
      <c r="S46" s="10" t="inlineStr">
        <is>
          <t>0</t>
        </is>
      </c>
    </row>
    <row r="47" ht="145" customHeight="1">
      <c r="A47" s="6">
        <f>IFERROR(__xludf.DUMMYFUNCTION("""COMPUTED_VALUE"""),"Machine Learning and Artificial Intelligence")</f>
        <v/>
      </c>
      <c r="B47" s="6">
        <f>IFERROR(__xludf.DUMMYFUNCTION("""COMPUTED_VALUE"""),"Resource")</f>
        <v/>
      </c>
      <c r="C47" s="6">
        <f>IFERROR(__xludf.DUMMYFUNCTION("""COMPUTED_VALUE"""),"Video tutorial: ""Make me Happy"" - Scratch coding")</f>
        <v/>
      </c>
      <c r="D47" s="7">
        <f>IFERROR(__xludf.DUMMYFUNCTION("""COMPUTED_VALUE"""),"&lt;p&gt;Watch carefully to video below and try to understand how the scratch commands as used to make a face respond (happy, sad, neutral) to the words we are texting. &lt;/p&gt;")</f>
        <v/>
      </c>
      <c r="E47" s="7">
        <f>IFERROR(__xludf.DUMMYFUNCTION("""COMPUTED_VALUE"""),"youtu.be: A shortened URL service for YouTube, leading to various videos on the platform.")</f>
        <v/>
      </c>
      <c r="F47" s="7" t="inlineStr">
        <is>
          <t>Students program robots using Scratch, creating reactions to text inputs. Embedded artifacts include Scratchpad and YouTube video.</t>
        </is>
      </c>
      <c r="G47" s="8" t="inlineStr">
        <is>
          <t>1</t>
        </is>
      </c>
      <c r="H47" s="8" t="inlineStr">
        <is>
          <t>0</t>
        </is>
      </c>
      <c r="I47" s="8" t="inlineStr">
        <is>
          <t>0</t>
        </is>
      </c>
      <c r="J47" s="8" t="inlineStr">
        <is>
          <t>1</t>
        </is>
      </c>
      <c r="K47" s="9" t="inlineStr">
        <is>
          <t>1</t>
        </is>
      </c>
      <c r="L47" s="9" t="inlineStr">
        <is>
          <t>0</t>
        </is>
      </c>
      <c r="M47" s="9" t="inlineStr">
        <is>
          <t>0</t>
        </is>
      </c>
      <c r="N47" s="9" t="inlineStr">
        <is>
          <t>0</t>
        </is>
      </c>
      <c r="O47" s="10" t="inlineStr">
        <is>
          <t>1</t>
        </is>
      </c>
      <c r="P47" s="10" t="inlineStr">
        <is>
          <t>0</t>
        </is>
      </c>
      <c r="Q47" s="10" t="inlineStr">
        <is>
          <t>1</t>
        </is>
      </c>
      <c r="R47" s="10" t="inlineStr">
        <is>
          <t>0</t>
        </is>
      </c>
      <c r="S47" s="10" t="inlineStr">
        <is>
          <t>0</t>
        </is>
      </c>
    </row>
    <row r="48" ht="296" customHeight="1">
      <c r="A48" s="6">
        <f>IFERROR(__xludf.DUMMYFUNCTION("""COMPUTED_VALUE"""),"Machine Learning and Artificial Intelligence")</f>
        <v/>
      </c>
      <c r="B48" s="6">
        <f>IFERROR(__xludf.DUMMYFUNCTION("""COMPUTED_VALUE"""),"Application")</f>
        <v/>
      </c>
      <c r="C48" s="6">
        <f>IFERROR(__xludf.DUMMYFUNCTION("""COMPUTED_VALUE"""),"Quiz Tool")</f>
        <v/>
      </c>
      <c r="D48" s="7">
        <f>IFERROR(__xludf.DUMMYFUNCTION("""COMPUTED_VALUE"""),"&lt;p&gt;Select True or False&lt;/p&gt;")</f>
        <v/>
      </c>
      <c r="E4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8" s="7" t="inlineStr">
        <is>
          <t>Students complete tasks: formulate hypotheses, watch a video, and take a quiz, using embedded artifacts like Scratchpad, YouTube, and Quiz apps.</t>
        </is>
      </c>
      <c r="G48" s="8" t="inlineStr">
        <is>
          <t>0</t>
        </is>
      </c>
      <c r="H48" s="8" t="inlineStr">
        <is>
          <t>1</t>
        </is>
      </c>
      <c r="I48" s="8" t="inlineStr">
        <is>
          <t>1</t>
        </is>
      </c>
      <c r="J48" s="8" t="inlineStr">
        <is>
          <t>1</t>
        </is>
      </c>
      <c r="K48" s="9" t="inlineStr">
        <is>
          <t>1</t>
        </is>
      </c>
      <c r="L48" s="9" t="inlineStr">
        <is>
          <t>1</t>
        </is>
      </c>
      <c r="M48" s="9" t="inlineStr">
        <is>
          <t>0</t>
        </is>
      </c>
      <c r="N48" s="9" t="inlineStr">
        <is>
          <t>0</t>
        </is>
      </c>
      <c r="O48" s="10" t="inlineStr">
        <is>
          <t>0</t>
        </is>
      </c>
      <c r="P48" s="10" t="inlineStr">
        <is>
          <t>0</t>
        </is>
      </c>
      <c r="Q48" s="10" t="inlineStr">
        <is>
          <t>0</t>
        </is>
      </c>
      <c r="R48" s="10" t="inlineStr">
        <is>
          <t>0</t>
        </is>
      </c>
      <c r="S48" s="10" t="inlineStr">
        <is>
          <t>0</t>
        </is>
      </c>
    </row>
    <row r="49" ht="409.5" customHeight="1">
      <c r="A49" s="6">
        <f>IFERROR(__xludf.DUMMYFUNCTION("""COMPUTED_VALUE"""),"Machine Learning and Artificial Intelligence")</f>
        <v/>
      </c>
      <c r="B49" s="6">
        <f>IFERROR(__xludf.DUMMYFUNCTION("""COMPUTED_VALUE"""),"Application")</f>
        <v/>
      </c>
      <c r="C49" s="6">
        <f>IFERROR(__xludf.DUMMYFUNCTION("""COMPUTED_VALUE"""),"Create your own Scratch program: Emotional Robot Face")</f>
        <v/>
      </c>
      <c r="D49" s="7">
        <f>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
      </c>
      <c r="E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9" s="7" t="inlineStr">
        <is>
          <t>Students are instructed to watch a video, complete a quiz, and create a Scratch program with reactions to polite and impolite words, using embedded artifacts like YouTube videos and Golabz apps.</t>
        </is>
      </c>
      <c r="G49" s="8" t="inlineStr">
        <is>
          <t>0</t>
        </is>
      </c>
      <c r="H49" s="8" t="inlineStr">
        <is>
          <t>1</t>
        </is>
      </c>
      <c r="I49" s="8" t="inlineStr">
        <is>
          <t>1</t>
        </is>
      </c>
      <c r="J49" s="8" t="inlineStr">
        <is>
          <t>1</t>
        </is>
      </c>
      <c r="K49" s="9" t="inlineStr">
        <is>
          <t>0</t>
        </is>
      </c>
      <c r="L49" s="9" t="inlineStr">
        <is>
          <t>1</t>
        </is>
      </c>
      <c r="M49" s="9" t="inlineStr">
        <is>
          <t>0</t>
        </is>
      </c>
      <c r="N49" s="9" t="inlineStr">
        <is>
          <t>0</t>
        </is>
      </c>
      <c r="O49" s="10" t="inlineStr">
        <is>
          <t>0</t>
        </is>
      </c>
      <c r="P49" s="10" t="inlineStr">
        <is>
          <t>0</t>
        </is>
      </c>
      <c r="Q49" s="10" t="inlineStr">
        <is>
          <t>1</t>
        </is>
      </c>
      <c r="R49" s="10" t="inlineStr">
        <is>
          <t>0</t>
        </is>
      </c>
      <c r="S49" s="10" t="inlineStr">
        <is>
          <t>1</t>
        </is>
      </c>
    </row>
    <row r="50" ht="409.5" customHeight="1">
      <c r="A50" s="6">
        <f>IFERROR(__xludf.DUMMYFUNCTION("""COMPUTED_VALUE"""),"Machine Learning and Artificial Intelligence")</f>
        <v/>
      </c>
      <c r="B50" s="6">
        <f>IFERROR(__xludf.DUMMYFUNCTION("""COMPUTED_VALUE"""),"Application")</f>
        <v/>
      </c>
      <c r="C50" s="6">
        <f>IFERROR(__xludf.DUMMYFUNCTION("""COMPUTED_VALUE"""),"SpeakUp: How can we improve our Scratch Program?")</f>
        <v/>
      </c>
      <c r="D50" s="7">
        <f>IFERROR(__xludf.DUMMYFUNCTION("""COMPUTED_VALUE"""),"&lt;p&gt;Share your thoughts/ideas/suggestions of how you could improve this program to trace for example Speech Hate on Social Media.&lt;/p&gt;")</f>
        <v/>
      </c>
      <c r="E50"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0" s="7" t="inlineStr">
        <is>
          <t>Students select true/false, create a robot reaction program, and share thoughts on improving a hate speech tracing program, with embedded artifacts including quiz apps and collaboration tools.</t>
        </is>
      </c>
      <c r="G50" s="8" t="inlineStr">
        <is>
          <t>0</t>
        </is>
      </c>
      <c r="H50" s="8" t="inlineStr">
        <is>
          <t>0</t>
        </is>
      </c>
      <c r="I50" s="8" t="inlineStr">
        <is>
          <t>1</t>
        </is>
      </c>
      <c r="J50" s="8" t="inlineStr">
        <is>
          <t>1</t>
        </is>
      </c>
      <c r="K50" s="9" t="inlineStr">
        <is>
          <t>0</t>
        </is>
      </c>
      <c r="L50" s="9" t="inlineStr">
        <is>
          <t>1</t>
        </is>
      </c>
      <c r="M50" s="9" t="inlineStr">
        <is>
          <t>1</t>
        </is>
      </c>
      <c r="N50" s="9" t="inlineStr">
        <is>
          <t>1</t>
        </is>
      </c>
      <c r="O50" s="10" t="inlineStr">
        <is>
          <t>1</t>
        </is>
      </c>
      <c r="P50" s="10" t="inlineStr">
        <is>
          <t>1</t>
        </is>
      </c>
      <c r="Q50" s="10" t="inlineStr">
        <is>
          <t>0</t>
        </is>
      </c>
      <c r="R50" s="10" t="inlineStr">
        <is>
          <t>0</t>
        </is>
      </c>
      <c r="S50" s="10" t="inlineStr">
        <is>
          <t>1</t>
        </is>
      </c>
    </row>
    <row r="51" ht="409.5" customHeight="1">
      <c r="A51" s="6">
        <f>IFERROR(__xludf.DUMMYFUNCTION("""COMPUTED_VALUE"""),"Machine Learning and Artificial Intelligence")</f>
        <v/>
      </c>
      <c r="B51" s="6">
        <f>IFERROR(__xludf.DUMMYFUNCTION("""COMPUTED_VALUE"""),"Space")</f>
        <v/>
      </c>
      <c r="C51" s="6">
        <f>IFERROR(__xludf.DUMMYFUNCTION("""COMPUTED_VALUE"""),"Conclusion")</f>
        <v/>
      </c>
      <c r="D51" s="7">
        <f>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
      </c>
      <c r="E51" s="7">
        <f>IFERROR(__xludf.DUMMYFUNCTION("""COMPUTED_VALUE"""),"No artifact embedded")</f>
        <v/>
      </c>
      <c r="F51" s="7" t="inlineStr">
        <is>
          <t>Students create a robot program, share improvement ideas, and explore machine learning concepts through interactive activities on Scratch and Google AI Experiments. Embedded artifacts include Golabz apps for note-taking and social discussions.</t>
        </is>
      </c>
      <c r="G51" s="8" t="inlineStr">
        <is>
          <t>1</t>
        </is>
      </c>
      <c r="H51" s="8" t="inlineStr">
        <is>
          <t>0</t>
        </is>
      </c>
      <c r="I51" s="8" t="inlineStr">
        <is>
          <t>0</t>
        </is>
      </c>
      <c r="J51" s="8" t="inlineStr">
        <is>
          <t>1</t>
        </is>
      </c>
      <c r="K51" s="9" t="inlineStr">
        <is>
          <t>1</t>
        </is>
      </c>
      <c r="L51" s="9" t="inlineStr">
        <is>
          <t>0</t>
        </is>
      </c>
      <c r="M51" s="9" t="inlineStr">
        <is>
          <t>0</t>
        </is>
      </c>
      <c r="N51" s="9" t="inlineStr">
        <is>
          <t>0</t>
        </is>
      </c>
      <c r="O51" s="10" t="inlineStr">
        <is>
          <t>1</t>
        </is>
      </c>
      <c r="P51" s="10" t="inlineStr">
        <is>
          <t>0</t>
        </is>
      </c>
      <c r="Q51" s="10" t="inlineStr">
        <is>
          <t>0</t>
        </is>
      </c>
      <c r="R51" s="10" t="inlineStr">
        <is>
          <t>0</t>
        </is>
      </c>
      <c r="S51" s="10" t="inlineStr">
        <is>
          <t>0</t>
        </is>
      </c>
    </row>
    <row r="52" ht="145" customHeight="1">
      <c r="A52" s="6">
        <f>IFERROR(__xludf.DUMMYFUNCTION("""COMPUTED_VALUE"""),"Machine Learning and Artificial Intelligence")</f>
        <v/>
      </c>
      <c r="B52" s="6">
        <f>IFERROR(__xludf.DUMMYFUNCTION("""COMPUTED_VALUE"""),"Resource")</f>
        <v/>
      </c>
      <c r="C52" s="6">
        <f>IFERROR(__xludf.DUMMYFUNCTION("""COMPUTED_VALUE"""),"Quick, Draw! by Google Creative Lab | Experiments with Google")</f>
        <v/>
      </c>
      <c r="D52" s="7">
        <f>IFERROR(__xludf.DUMMYFUNCTION("""COMPUTED_VALUE"""),"&lt;p&gt;A game where a neural net tries to guess what you’re drawing. Watch the tutorial video first and then click on the LAUNCH EXPERIMENT button below! &lt;/p&gt;")</f>
        <v/>
      </c>
      <c r="E52" s="7">
        <f>IFERROR(__xludf.DUMMYFUNCTION("""COMPUTED_VALUE"""),"experiments.withgoogle.com: Showcases Google's experimental projects, such as ""Quick, Draw!"", an AI-based drawing game.")</f>
        <v/>
      </c>
      <c r="F52" s="7" t="inlineStr">
        <is>
          <t>Students share ideas to improve a program tracing hate speech. Embedded artifacts include Golabz app and Google AI Experiments.</t>
        </is>
      </c>
      <c r="G52" s="8" t="inlineStr">
        <is>
          <t>0</t>
        </is>
      </c>
      <c r="H52" s="8" t="inlineStr">
        <is>
          <t>1</t>
        </is>
      </c>
      <c r="I52" s="8" t="inlineStr">
        <is>
          <t>1</t>
        </is>
      </c>
      <c r="J52" s="8" t="inlineStr">
        <is>
          <t>1</t>
        </is>
      </c>
      <c r="K52" s="9" t="inlineStr">
        <is>
          <t>1</t>
        </is>
      </c>
      <c r="L52" s="9" t="inlineStr">
        <is>
          <t>1</t>
        </is>
      </c>
      <c r="M52" s="9" t="inlineStr">
        <is>
          <t>0</t>
        </is>
      </c>
      <c r="N52" s="9" t="inlineStr">
        <is>
          <t>0</t>
        </is>
      </c>
      <c r="O52" s="10" t="inlineStr">
        <is>
          <t>1</t>
        </is>
      </c>
      <c r="P52" s="10" t="inlineStr">
        <is>
          <t>0</t>
        </is>
      </c>
      <c r="Q52" s="10" t="inlineStr">
        <is>
          <t>1</t>
        </is>
      </c>
      <c r="R52" s="10" t="inlineStr">
        <is>
          <t>0</t>
        </is>
      </c>
      <c r="S52" s="10" t="inlineStr">
        <is>
          <t>0</t>
        </is>
      </c>
    </row>
    <row r="53" ht="133" customHeight="1">
      <c r="A53" s="6">
        <f>IFERROR(__xludf.DUMMYFUNCTION("""COMPUTED_VALUE"""),"Machine Learning and Artificial Intelligence")</f>
        <v/>
      </c>
      <c r="B53" s="6">
        <f>IFERROR(__xludf.DUMMYFUNCTION("""COMPUTED_VALUE"""),"Space")</f>
        <v/>
      </c>
      <c r="C53" s="6">
        <f>IFERROR(__xludf.DUMMYFUNCTION("""COMPUTED_VALUE"""),"Discussion")</f>
        <v/>
      </c>
      <c r="D53" s="7">
        <f>IFERROR(__xludf.DUMMYFUNCTION("""COMPUTED_VALUE"""),"&lt;p&gt;We have seen that the quantity of data has a direct impact to how accurate will be the reactions of  our model (robot). But, what about the data quality?&lt;/p&gt;")</f>
        <v/>
      </c>
      <c r="E53" s="7">
        <f>IFERROR(__xludf.DUMMYFUNCTION("""COMPUTED_VALUE"""),"No artifact embedded")</f>
        <v/>
      </c>
      <c r="F53" s="7" t="inlineStr">
        <is>
          <t>Students are taught machine learning concepts through interactive experiments, such as drawing games, with embedded artifacts like Google AI Experiments.</t>
        </is>
      </c>
      <c r="G53" s="8" t="inlineStr">
        <is>
          <t>1</t>
        </is>
      </c>
      <c r="H53" s="8" t="inlineStr">
        <is>
          <t>0</t>
        </is>
      </c>
      <c r="I53" s="8" t="inlineStr">
        <is>
          <t>0</t>
        </is>
      </c>
      <c r="J53" s="8" t="inlineStr">
        <is>
          <t>0</t>
        </is>
      </c>
      <c r="K53" s="9" t="inlineStr">
        <is>
          <t>1</t>
        </is>
      </c>
      <c r="L53" s="9" t="inlineStr">
        <is>
          <t>0</t>
        </is>
      </c>
      <c r="M53" s="9" t="inlineStr">
        <is>
          <t>0</t>
        </is>
      </c>
      <c r="N53" s="9" t="inlineStr">
        <is>
          <t>0</t>
        </is>
      </c>
      <c r="O53" s="10" t="inlineStr">
        <is>
          <t>1</t>
        </is>
      </c>
      <c r="P53" s="10" t="inlineStr">
        <is>
          <t>1</t>
        </is>
      </c>
      <c r="Q53" s="10" t="inlineStr">
        <is>
          <t>1</t>
        </is>
      </c>
      <c r="R53" s="10" t="inlineStr">
        <is>
          <t>0</t>
        </is>
      </c>
      <c r="S53" s="10" t="inlineStr">
        <is>
          <t>1</t>
        </is>
      </c>
    </row>
    <row r="54" ht="409.5" customHeight="1">
      <c r="A54" s="6">
        <f>IFERROR(__xludf.DUMMYFUNCTION("""COMPUTED_VALUE"""),"Machine Learning and Artificial Intelligence")</f>
        <v/>
      </c>
      <c r="B54" s="6">
        <f>IFERROR(__xludf.DUMMYFUNCTION("""COMPUTED_VALUE"""),"Application")</f>
        <v/>
      </c>
      <c r="C54" s="6">
        <f>IFERROR(__xludf.DUMMYFUNCTION("""COMPUTED_VALUE"""),"Speakup")</f>
        <v/>
      </c>
      <c r="D54" s="7">
        <f>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
      </c>
      <c r="E5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4" s="7" t="inlineStr">
        <is>
          <t>Students are given tasks and tutorials with embedded artifacts like AI games and discussion apps to explore machine learning concepts and ethics.</t>
        </is>
      </c>
      <c r="G54" s="8" t="inlineStr">
        <is>
          <t>0</t>
        </is>
      </c>
      <c r="H54" s="8" t="inlineStr">
        <is>
          <t>1</t>
        </is>
      </c>
      <c r="I54" s="8" t="inlineStr">
        <is>
          <t>1</t>
        </is>
      </c>
      <c r="J54" s="8" t="inlineStr">
        <is>
          <t>1</t>
        </is>
      </c>
      <c r="K54" s="9" t="inlineStr">
        <is>
          <t>0</t>
        </is>
      </c>
      <c r="L54" s="9" t="inlineStr">
        <is>
          <t>1</t>
        </is>
      </c>
      <c r="M54" s="9" t="inlineStr">
        <is>
          <t>1</t>
        </is>
      </c>
      <c r="N54" s="9" t="inlineStr">
        <is>
          <t>1</t>
        </is>
      </c>
      <c r="O54" s="10" t="inlineStr">
        <is>
          <t>1</t>
        </is>
      </c>
      <c r="P54" s="10" t="inlineStr">
        <is>
          <t>1</t>
        </is>
      </c>
      <c r="Q54" s="10" t="inlineStr">
        <is>
          <t>0</t>
        </is>
      </c>
      <c r="R54" s="10" t="inlineStr">
        <is>
          <t>0</t>
        </is>
      </c>
      <c r="S54" s="10" t="inlineStr">
        <is>
          <t>1</t>
        </is>
      </c>
    </row>
    <row r="55" ht="61" customHeight="1">
      <c r="A55" s="6">
        <f>IFERROR(__xludf.DUMMYFUNCTION("""COMPUTED_VALUE"""),"BHIMS")</f>
        <v/>
      </c>
      <c r="B55" s="6">
        <f>IFERROR(__xludf.DUMMYFUNCTION("""COMPUTED_VALUE"""),"Space")</f>
        <v/>
      </c>
      <c r="C55" s="6">
        <f>IFERROR(__xludf.DUMMYFUNCTION("""COMPUTED_VALUE"""),"Orientation")</f>
        <v/>
      </c>
      <c r="D55" s="7">
        <f>IFERROR(__xludf.DUMMYFUNCTION("""COMPUTED_VALUE"""),"&lt;p&gt;What do we know about Black holes?&lt;/p&gt;&lt;p&gt;&lt;br&gt;&lt;/p&gt;")</f>
        <v/>
      </c>
      <c r="E55" s="7">
        <f>IFERROR(__xludf.DUMMYFUNCTION("""COMPUTED_VALUE"""),"No artifact embedded")</f>
        <v/>
      </c>
      <c r="F55" s="7" t="inlineStr">
        <is>
          <t>Students discuss data quality and ethics in AI, with one task using the SpeakUp app for a class discussion.</t>
        </is>
      </c>
      <c r="G55" s="8" t="inlineStr">
        <is>
          <t>1</t>
        </is>
      </c>
      <c r="H55" s="8" t="inlineStr">
        <is>
          <t>0</t>
        </is>
      </c>
      <c r="I55" s="8" t="inlineStr">
        <is>
          <t>0</t>
        </is>
      </c>
      <c r="J55" s="8" t="inlineStr">
        <is>
          <t>0</t>
        </is>
      </c>
      <c r="K55" s="9" t="inlineStr">
        <is>
          <t>1</t>
        </is>
      </c>
      <c r="L55" s="9" t="inlineStr">
        <is>
          <t>0</t>
        </is>
      </c>
      <c r="M55" s="9" t="inlineStr">
        <is>
          <t>0</t>
        </is>
      </c>
      <c r="N55" s="9" t="inlineStr">
        <is>
          <t>0</t>
        </is>
      </c>
      <c r="O55" s="10" t="inlineStr">
        <is>
          <t>1</t>
        </is>
      </c>
      <c r="P55" s="10" t="inlineStr">
        <is>
          <t>1</t>
        </is>
      </c>
      <c r="Q55" s="10" t="inlineStr">
        <is>
          <t>0</t>
        </is>
      </c>
      <c r="R55" s="10" t="inlineStr">
        <is>
          <t>0</t>
        </is>
      </c>
      <c r="S55" s="10" t="inlineStr">
        <is>
          <t>0</t>
        </is>
      </c>
    </row>
    <row r="56" ht="97" customHeight="1">
      <c r="A56" s="6">
        <f>IFERROR(__xludf.DUMMYFUNCTION("""COMPUTED_VALUE"""),"BHIMS")</f>
        <v/>
      </c>
      <c r="B56" s="6">
        <f>IFERROR(__xludf.DUMMYFUNCTION("""COMPUTED_VALUE"""),"Resource")</f>
        <v/>
      </c>
      <c r="C56" s="6">
        <f>IFERROR(__xludf.DUMMYFUNCTION("""COMPUTED_VALUE"""),"cygX1.gif")</f>
        <v/>
      </c>
      <c r="D56" s="7">
        <f>IFERROR(__xludf.DUMMYFUNCTION("""COMPUTED_VALUE"""),"No task description")</f>
        <v/>
      </c>
      <c r="E56" s="7">
        <f>IFERROR(__xludf.DUMMYFUNCTION("""COMPUTED_VALUE"""),"image/gif – An animated or static graphic using the GIF format, often seen in memes and web animations.")</f>
        <v/>
      </c>
      <c r="F56" s="7" t="inlineStr">
        <is>
          <t>Students discuss data quality, ethics in AI, and consequences of biased teaching. Embedded artifacts include a discussion app and a GIF image.</t>
        </is>
      </c>
      <c r="G56" s="8" t="inlineStr">
        <is>
          <t>1</t>
        </is>
      </c>
      <c r="H56" s="8" t="inlineStr">
        <is>
          <t>0</t>
        </is>
      </c>
      <c r="I56" s="8" t="inlineStr">
        <is>
          <t>0</t>
        </is>
      </c>
      <c r="J56" s="8" t="inlineStr">
        <is>
          <t>0</t>
        </is>
      </c>
      <c r="K56" s="9" t="inlineStr">
        <is>
          <t>1</t>
        </is>
      </c>
      <c r="L56" s="9" t="inlineStr">
        <is>
          <t>0</t>
        </is>
      </c>
      <c r="M56" s="9" t="inlineStr">
        <is>
          <t>0</t>
        </is>
      </c>
      <c r="N56" s="9" t="inlineStr">
        <is>
          <t>0</t>
        </is>
      </c>
      <c r="O56" s="10" t="inlineStr">
        <is>
          <t>0</t>
        </is>
      </c>
      <c r="P56" s="10" t="inlineStr">
        <is>
          <t>0</t>
        </is>
      </c>
      <c r="Q56" s="10" t="inlineStr">
        <is>
          <t>0</t>
        </is>
      </c>
      <c r="R56" s="10" t="inlineStr">
        <is>
          <t>0</t>
        </is>
      </c>
      <c r="S56" s="10" t="inlineStr">
        <is>
          <t>0</t>
        </is>
      </c>
    </row>
    <row r="57" ht="409.5" customHeight="1">
      <c r="A57" s="6">
        <f>IFERROR(__xludf.DUMMYFUNCTION("""COMPUTED_VALUE"""),"BHIMS")</f>
        <v/>
      </c>
      <c r="B57" s="6">
        <f>IFERROR(__xludf.DUMMYFUNCTION("""COMPUTED_VALUE"""),"Resource")</f>
        <v/>
      </c>
      <c r="C57" s="6">
        <f>IFERROR(__xludf.DUMMYFUNCTION("""COMPUTED_VALUE"""),"text 5.graasp")</f>
        <v/>
      </c>
      <c r="D57" s="7">
        <f>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
      </c>
      <c r="E57" s="7">
        <f>IFERROR(__xludf.DUMMYFUNCTION("""COMPUTED_VALUE"""),"No artifact embedded")</f>
        <v/>
      </c>
      <c r="F57" s="7" t="inlineStr">
        <is>
          <t>Students are instructed to research Black Holes. Embedded artifacts include an animated GIF image.</t>
        </is>
      </c>
      <c r="G57" s="8" t="inlineStr">
        <is>
          <t>0</t>
        </is>
      </c>
      <c r="H57" s="8" t="inlineStr">
        <is>
          <t>0</t>
        </is>
      </c>
      <c r="I57" s="8" t="inlineStr">
        <is>
          <t>1</t>
        </is>
      </c>
      <c r="J57" s="8" t="inlineStr">
        <is>
          <t>1</t>
        </is>
      </c>
      <c r="K57" s="9" t="inlineStr">
        <is>
          <t>0</t>
        </is>
      </c>
      <c r="L57" s="9" t="inlineStr">
        <is>
          <t>1</t>
        </is>
      </c>
      <c r="M57" s="9" t="inlineStr">
        <is>
          <t>1</t>
        </is>
      </c>
      <c r="N57" s="9" t="inlineStr">
        <is>
          <t>0</t>
        </is>
      </c>
      <c r="O57" s="10" t="inlineStr">
        <is>
          <t>1</t>
        </is>
      </c>
      <c r="P57" s="10" t="inlineStr">
        <is>
          <t>0</t>
        </is>
      </c>
      <c r="Q57" s="10" t="inlineStr">
        <is>
          <t>0</t>
        </is>
      </c>
      <c r="R57" s="10" t="inlineStr">
        <is>
          <t>0</t>
        </is>
      </c>
      <c r="S57" s="10" t="inlineStr">
        <is>
          <t>1</t>
        </is>
      </c>
    </row>
    <row r="58" ht="25" customHeight="1">
      <c r="A58" s="6">
        <f>IFERROR(__xludf.DUMMYFUNCTION("""COMPUTED_VALUE"""),"BHIMS")</f>
        <v/>
      </c>
      <c r="B58" s="6">
        <f>IFERROR(__xludf.DUMMYFUNCTION("""COMPUTED_VALUE"""),"Resource")</f>
        <v/>
      </c>
      <c r="C58" s="6">
        <f>IFERROR(__xludf.DUMMYFUNCTION("""COMPUTED_VALUE"""),"text 4.graasp")</f>
        <v/>
      </c>
      <c r="D58" s="7">
        <f>IFERROR(__xludf.DUMMYFUNCTION("""COMPUTED_VALUE"""),"No task description")</f>
        <v/>
      </c>
      <c r="E58" s="7">
        <f>IFERROR(__xludf.DUMMYFUNCTION("""COMPUTED_VALUE"""),"No artifact embedded")</f>
        <v/>
      </c>
      <c r="F58" s="7" t="inlineStr">
        <is>
          <t>Students are instructed to answer questions, watch clips, and start a journal. Embedded artifacts include a GIF image and links to videos and a movie trailer.</t>
        </is>
      </c>
      <c r="G58" s="8" t="inlineStr">
        <is>
          <t>0</t>
        </is>
      </c>
      <c r="H58" s="8" t="inlineStr">
        <is>
          <t>0</t>
        </is>
      </c>
      <c r="I58" s="8" t="inlineStr">
        <is>
          <t>0</t>
        </is>
      </c>
      <c r="J58" s="8" t="inlineStr">
        <is>
          <t>0</t>
        </is>
      </c>
      <c r="K58" s="9" t="inlineStr">
        <is>
          <t>0</t>
        </is>
      </c>
      <c r="L58" s="9" t="inlineStr">
        <is>
          <t>0</t>
        </is>
      </c>
      <c r="M58" s="9" t="inlineStr">
        <is>
          <t>0</t>
        </is>
      </c>
      <c r="N58" s="9" t="inlineStr">
        <is>
          <t>0</t>
        </is>
      </c>
      <c r="O58" s="10" t="inlineStr">
        <is>
          <t>0</t>
        </is>
      </c>
      <c r="P58" s="10" t="inlineStr">
        <is>
          <t>0</t>
        </is>
      </c>
      <c r="Q58" s="10" t="inlineStr">
        <is>
          <t>0</t>
        </is>
      </c>
      <c r="R58" s="10" t="inlineStr">
        <is>
          <t>0</t>
        </is>
      </c>
      <c r="S58" s="10" t="inlineStr">
        <is>
          <t>0</t>
        </is>
      </c>
    </row>
    <row r="59" ht="229" customHeight="1">
      <c r="A59" s="6">
        <f>IFERROR(__xludf.DUMMYFUNCTION("""COMPUTED_VALUE"""),"BHIMS")</f>
        <v/>
      </c>
      <c r="B59" s="6">
        <f>IFERROR(__xludf.DUMMYFUNCTION("""COMPUTED_VALUE"""),"Resource")</f>
        <v/>
      </c>
      <c r="C59" s="6">
        <f>IFERROR(__xludf.DUMMYFUNCTION("""COMPUTED_VALUE"""),"Christopher Nolan &amp; Kip Thorne Break Down The Physics of Interstellar | TIME")</f>
        <v/>
      </c>
      <c r="D59" s="7">
        <f>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
      </c>
      <c r="E59" s="7">
        <f>IFERROR(__xludf.DUMMYFUNCTION("""COMPUTED_VALUE"""),"youtube.com: A widely known video-sharing platform where users can watch videos on a vast array of topics, including educational content.")</f>
        <v/>
      </c>
      <c r="F59" s="7" t="inlineStr">
        <is>
          <t>Students are instructed to answer pre-questionnaire, watch clips, and discuss black holes. Embedded artifacts include YouTube links and movie trailers.</t>
        </is>
      </c>
      <c r="G59" s="8" t="inlineStr">
        <is>
          <t>1</t>
        </is>
      </c>
      <c r="H59" s="8" t="inlineStr">
        <is>
          <t>0</t>
        </is>
      </c>
      <c r="I59" s="8" t="inlineStr">
        <is>
          <t>0</t>
        </is>
      </c>
      <c r="J59" s="8" t="inlineStr">
        <is>
          <t>0</t>
        </is>
      </c>
      <c r="K59" s="9" t="inlineStr">
        <is>
          <t>1</t>
        </is>
      </c>
      <c r="L59" s="9" t="inlineStr">
        <is>
          <t>0</t>
        </is>
      </c>
      <c r="M59" s="9" t="inlineStr">
        <is>
          <t>0</t>
        </is>
      </c>
      <c r="N59" s="9" t="inlineStr">
        <is>
          <t>0</t>
        </is>
      </c>
      <c r="O59" s="10" t="inlineStr">
        <is>
          <t>1</t>
        </is>
      </c>
      <c r="P59" s="10" t="inlineStr">
        <is>
          <t>0</t>
        </is>
      </c>
      <c r="Q59" s="10" t="inlineStr">
        <is>
          <t>0</t>
        </is>
      </c>
      <c r="R59" s="10" t="inlineStr">
        <is>
          <t>0</t>
        </is>
      </c>
      <c r="S59" s="10" t="inlineStr">
        <is>
          <t>0</t>
        </is>
      </c>
    </row>
    <row r="60" ht="296" customHeight="1">
      <c r="A60" s="6">
        <f>IFERROR(__xludf.DUMMYFUNCTION("""COMPUTED_VALUE"""),"BHIMS")</f>
        <v/>
      </c>
      <c r="B60" s="6">
        <f>IFERROR(__xludf.DUMMYFUNCTION("""COMPUTED_VALUE"""),"Resource")</f>
        <v/>
      </c>
      <c r="C60" s="6">
        <f>IFERROR(__xludf.DUMMYFUNCTION("""COMPUTED_VALUE"""),"The Science of Interstellar - Discovery Channel Documentary - HD")</f>
        <v/>
      </c>
      <c r="D60" s="7">
        <f>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
      </c>
      <c r="E60" s="7">
        <f>IFERROR(__xludf.DUMMYFUNCTION("""COMPUTED_VALUE"""),"youtube.com: A widely known video-sharing platform where users can watch videos on a vast array of topics, including educational content.")</f>
        <v/>
      </c>
      <c r="F60" s="7" t="inlineStr">
        <is>
          <t>Students are instructed to watch videos about Interstellar's physics on YouTube. Embedded artifacts include two YouTube videos discussing the science behind the film.</t>
        </is>
      </c>
      <c r="G60" s="8" t="inlineStr">
        <is>
          <t>1</t>
        </is>
      </c>
      <c r="H60" s="8" t="inlineStr">
        <is>
          <t>0</t>
        </is>
      </c>
      <c r="I60" s="8" t="inlineStr">
        <is>
          <t>0</t>
        </is>
      </c>
      <c r="J60" s="8" t="inlineStr">
        <is>
          <t>0</t>
        </is>
      </c>
      <c r="K60" s="9" t="inlineStr">
        <is>
          <t>1</t>
        </is>
      </c>
      <c r="L60" s="9" t="inlineStr">
        <is>
          <t>0</t>
        </is>
      </c>
      <c r="M60" s="9" t="inlineStr">
        <is>
          <t>0</t>
        </is>
      </c>
      <c r="N60" s="9" t="inlineStr">
        <is>
          <t>0</t>
        </is>
      </c>
      <c r="O60" s="10" t="inlineStr">
        <is>
          <t>0</t>
        </is>
      </c>
      <c r="P60" s="10" t="inlineStr">
        <is>
          <t>0</t>
        </is>
      </c>
      <c r="Q60" s="10" t="inlineStr">
        <is>
          <t>0</t>
        </is>
      </c>
      <c r="R60" s="10" t="inlineStr">
        <is>
          <t>0</t>
        </is>
      </c>
      <c r="S60" s="10" t="inlineStr">
        <is>
          <t>0</t>
        </is>
      </c>
    </row>
    <row r="61" ht="329" customHeight="1">
      <c r="A61" s="6">
        <f>IFERROR(__xludf.DUMMYFUNCTION("""COMPUTED_VALUE"""),"BHIMS")</f>
        <v/>
      </c>
      <c r="B61" s="6">
        <f>IFERROR(__xludf.DUMMYFUNCTION("""COMPUTED_VALUE"""),"Space")</f>
        <v/>
      </c>
      <c r="C61" s="6">
        <f>IFERROR(__xludf.DUMMYFUNCTION("""COMPUTED_VALUE"""),"Investigation")</f>
        <v/>
      </c>
      <c r="D61" s="7">
        <f>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
      </c>
      <c r="E61" s="7">
        <f>IFERROR(__xludf.DUMMYFUNCTION("""COMPUTED_VALUE"""),"No artifact embedded")</f>
        <v/>
      </c>
      <c r="F61" s="7" t="inlineStr">
        <is>
          <t>Students watch videos on Interstellar's physics, then learn image processing software Salsa J for astronomical research. Embedded artifacts include YouTube videos.</t>
        </is>
      </c>
      <c r="G61" s="8" t="inlineStr">
        <is>
          <t>0</t>
        </is>
      </c>
      <c r="H61" s="8" t="inlineStr">
        <is>
          <t>1</t>
        </is>
      </c>
      <c r="I61" s="8" t="inlineStr">
        <is>
          <t>1</t>
        </is>
      </c>
      <c r="J61" s="8" t="inlineStr">
        <is>
          <t>1</t>
        </is>
      </c>
      <c r="K61" s="9" t="inlineStr">
        <is>
          <t>1</t>
        </is>
      </c>
      <c r="L61" s="9" t="inlineStr">
        <is>
          <t>0</t>
        </is>
      </c>
      <c r="M61" s="9" t="inlineStr">
        <is>
          <t>0</t>
        </is>
      </c>
      <c r="N61" s="9" t="inlineStr">
        <is>
          <t>0</t>
        </is>
      </c>
      <c r="O61" s="10" t="inlineStr">
        <is>
          <t>1</t>
        </is>
      </c>
      <c r="P61" s="10" t="inlineStr">
        <is>
          <t>0</t>
        </is>
      </c>
      <c r="Q61" s="10" t="inlineStr">
        <is>
          <t>0</t>
        </is>
      </c>
      <c r="R61" s="10" t="inlineStr">
        <is>
          <t>0</t>
        </is>
      </c>
      <c r="S61" s="10" t="inlineStr">
        <is>
          <t>0</t>
        </is>
      </c>
    </row>
    <row r="62" ht="409.5" customHeight="1">
      <c r="A62" s="6">
        <f>IFERROR(__xludf.DUMMYFUNCTION("""COMPUTED_VALUE"""),"BHIMS")</f>
        <v/>
      </c>
      <c r="B62" s="6">
        <f>IFERROR(__xludf.DUMMYFUNCTION("""COMPUTED_VALUE"""),"Resource")</f>
        <v/>
      </c>
      <c r="C62" s="6">
        <f>IFERROR(__xludf.DUMMYFUNCTION("""COMPUTED_VALUE"""),"text 0.graasp")</f>
        <v/>
      </c>
      <c r="D62" s="7">
        <f>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
      </c>
      <c r="E62" s="7">
        <f>IFERROR(__xludf.DUMMYFUNCTION("""COMPUTED_VALUE"""),"No artifact embedded")</f>
        <v/>
      </c>
      <c r="F62" s="7" t="inlineStr">
        <is>
          <t>Students are instructed to watch videos, use image processing software, and read documents to learn about Interstellar and astronomy research. Embedded artifacts include a YouTube video link.</t>
        </is>
      </c>
      <c r="G62" s="8" t="inlineStr">
        <is>
          <t>1</t>
        </is>
      </c>
      <c r="H62" s="8" t="inlineStr">
        <is>
          <t>0</t>
        </is>
      </c>
      <c r="I62" s="8" t="inlineStr">
        <is>
          <t>0</t>
        </is>
      </c>
      <c r="J62" s="8" t="inlineStr">
        <is>
          <t>0</t>
        </is>
      </c>
      <c r="K62" s="9" t="inlineStr">
        <is>
          <t>1</t>
        </is>
      </c>
      <c r="L62" s="9" t="inlineStr">
        <is>
          <t>0</t>
        </is>
      </c>
      <c r="M62" s="9" t="inlineStr">
        <is>
          <t>0</t>
        </is>
      </c>
      <c r="N62" s="9" t="inlineStr">
        <is>
          <t>0</t>
        </is>
      </c>
      <c r="O62" s="10" t="inlineStr">
        <is>
          <t>1</t>
        </is>
      </c>
      <c r="P62" s="10" t="inlineStr">
        <is>
          <t>0</t>
        </is>
      </c>
      <c r="Q62" s="10" t="inlineStr">
        <is>
          <t>0</t>
        </is>
      </c>
      <c r="R62" s="10" t="inlineStr">
        <is>
          <t>0</t>
        </is>
      </c>
      <c r="S62" s="10" t="inlineStr">
        <is>
          <t>0</t>
        </is>
      </c>
    </row>
    <row r="63" ht="409.5" customHeight="1">
      <c r="A63" s="6">
        <f>IFERROR(__xludf.DUMMYFUNCTION("""COMPUTED_VALUE"""),"BHIMS")</f>
        <v/>
      </c>
      <c r="B63" s="6">
        <f>IFERROR(__xludf.DUMMYFUNCTION("""COMPUTED_VALUE"""),"Resource")</f>
        <v/>
      </c>
      <c r="C63" s="6">
        <f>IFERROR(__xludf.DUMMYFUNCTION("""COMPUTED_VALUE"""),"BHIMS_Photometry.pdf")</f>
        <v/>
      </c>
      <c r="D63" s="7"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7">
        <f>IFERROR(__xludf.DUMMYFUNCTION("""COMPUTED_VALUE"""),"application/pdf – A portable document format (PDF) file, preserving text and layout for consistent viewing across devices.")</f>
        <v/>
      </c>
      <c r="F63" s="7" t="inlineStr">
        <is>
          <t>The provided text is a tutorial on how to perform photometry analysis on astronomical images. Here's a step-by-step summary of the process:
1. **Understanding Photometry**: Photometry is the measurement of the brightness of celestial objects.
2. **Choosing an Aperture Radius**: To measure the brightness of a star, you need to choose an appropriate aperture radius. The aperture radius should be large enough to include the entire star, but not so large that it includes too much background noise.
3. **Determining the Best Aperture Radius**: To determine the best aperture radius, plot a graph of intensity vs. aperture radius. The graph will show a rapid rise in intensity as the radius increases, followed by a flattening out. The point where the graph starts to flatten out is the optimal aperture radius.
4. **Measuring the Brightness of a Star**: Once you have determined the best aperture radius, use the photometry tool to measure the brightness of the star in counts.
5. **Comparing Images**: When comparing images of the same region taken on different nights, make sure to use the same aperture radius for all images to ensure accurate comparisons.
The tutorial provides examples of how to perform these steps using specific images, including:
* **PTstar1** and **PTstar2**: These images are used to demonstrate how to measure the brightness of a star in counts.
* **PTnight1**, **PTnight2**, **PTnight3**, and **PTnight4**: These images contain a Cepheid variable star and are used to demonstrate how to compare the brightness of a target star and a reference star across different images.
The tutorial also provides tips, such as:
* **Deleting incorrect measurements**: If you're unsure about a measurement, you can delete it by selecting the line and choosing "Edit" &gt; "Cut".
* **Using the same aperture radius for multiple images**: When comparing images taken in different wavelengths (e.g., B and V), use the same aperture radius to ensure accurate comparisons.
Overall, this tutorial provides a step-by-step guide on how to perform photometry analysis on astronomical images, including choosing an appropriate aperture radius, measuring the brightness of stars, and comparing images.</t>
        </is>
      </c>
      <c r="G63" s="8" t="inlineStr">
        <is>
          <t>Error</t>
        </is>
      </c>
      <c r="H63" s="8" t="inlineStr">
        <is>
          <t>Error</t>
        </is>
      </c>
      <c r="I63" s="8" t="inlineStr">
        <is>
          <t>Error</t>
        </is>
      </c>
      <c r="J63" s="8" t="inlineStr">
        <is>
          <t>Error</t>
        </is>
      </c>
      <c r="K63" s="9" t="inlineStr">
        <is>
          <t>Error</t>
        </is>
      </c>
      <c r="L63" s="9" t="inlineStr">
        <is>
          <t>Error</t>
        </is>
      </c>
      <c r="M63" s="9" t="inlineStr">
        <is>
          <t>Error</t>
        </is>
      </c>
      <c r="N63" s="9" t="inlineStr">
        <is>
          <t>Error</t>
        </is>
      </c>
      <c r="O63" s="10" t="inlineStr">
        <is>
          <t>Error</t>
        </is>
      </c>
      <c r="P63" s="10" t="inlineStr">
        <is>
          <t>Error</t>
        </is>
      </c>
      <c r="Q63" s="10" t="inlineStr">
        <is>
          <t>Error</t>
        </is>
      </c>
      <c r="R63" s="10" t="inlineStr">
        <is>
          <t>Error</t>
        </is>
      </c>
      <c r="S63" s="10" t="inlineStr">
        <is>
          <t>Error</t>
        </is>
      </c>
    </row>
    <row r="64" ht="409.5" customHeight="1">
      <c r="A64" s="6">
        <f>IFERROR(__xludf.DUMMYFUNCTION("""COMPUTED_VALUE"""),"BHIMS")</f>
        <v/>
      </c>
      <c r="B64" s="6">
        <f>IFERROR(__xludf.DUMMYFUNCTION("""COMPUTED_VALUE"""),"Resource")</f>
        <v/>
      </c>
      <c r="C64" s="6">
        <f>IFERROR(__xludf.DUMMYFUNCTION("""COMPUTED_VALUE"""),"observing_blackholes.pdf")</f>
        <v/>
      </c>
      <c r="D64" s="7"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7">
        <f>IFERROR(__xludf.DUMMYFUNCTION("""COMPUTED_VALUE"""),"application/pdf – A portable document format (PDF) file, preserving text and layout for consistent viewing across devices.")</f>
        <v/>
      </c>
      <c r="F64" s="7" t="inlineStr">
        <is>
          <t>This is a long and detailed educational resource on astronomy, specifically on the topic of stellar black holes. I'll provide a summary of the content:
**Introduction**
The resource introduces the topic of stellar black holes, which are formed when a massive star collapses in on itself. The text describes the properties of black holes and how they can be detected.
**Case Study: XTE J1118+480**
The resource focuses on a specific stellar black hole candidate, XTE J1118+480. This object is a binary system consisting of a visible star and a compact object, which is believed to be a black hole. The text describes the observations and measurements made of this system, including its orbital period, radial velocity, and mass.
**Data Analysis**
The resource provides a step-by-step guide on how to analyze the data from the XTE J1118+480 system. This includes:
1. Plotting the counts ( brightness) of the target object over time.
2. Identifying the periodicity of the system (i.e., the orbital period).
3. Converting Julian dates to phase using a specific formula.
4. Using the mass function formula to estimate the mass limit of the compact object.
**Calculations**
The resource provides calculations for estimating the mass limit of the black hole candidate XTE J1118+480. The calculations use approximate values for the orbital period, radial velocity, and companion mass. The result is an estimated mass limit of approximately 6.3 solar masses (M).
**Conclusion**
The resource concludes by comparing the calculated mass limit to the assumed value of 6.1 M, which is consistent with the expected mass of a stellar black hole candidate.
Overall, this resource provides a comprehensive and detailed introduction to the topic of stellar black holes, using a specific case study to illustrate the concepts and calculations involved in detecting and characterizing these objects.</t>
        </is>
      </c>
      <c r="G64" s="8" t="inlineStr">
        <is>
          <t>Error</t>
        </is>
      </c>
      <c r="H64" s="8" t="inlineStr">
        <is>
          <t>Error</t>
        </is>
      </c>
      <c r="I64" s="8" t="inlineStr">
        <is>
          <t>Error</t>
        </is>
      </c>
      <c r="J64" s="8" t="inlineStr">
        <is>
          <t>Error</t>
        </is>
      </c>
      <c r="K64" s="9" t="inlineStr">
        <is>
          <t>Error</t>
        </is>
      </c>
      <c r="L64" s="9" t="inlineStr">
        <is>
          <t>Error</t>
        </is>
      </c>
      <c r="M64" s="9" t="inlineStr">
        <is>
          <t>Error</t>
        </is>
      </c>
      <c r="N64" s="9" t="inlineStr">
        <is>
          <t>Error</t>
        </is>
      </c>
      <c r="O64" s="10" t="inlineStr">
        <is>
          <t>Error</t>
        </is>
      </c>
      <c r="P64" s="10" t="inlineStr">
        <is>
          <t>Error</t>
        </is>
      </c>
      <c r="Q64" s="10" t="inlineStr">
        <is>
          <t>Error</t>
        </is>
      </c>
      <c r="R64" s="10" t="inlineStr">
        <is>
          <t>Error</t>
        </is>
      </c>
      <c r="S64" s="10" t="inlineStr">
        <is>
          <t>Error</t>
        </is>
      </c>
    </row>
    <row r="65" ht="409.5" customHeight="1">
      <c r="A65" s="6">
        <f>IFERROR(__xludf.DUMMYFUNCTION("""COMPUTED_VALUE"""),"BHIMS")</f>
        <v/>
      </c>
      <c r="B65" s="6">
        <f>IFERROR(__xludf.DUMMYFUNCTION("""COMPUTED_VALUE"""),"Resource")</f>
        <v/>
      </c>
      <c r="C65" s="6">
        <f>IFERROR(__xludf.DUMMYFUNCTION("""COMPUTED_VALUE"""),"Text 1.graasp")</f>
        <v/>
      </c>
      <c r="D65" s="7">
        <f>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
      </c>
      <c r="E65" s="7">
        <f>IFERROR(__xludf.DUMMYFUNCTION("""COMPUTED_VALUE"""),"No artifact embedded")</f>
        <v/>
      </c>
      <c r="F65" s="7" t="inlineStr">
        <is>
          <t>It appears that we have a detailed tutorial on how to measure the brightness of a companion star to a Black Hole Candidate XTE J1118 and estimate the mass limit of the black hole. Here's a breakdown of the steps involved:
**Step 1: Measure the brightness of the companion star**
* Download the images of XTE J1118 from the provided link
* Use the finder image to identify the companion star and three comparison stars
* Measure the brightness (counts) of the companion star and the comparison stars using a suitable software (e.g., astropy, IRAF, etc.)
* Record the measured counts for each star
**Step 2: Create a graph with the measured values**
* Plot the counts against time (Julian Date) for the companion star and the comparison stars
* Use the graph to visualize the variability of the companion star's brightness
**Step 3: Estimate the orbital period**
* Use the graph to estimate the orbital period of the system (approximately 4.08 hours or 0.17 days)
* You can also try adapting different values of the period to find the best fit
**Step 4: Calculate the phase**
* Use the formula `Phase = (MJD - T0) / P` to calculate the phase for each data point
* Where MJD is the Julian Date, T0 is the Julian Date of the first image, and P is the orbital period
**Step 5: Determine the mass limit of the black hole candidate**
* Use the formula `(M1 sin(i))^3 = (G \* (P \* K2)^2) / (4 \* pi^2 \* (1 + M2/M1)^2)` to estimate the mass limit of the black hole
* Where M1 is the mass of the black hole, i is the inclination angle, G is the gravitational constant, P is the orbital period, K2 is the radial velocity of the companion star, and M2 is the mass of the companion star
**Step 6: Plug in the values**
* Use the known values:
	+ Orbital period (P) = 0.17 days
	+ Radial velocity of the companion star (K2) = ~700 km/s
	+ Mass of the companion star (M2) = ~6.1 Msolar
	+ Gravitational constant (G) = 6.67384 × 10^-11 m^3 kg^-1 s^-2
* Calculate the mass limit of the black hole candidate using the formula
The resulting calculation should yield an estimated mass limit for the black hole candidate XTE J1118.
Please let me know if you'd like to proceed with any specific step or if you have questions regarding the process!</t>
        </is>
      </c>
      <c r="G65" s="8" t="inlineStr">
        <is>
          <t>0</t>
        </is>
      </c>
      <c r="H65" s="8" t="inlineStr">
        <is>
          <t>1</t>
        </is>
      </c>
      <c r="I65" s="8" t="inlineStr">
        <is>
          <t>1</t>
        </is>
      </c>
      <c r="J65" s="8" t="inlineStr">
        <is>
          <t>1</t>
        </is>
      </c>
      <c r="K65" s="9" t="inlineStr">
        <is>
          <t>0</t>
        </is>
      </c>
      <c r="L65" s="9" t="inlineStr">
        <is>
          <t>1</t>
        </is>
      </c>
      <c r="M65" s="9" t="inlineStr">
        <is>
          <t>0</t>
        </is>
      </c>
      <c r="N65" s="9" t="inlineStr">
        <is>
          <t>0</t>
        </is>
      </c>
      <c r="O65" s="10" t="inlineStr">
        <is>
          <t>1</t>
        </is>
      </c>
      <c r="P65" s="10" t="inlineStr">
        <is>
          <t>0</t>
        </is>
      </c>
      <c r="Q65" s="10" t="inlineStr">
        <is>
          <t>1</t>
        </is>
      </c>
      <c r="R65" s="10" t="inlineStr">
        <is>
          <t>0</t>
        </is>
      </c>
      <c r="S65" s="10" t="inlineStr">
        <is>
          <t>0</t>
        </is>
      </c>
    </row>
    <row r="66" ht="409.5" customHeight="1">
      <c r="A66" s="6">
        <f>IFERROR(__xludf.DUMMYFUNCTION("""COMPUTED_VALUE"""),"BHIMS")</f>
        <v/>
      </c>
      <c r="B66" s="6">
        <f>IFERROR(__xludf.DUMMYFUNCTION("""COMPUTED_VALUE"""),"Space")</f>
        <v/>
      </c>
      <c r="C66" s="6">
        <f>IFERROR(__xludf.DUMMYFUNCTION("""COMPUTED_VALUE"""),"Advanced Research")</f>
        <v/>
      </c>
      <c r="D66" s="7">
        <f>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
      </c>
      <c r="E66" s="7">
        <f>IFERROR(__xludf.DUMMYFUNCTION("""COMPUTED_VALUE"""),"No artifact embedded")</f>
        <v/>
      </c>
      <c r="F66" s="7" t="inlineStr">
        <is>
          <t>To address this prompt effectively, let's break down the key components and provide a structured approach to each task mentioned in the prompt.
### Task 1: Measuring Brightness and Finding Mass Limit
1. **Accessing Images and Finder**: Use the provided link to access the images of XTE J1118 and the finder chart that identifies the companion star and the three comparison stars.
2. **Measuring Brightness**:
   - Open each image in a suitable software (e.g., Adobe Photoshop, IRAF, or any astronomical image processing tool).
   - Measure the brightness (in terms of pixel counts or magnitudes) of the companion star to the Black Hole Candidate XTE J1118 and the three comparison stars. Ensure you're using the same method for all measurements.
   - Record these values in a table or spreadsheet for easy reference.
3. **Creating a Graph**:
   - Using the measured brightness values, create a graph (e.g., light curve) that plots the brightness of the companion star over time against the brightness of one or more comparison stars.
   - This can help visualize any variability and ensure your measurements are consistent with expectations for a stellar black hole candidate.
4. **Calculating Mass Limit**:
   - Follow the example provided in the "Observing Stellar Black Hole Candidates" PDF to calculate the mass limit of the black hole candidate.
   - Use the formula \(f(M) = \frac{M_1 \sin^3 i}{(M_1 + M_2)^2} = \frac{P K_2^3 (1-e^2)^{3/2}}{2\pi G}\), where:
     - \(f(M)\) is the mass function,
     - \(M_1\) and \(M_2\) are masses of the black hole and companion star, respectively,
     - \(i\) is the inclination angle of the orbital plane,
     - \(P\) is the orbital period,
     - \(K_2\) is the radial velocity amplitude of the companion star,
     - \(e\) is the eccentricity of the orbit (usually assumed to be 0 for simplicity),
     - \(G\) is the gravitational constant.
   - Given values: \(P = 4.08\) hours, \(K_2 \approx 700\) km/s, and assuming \(M_2 \approx 6.1 M_{\odot}\), calculate the mass limit of the black hole candidate.
### Task 2: Preparing Observing Session with Faulkes Telescope
1. **Account Setup**: Request your teacher's assistance in setting up an account for accessing the Faulkes Telescope.
2. **Step-by-Step Guide**: Follow the provided guide to prepare your observing session, which typically includes:
   - Identifying a target (in this case, stellar black hole candidates),
   - Checking the observability of the target based on its position and the time of observation,
   - Selecting appropriate filters or instruments for the observation.
3. **Request Coordinates**: Contact the BHIMS project coordinators (rosa.doran@nuclio.pt) to request the coordinates of the objects you wish to observe.
### Task 3: General Preparation
- Read through any additional texts provided on black holes to deepen your understanding of these objects and their observation.
- Ensure you have a good grasp of the theoretical background necessary for interpreting your observations, including concepts like orbital periods, radial velocities, and mass functions.
By following these steps, you should be well-equipped to tackle each task outlined in the prompt. Remember to carefully document your process and results for future reference or presentation.</t>
        </is>
      </c>
      <c r="G66" s="8" t="inlineStr">
        <is>
          <t>0</t>
        </is>
      </c>
      <c r="H66" s="8" t="inlineStr">
        <is>
          <t>1</t>
        </is>
      </c>
      <c r="I66" s="8" t="inlineStr">
        <is>
          <t>1</t>
        </is>
      </c>
      <c r="J66" s="8" t="inlineStr">
        <is>
          <t>1</t>
        </is>
      </c>
      <c r="K66" s="9" t="inlineStr">
        <is>
          <t>0</t>
        </is>
      </c>
      <c r="L66" s="9" t="inlineStr">
        <is>
          <t>1</t>
        </is>
      </c>
      <c r="M66" s="9" t="inlineStr">
        <is>
          <t>0</t>
        </is>
      </c>
      <c r="N66" s="9" t="inlineStr">
        <is>
          <t>0</t>
        </is>
      </c>
      <c r="O66" s="10" t="inlineStr">
        <is>
          <t>1</t>
        </is>
      </c>
      <c r="P66" s="10" t="inlineStr">
        <is>
          <t>0</t>
        </is>
      </c>
      <c r="Q66" s="10" t="inlineStr">
        <is>
          <t>1</t>
        </is>
      </c>
      <c r="R66" s="10" t="inlineStr">
        <is>
          <t>0</t>
        </is>
      </c>
      <c r="S66" s="10" t="inlineStr">
        <is>
          <t>0</t>
        </is>
      </c>
    </row>
    <row r="67" ht="409.5" customHeight="1">
      <c r="A67" s="6">
        <f>IFERROR(__xludf.DUMMYFUNCTION("""COMPUTED_VALUE"""),"BHIMS")</f>
        <v/>
      </c>
      <c r="B67" s="6">
        <f>IFERROR(__xludf.DUMMYFUNCTION("""COMPUTED_VALUE"""),"Resource")</f>
        <v/>
      </c>
      <c r="C67" s="6">
        <f>IFERROR(__xludf.DUMMYFUNCTION("""COMPUTED_VALUE"""),"Stellarium_FT_userguide.pdf")</f>
        <v/>
      </c>
      <c r="D67" s="7">
        <f>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
      </c>
      <c r="E67" s="7">
        <f>IFERROR(__xludf.DUMMYFUNCTION("""COMPUTED_VALUE"""),"application/pdf – A portable document format (PDF) file, preserving text and layout for consistent viewing across devices.")</f>
        <v/>
      </c>
      <c r="F67" s="7" t="inlineStr">
        <is>
          <t>Students measure star brightness, create a graph, and find black hole mass limit. Embedded artifacts include links to images, spreadsheets, and a PDF on observation planning using Stellarium.</t>
        </is>
      </c>
      <c r="G67" s="8" t="inlineStr">
        <is>
          <t>0</t>
        </is>
      </c>
      <c r="H67" s="8" t="inlineStr">
        <is>
          <t>1</t>
        </is>
      </c>
      <c r="I67" s="8" t="inlineStr">
        <is>
          <t>0</t>
        </is>
      </c>
      <c r="J67" s="8" t="inlineStr">
        <is>
          <t>1</t>
        </is>
      </c>
      <c r="K67" s="9" t="inlineStr">
        <is>
          <t>1</t>
        </is>
      </c>
      <c r="L67" s="9" t="inlineStr">
        <is>
          <t>0</t>
        </is>
      </c>
      <c r="M67" s="9" t="inlineStr">
        <is>
          <t>0</t>
        </is>
      </c>
      <c r="N67" s="9" t="inlineStr">
        <is>
          <t>0</t>
        </is>
      </c>
      <c r="O67" s="10" t="inlineStr">
        <is>
          <t>0</t>
        </is>
      </c>
      <c r="P67" s="10" t="inlineStr">
        <is>
          <t>0</t>
        </is>
      </c>
      <c r="Q67" s="10" t="inlineStr">
        <is>
          <t>1</t>
        </is>
      </c>
      <c r="R67" s="10" t="inlineStr">
        <is>
          <t>0</t>
        </is>
      </c>
      <c r="S67" s="10" t="inlineStr">
        <is>
          <t>0</t>
        </is>
      </c>
    </row>
    <row r="68" ht="193" customHeight="1">
      <c r="A68" s="6">
        <f>IFERROR(__xludf.DUMMYFUNCTION("""COMPUTED_VALUE"""),"BHIMS")</f>
        <v/>
      </c>
      <c r="B68" s="6">
        <f>IFERROR(__xludf.DUMMYFUNCTION("""COMPUTED_VALUE"""),"Application")</f>
        <v/>
      </c>
      <c r="C68" s="6">
        <f>IFERROR(__xludf.DUMMYFUNCTION("""COMPUTED_VALUE"""),"Shared Wiki Widget")</f>
        <v/>
      </c>
      <c r="D68" s="7">
        <f>IFERROR(__xludf.DUMMYFUNCTION("""COMPUTED_VALUE"""),"No task description")</f>
        <v/>
      </c>
      <c r="E68"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8" s="7" t="inlineStr">
        <is>
          <t>Students are instructed to observe stellar black holes using Faulkes Telescope, prepare an observing session, and use Stellarium software with embedded PDF guide and Golabz app for collaboration.</t>
        </is>
      </c>
      <c r="G68" s="8" t="inlineStr">
        <is>
          <t>0</t>
        </is>
      </c>
      <c r="H68" s="8" t="inlineStr">
        <is>
          <t>1</t>
        </is>
      </c>
      <c r="I68" s="8" t="inlineStr">
        <is>
          <t>1</t>
        </is>
      </c>
      <c r="J68" s="8" t="inlineStr">
        <is>
          <t>1</t>
        </is>
      </c>
      <c r="K68" s="9" t="inlineStr">
        <is>
          <t>0</t>
        </is>
      </c>
      <c r="L68" s="9" t="inlineStr">
        <is>
          <t>0</t>
        </is>
      </c>
      <c r="M68" s="9" t="inlineStr">
        <is>
          <t>0</t>
        </is>
      </c>
      <c r="N68" s="9" t="inlineStr">
        <is>
          <t>1</t>
        </is>
      </c>
      <c r="O68" s="10" t="inlineStr">
        <is>
          <t>0</t>
        </is>
      </c>
      <c r="P68" s="10" t="inlineStr">
        <is>
          <t>0</t>
        </is>
      </c>
      <c r="Q68" s="10" t="inlineStr">
        <is>
          <t>0</t>
        </is>
      </c>
      <c r="R68" s="10" t="inlineStr">
        <is>
          <t>0</t>
        </is>
      </c>
      <c r="S68" s="10" t="inlineStr">
        <is>
          <t>1</t>
        </is>
      </c>
    </row>
    <row r="69" ht="409.5" customHeight="1">
      <c r="A69" s="6">
        <f>IFERROR(__xludf.DUMMYFUNCTION("""COMPUTED_VALUE"""),"BHIMS")</f>
        <v/>
      </c>
      <c r="B69" s="6">
        <f>IFERROR(__xludf.DUMMYFUNCTION("""COMPUTED_VALUE"""),"Application")</f>
        <v/>
      </c>
      <c r="C69" s="6">
        <f>IFERROR(__xludf.DUMMYFUNCTION("""COMPUTED_VALUE"""),"The Faulkes Telescope Project")</f>
        <v/>
      </c>
      <c r="D69" s="7">
        <f>IFERROR(__xludf.DUMMYFUNCTION("""COMPUTED_VALUE"""),"No task description")</f>
        <v/>
      </c>
      <c r="E69" s="7">
        <f>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
      </c>
      <c r="F69" s="7" t="inlineStr">
        <is>
          <t>Students are instructed to plan an observing session using Stellarium software, setting location, date, and time, and selecting objects to observe. Embedded artifacts include a PDF file and Golabz app/lab tools.</t>
        </is>
      </c>
      <c r="G69" s="8" t="inlineStr">
        <is>
          <t>1</t>
        </is>
      </c>
      <c r="H69" s="8" t="inlineStr">
        <is>
          <t>1</t>
        </is>
      </c>
      <c r="I69" s="8" t="inlineStr">
        <is>
          <t>0</t>
        </is>
      </c>
      <c r="J69" s="8" t="inlineStr">
        <is>
          <t>0</t>
        </is>
      </c>
      <c r="K69" s="9" t="inlineStr">
        <is>
          <t>0</t>
        </is>
      </c>
      <c r="L69" s="9" t="inlineStr">
        <is>
          <t>0</t>
        </is>
      </c>
      <c r="M69" s="9" t="inlineStr">
        <is>
          <t>0</t>
        </is>
      </c>
      <c r="N69" s="9" t="inlineStr">
        <is>
          <t>0</t>
        </is>
      </c>
      <c r="O69" s="10" t="inlineStr">
        <is>
          <t>0</t>
        </is>
      </c>
      <c r="P69" s="10" t="inlineStr">
        <is>
          <t>0</t>
        </is>
      </c>
      <c r="Q69" s="10" t="inlineStr">
        <is>
          <t>0</t>
        </is>
      </c>
      <c r="R69" s="10" t="inlineStr">
        <is>
          <t>0</t>
        </is>
      </c>
      <c r="S69" s="10" t="inlineStr">
        <is>
          <t>0</t>
        </is>
      </c>
    </row>
    <row r="70" ht="409.5" customHeight="1">
      <c r="A70" s="6">
        <f>IFERROR(__xludf.DUMMYFUNCTION("""COMPUTED_VALUE"""),"BHIMS")</f>
        <v/>
      </c>
      <c r="B70" s="6">
        <f>IFERROR(__xludf.DUMMYFUNCTION("""COMPUTED_VALUE"""),"Resource")</f>
        <v/>
      </c>
      <c r="C70" s="6">
        <f>IFERROR(__xludf.DUMMYFUNCTION("""COMPUTED_VALUE"""),"BHIMS_IntroductiontoBH_V2.pdf")</f>
        <v/>
      </c>
      <c r="D70" s="7"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7">
        <f>IFERROR(__xludf.DUMMYFUNCTION("""COMPUTED_VALUE"""),"application/pdf – A portable document format (PDF) file, preserving text and layout for consistent viewing across devices.")</f>
        <v/>
      </c>
      <c r="F70" s="7" t="inlineStr">
        <is>
          <t>The text you've provided appears to be a detailed explanation of how astronomers can determine the mass of a compact object in a binary system, such as a black hole, using Kepler's third law and the Doppler effect. Here's a breakdown of the key points:
1. **Kepler's Third Law**: This law states that the square of the orbital period (P) of a star is proportional to the cube of its semi-major axis (a). In a binary system, this can be applied to determine the mass of the invisible companion (e.g., a black hole) if the mass of the visible star and the orbital parameters are known.
2. **Mass Function**: The mass function, f(M), is a quantity derived from Kepler's third law that allows astronomers to place a lower limit on the mass of the compact object without needing to know the inclination angle (i) of the binary system or the mass of the visible star. The formula for the mass function is given by:
   \[f(M) = \frac{M_1^3 \sin^3(i)}{(M_1 + M_2)^2}\]
   where \(M_1\) is the mass of the compact object, \(M_2\) is the mass of the visible star, and \(i\) is the inclination angle.
3. **Doppler Effect**: The Doppler effect is used to measure the radial velocity (velocity along the line of sight) of the visible star in a binary system. By analyzing the shift in spectral lines due to the Doppler effect, astronomers can determine how fast the star is moving towards or away from us.
4. **Determining Radial Velocity**: The radial velocity (\(K_2\)) of the visible star can be found by observing the shift in its spectral lines over time as it moves around the compact object. This information, combined with the orbital period (P), is crucial for calculating the mass function.
5. **Lower Limit on Mass**: If the calculated mass function \(f(M)\) exceeds 3 solar masses (a rough upper limit for the mass of a neutron star), it provides indirect evidence that the compact object is likely a black hole, given that neutron stars cannot exceed this mass limit due to the constraints of nuclear matter and general relativity.
6. **Importance of Inclination Angle**: The inclination angle (\(i\)) of the binary system's orbital plane relative to our line of sight affects the observed radial velocities and thus the calculated mass function. However, by assuming \(i = 90^\circ\) (edge-on) and \(M_2 = 0\), one can derive a minimum mass for the compact object.
The process outlined above demonstrates how astronomers use a combination of observational astronomy, spectroscopy, and theoretical astrophysics to infer the presence of black holes in binary systems. This method is crucial because black holes themselves do not emit light and are therefore invisible; their presence must be inferred from their gravitational effects on companion stars or other surrounding matter.</t>
        </is>
      </c>
      <c r="G70" s="8" t="inlineStr">
        <is>
          <t>Error</t>
        </is>
      </c>
      <c r="H70" s="8" t="inlineStr">
        <is>
          <t>Error</t>
        </is>
      </c>
      <c r="I70" s="8" t="inlineStr">
        <is>
          <t>Error</t>
        </is>
      </c>
      <c r="J70" s="8" t="inlineStr">
        <is>
          <t>Error</t>
        </is>
      </c>
      <c r="K70" s="9" t="inlineStr">
        <is>
          <t>Error</t>
        </is>
      </c>
      <c r="L70" s="9" t="inlineStr">
        <is>
          <t>Error</t>
        </is>
      </c>
      <c r="M70" s="9" t="inlineStr">
        <is>
          <t>Error</t>
        </is>
      </c>
      <c r="N70" s="9" t="inlineStr">
        <is>
          <t>Error</t>
        </is>
      </c>
      <c r="O70" s="10" t="inlineStr">
        <is>
          <t>Error</t>
        </is>
      </c>
      <c r="P70" s="10" t="inlineStr">
        <is>
          <t>Error</t>
        </is>
      </c>
      <c r="Q70" s="10" t="inlineStr">
        <is>
          <t>Error</t>
        </is>
      </c>
      <c r="R70" s="10" t="inlineStr">
        <is>
          <t>Error</t>
        </is>
      </c>
      <c r="S70" s="10" t="inlineStr">
        <is>
          <t>Error</t>
        </is>
      </c>
    </row>
    <row r="71" ht="193" customHeight="1">
      <c r="A71" s="6">
        <f>IFERROR(__xludf.DUMMYFUNCTION("""COMPUTED_VALUE"""),"BHIMS")</f>
        <v/>
      </c>
      <c r="B71" s="6">
        <f>IFERROR(__xludf.DUMMYFUNCTION("""COMPUTED_VALUE"""),"Space")</f>
        <v/>
      </c>
      <c r="C71" s="6">
        <f>IFERROR(__xludf.DUMMYFUNCTION("""COMPUTED_VALUE"""),"Conclusion")</f>
        <v/>
      </c>
      <c r="D71" s="7">
        <f>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
      </c>
      <c r="E71" s="7">
        <f>IFERROR(__xludf.DUMMYFUNCTION("""COMPUTED_VALUE"""),"No artifact embedded")</f>
        <v/>
      </c>
      <c r="F71" s="7" t="inlineStr">
        <is>
          <t>The text you've provided appears to be a portion of a scientific article or chapter focused on the detection and study of black holes, specifically through the observation of binary star systems where one of the components is believed to be a black hole. The method described involves using Kepler's third law to determine the mass of the unseen companion (the potential black hole) by observing the orbital period and radial velocity of the visible star. Here's a summary and analysis based on the information given:
### Summary
1. **Introduction to Black Holes**: The text starts with an introduction to black holes, emphasizing their exotic nature and the role of general relativity in understanding them. However, it paradoxically notes that evidence for black holes can come from simple Newtonian mechanics.
2. **Kepler's Third Law Application**: Kepler's third law is applied to binary systems to estimate the mass of the unseen companion (potentially a black hole). This law states that the square of the orbital period of a body is directly proportional to the cube of the semi-major axis of its orbit.
3. **Mass Function Calculation**: The calculation of the mass function, \(f(M)\), is crucial. This involves the masses of both the compact object (\(M_1\)) and the companion star (\(M_2\)), the orbital period (\(P\)), the gravitational constant (\(G\)), the inclination of the orbit (\(i\)), and the radial velocity of the visible star (\(K_2\)). The formula derived from Kepler's law allows for an estimation of a lower limit to the mass of \(M_1\) by setting \(i = 90^\circ\) and \(M_2 = 0\), simplifying to \(f(M) = \frac{P K_2^3 (1 - e^2)^{3/2}}{2\pi G}\), though the exact formula provided in the text seems to have been truncated or not fully transcribed.
4. **Doppler Effect and Radial Velocity**: The radial velocity (\(K_2\)) of the star is determined using the Doppler effect, where the shift in spectral lines indicates motion towards or away from the observer. This effect is crucial for calculating \(f(M)\).
5. **Conclusion on Black Hole Detection**: If \(f(M)\) exceeds 3 solar masses (a limit beyond which a neutron star cannot exist), it indirectly suggests the presence of a black hole. This method provides one of the simplest yet powerful ways to infer the existence of black holes in binary systems.
### Analysis
- The approach outlined is fundamental in astrophysics for identifying and studying stellar-mass black holes in binary systems.
- The use of Kepler's third law and the Doppler effect highlights how well-understood principles in physics can be applied to detect some of the universe's most mysterious objects.
- The method relies on accurate measurements of orbital periods and radial velocities, which can be challenging but are feasible with current astronomical technology.
- The calculation of \(f(M)\) and its interpretation is critical. If \(f(M) &gt; 3M_\odot\), it strongly suggests a black hole, given that neutron stars cannot exceed this mass limit due to the nuclear equation of state.
In conclusion, the detection of black holes through binary systems using Kepler's third law and the Doppler effect represents a significant area of research in astrophysics. It leverages basic physical principles to understand some of the most extreme objects in the universe, offering insights into gravity, stellar evolution, and the cosmos itself.</t>
        </is>
      </c>
      <c r="G71" s="8" t="inlineStr">
        <is>
          <t>0</t>
        </is>
      </c>
      <c r="H71" s="8" t="inlineStr">
        <is>
          <t>0</t>
        </is>
      </c>
      <c r="I71" s="8" t="inlineStr">
        <is>
          <t>1</t>
        </is>
      </c>
      <c r="J71" s="8" t="inlineStr">
        <is>
          <t>0</t>
        </is>
      </c>
      <c r="K71" s="9" t="inlineStr">
        <is>
          <t>0</t>
        </is>
      </c>
      <c r="L71" s="9" t="inlineStr">
        <is>
          <t>1</t>
        </is>
      </c>
      <c r="M71" s="9" t="inlineStr">
        <is>
          <t>0</t>
        </is>
      </c>
      <c r="N71" s="9" t="inlineStr">
        <is>
          <t>0</t>
        </is>
      </c>
      <c r="O71" s="10" t="inlineStr">
        <is>
          <t>0</t>
        </is>
      </c>
      <c r="P71" s="10" t="inlineStr">
        <is>
          <t>0</t>
        </is>
      </c>
      <c r="Q71" s="10" t="inlineStr">
        <is>
          <t>0</t>
        </is>
      </c>
      <c r="R71" s="10" t="inlineStr">
        <is>
          <t>0</t>
        </is>
      </c>
      <c r="S71" s="10" t="inlineStr">
        <is>
          <t>1</t>
        </is>
      </c>
    </row>
    <row r="72" ht="384" customHeight="1">
      <c r="A72" s="6">
        <f>IFERROR(__xludf.DUMMYFUNCTION("""COMPUTED_VALUE"""),"BHIMS")</f>
        <v/>
      </c>
      <c r="B72" s="6">
        <f>IFERROR(__xludf.DUMMYFUNCTION("""COMPUTED_VALUE"""),"Resource")</f>
        <v/>
      </c>
      <c r="C72" s="6">
        <f>IFERROR(__xludf.DUMMYFUNCTION("""COMPUTED_VALUE"""),"post quest.graasp")</f>
        <v/>
      </c>
      <c r="D72" s="7">
        <f>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
      </c>
      <c r="E72" s="7">
        <f>IFERROR(__xludf.DUMMYFUNCTION("""COMPUTED_VALUE"""),"No artifact embedded")</f>
        <v/>
      </c>
      <c r="F72" s="7" t="inlineStr">
        <is>
          <t>It appears that the provided text is a portion of a scientific article or chapter about black holes, specifically discussing how to determine the mass of a black hole using Kepler's third law and the Doppler effect. Here's a summary of the main points:
1. **Introduction to Black Holes**: The existence of black holes is one of the most exotic predictions of physics, and their study is an example of the applicability of general relativity.
2. **Kepler's Third Law**: This law states that the square of the orbital period of a body is proportional to the cube of its semi-major axis (or average distance from the central body). It can be applied to any two-body system, including binary star systems where one of the components might be a black hole.
3. **Determining the Mass of a Black Hole**: To determine if a compact object in a binary system is a black hole, astronomers need to find its mass. If the mass exceeds approximately three solar masses (the upper limit for neutron stars), it's likely a black hole.
4. **Mass Function**: The mass function, f(M), is derived from Kepler's third law and provides a lower limit on the mass of the compact object. It depends on the orbital period (P), the radial velocity amplitude of the visible star (K2), the inclination of the orbit (i), and the mass of the visible star (M2).
5. **Calculating the Mass Function**: The formula for the mass function is given, and it's noted that if this value exceeds three solar masses, the compact object is likely a black hole.
6. **Radial Velocity and Doppler Effect**: The radial velocity of the star can be determined using the Doppler effect, which shifts the spectral lines of the star depending on its motion relative to the observer. This shift allows for the calculation of K2, necessary for determining the mass function.
For a full report based on this research, one would need to expand on these points, including:
- **Introduction**: A broader introduction to black holes, their significance in astrophysics, and why determining their masses is important.
- **Methodology**: A detailed explanation of how Kepler's third law and the Doppler effect are used to calculate the mass function, including any mathematical derivations or formulas.
- **Results**: Presentation of specific cases where this method has been applied to determine if a compact object is indeed a black hole, including data on orbital periods, radial velocities, and calculated mass functions.
- **Discussion**: Interpretation of the results in the context of current understanding of black holes and stellar evolution. This could include limitations of the method, potential sources of error, and future directions for research.
- **Conclusion**: Summary of the key findings and implications for astrophysics and our understanding of black holes.
Given the template provided (though not included here), one would organize their report according to its structure, ensuring to address all necessary components such as introduction, literature review, methodology, results, discussion, and conclusion. The questionnaire mentioned seems to be part of an evaluation process rather than directly related to the content of the research on black holes.</t>
        </is>
      </c>
      <c r="G72" s="8" t="inlineStr">
        <is>
          <t>0</t>
        </is>
      </c>
      <c r="H72" s="8" t="inlineStr">
        <is>
          <t>0</t>
        </is>
      </c>
      <c r="I72" s="8" t="inlineStr">
        <is>
          <t>1</t>
        </is>
      </c>
      <c r="J72" s="8" t="inlineStr">
        <is>
          <t>0</t>
        </is>
      </c>
      <c r="K72" s="9" t="inlineStr">
        <is>
          <t>0</t>
        </is>
      </c>
      <c r="L72" s="9" t="inlineStr">
        <is>
          <t>1</t>
        </is>
      </c>
      <c r="M72" s="9" t="inlineStr">
        <is>
          <t>0</t>
        </is>
      </c>
      <c r="N72" s="9" t="inlineStr">
        <is>
          <t>0</t>
        </is>
      </c>
      <c r="O72" s="10" t="inlineStr">
        <is>
          <t>0</t>
        </is>
      </c>
      <c r="P72" s="10" t="inlineStr">
        <is>
          <t>0</t>
        </is>
      </c>
      <c r="Q72" s="10" t="inlineStr">
        <is>
          <t>0</t>
        </is>
      </c>
      <c r="R72" s="10" t="inlineStr">
        <is>
          <t>0</t>
        </is>
      </c>
      <c r="S72" s="10" t="inlineStr">
        <is>
          <t>1</t>
        </is>
      </c>
    </row>
    <row r="73" ht="157" customHeight="1">
      <c r="A73" s="6">
        <f>IFERROR(__xludf.DUMMYFUNCTION("""COMPUTED_VALUE"""),"BHIMS")</f>
        <v/>
      </c>
      <c r="B73" s="6">
        <f>IFERROR(__xludf.DUMMYFUNCTION("""COMPUTED_VALUE"""),"Application")</f>
        <v/>
      </c>
      <c r="C73" s="6">
        <f>IFERROR(__xludf.DUMMYFUNCTION("""COMPUTED_VALUE"""),"File Drop")</f>
        <v/>
      </c>
      <c r="D73" s="7">
        <f>IFERROR(__xludf.DUMMYFUNCTION("""COMPUTED_VALUE"""),"No task description")</f>
        <v/>
      </c>
      <c r="E73" s="7">
        <f>IFERROR(__xludf.DUMMYFUNCTION("""COMPUTED_VALUE"""),"Golabz app/lab: ""&lt;p&gt;This app allows students to upload files, e.g., assignment and reports, to the Inquiry learning Space. The app also allows teachers to download the uploaded files.&lt;/p&gt;\r\n""")</f>
        <v/>
      </c>
      <c r="F73" s="7" t="inlineStr">
        <is>
          <t>Students must prepare a report and submit it using a template via file drop. No artifacts are embedded in Items 1 and 2, but Item 3 has the Golabz app/lab for file uploads.</t>
        </is>
      </c>
      <c r="G73" s="8" t="inlineStr">
        <is>
          <t>0</t>
        </is>
      </c>
      <c r="H73" s="8" t="inlineStr">
        <is>
          <t>1</t>
        </is>
      </c>
      <c r="I73" s="8" t="inlineStr">
        <is>
          <t>1</t>
        </is>
      </c>
      <c r="J73" s="8" t="inlineStr">
        <is>
          <t>0</t>
        </is>
      </c>
      <c r="K73" s="9" t="inlineStr">
        <is>
          <t>0</t>
        </is>
      </c>
      <c r="L73" s="9" t="inlineStr">
        <is>
          <t>1</t>
        </is>
      </c>
      <c r="M73" s="9" t="inlineStr">
        <is>
          <t>0</t>
        </is>
      </c>
      <c r="N73" s="9" t="inlineStr">
        <is>
          <t>0</t>
        </is>
      </c>
      <c r="O73" s="10" t="inlineStr">
        <is>
          <t>0</t>
        </is>
      </c>
      <c r="P73" s="10" t="inlineStr">
        <is>
          <t>0</t>
        </is>
      </c>
      <c r="Q73" s="10" t="inlineStr">
        <is>
          <t>0</t>
        </is>
      </c>
      <c r="R73" s="10" t="inlineStr">
        <is>
          <t>0</t>
        </is>
      </c>
      <c r="S73" s="10" t="inlineStr">
        <is>
          <t>1</t>
        </is>
      </c>
    </row>
    <row r="74" ht="217" customHeight="1">
      <c r="A74" s="6">
        <f>IFERROR(__xludf.DUMMYFUNCTION("""COMPUTED_VALUE"""),"BHIMS")</f>
        <v/>
      </c>
      <c r="B74" s="6">
        <f>IFERROR(__xludf.DUMMYFUNCTION("""COMPUTED_VALUE"""),"Space")</f>
        <v/>
      </c>
      <c r="C74" s="6">
        <f>IFERROR(__xludf.DUMMYFUNCTION("""COMPUTED_VALUE"""),"Discussion")</f>
        <v/>
      </c>
      <c r="D74" s="7">
        <f>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
      </c>
      <c r="E74" s="7">
        <f>IFERROR(__xludf.DUMMYFUNCTION("""COMPUTED_VALUE"""),"No artifact embedded")</f>
        <v/>
      </c>
      <c r="F74" s="7" t="inlineStr">
        <is>
          <t>Students were instructed to answer a questionnaire, upload files via Golabz app, and present their project work. Embedded artifacts include the Golabz app/lab for file uploads.</t>
        </is>
      </c>
      <c r="G74" s="8" t="inlineStr">
        <is>
          <t>0</t>
        </is>
      </c>
      <c r="H74" s="8" t="inlineStr">
        <is>
          <t>0</t>
        </is>
      </c>
      <c r="I74" s="8" t="inlineStr">
        <is>
          <t>0</t>
        </is>
      </c>
      <c r="J74" s="8" t="inlineStr">
        <is>
          <t>1</t>
        </is>
      </c>
      <c r="K74" s="9" t="inlineStr">
        <is>
          <t>0</t>
        </is>
      </c>
      <c r="L74" s="9" t="inlineStr">
        <is>
          <t>0</t>
        </is>
      </c>
      <c r="M74" s="9" t="inlineStr">
        <is>
          <t>1</t>
        </is>
      </c>
      <c r="N74" s="9" t="inlineStr">
        <is>
          <t>0</t>
        </is>
      </c>
      <c r="O74" s="10" t="inlineStr">
        <is>
          <t>0</t>
        </is>
      </c>
      <c r="P74" s="10" t="inlineStr">
        <is>
          <t>0</t>
        </is>
      </c>
      <c r="Q74" s="10" t="inlineStr">
        <is>
          <t>0</t>
        </is>
      </c>
      <c r="R74" s="10" t="inlineStr">
        <is>
          <t>0</t>
        </is>
      </c>
      <c r="S74" s="10" t="inlineStr">
        <is>
          <t>1</t>
        </is>
      </c>
    </row>
    <row r="75" ht="25" customHeight="1">
      <c r="A75" s="6">
        <f>IFERROR(__xludf.DUMMYFUNCTION("""COMPUTED_VALUE"""),"Scenario-Six thinking hats")</f>
        <v/>
      </c>
      <c r="B75" s="6">
        <f>IFERROR(__xludf.DUMMYFUNCTION("""COMPUTED_VALUE"""),"Space")</f>
        <v/>
      </c>
      <c r="C75" s="6">
        <f>IFERROR(__xludf.DUMMYFUNCTION("""COMPUTED_VALUE"""),"Example ILS: Six Hats Approach for Archimedes' Principle")</f>
        <v/>
      </c>
      <c r="D75" s="7">
        <f>IFERROR(__xludf.DUMMYFUNCTION("""COMPUTED_VALUE"""),"No task description")</f>
        <v/>
      </c>
      <c r="E75" s="7">
        <f>IFERROR(__xludf.DUMMYFUNCTION("""COMPUTED_VALUE"""),"No artifact embedded")</f>
        <v/>
      </c>
      <c r="F75" s="7" t="inlineStr">
        <is>
          <t>Students were given tasks with varying levels of detail and some had access to the Golabz app for file sharing.</t>
        </is>
      </c>
      <c r="G75" s="8" t="inlineStr">
        <is>
          <t>0</t>
        </is>
      </c>
      <c r="H75" s="8" t="inlineStr">
        <is>
          <t>0</t>
        </is>
      </c>
      <c r="I75" s="8" t="inlineStr">
        <is>
          <t>0</t>
        </is>
      </c>
      <c r="J75" s="8" t="inlineStr">
        <is>
          <t>0</t>
        </is>
      </c>
      <c r="K75" s="9" t="inlineStr">
        <is>
          <t>0</t>
        </is>
      </c>
      <c r="L75" s="9" t="inlineStr">
        <is>
          <t>0</t>
        </is>
      </c>
      <c r="M75" s="9" t="inlineStr">
        <is>
          <t>0</t>
        </is>
      </c>
      <c r="N75" s="9" t="inlineStr">
        <is>
          <t>0</t>
        </is>
      </c>
      <c r="O75" s="10" t="inlineStr">
        <is>
          <t>0</t>
        </is>
      </c>
      <c r="P75" s="10" t="inlineStr">
        <is>
          <t>0</t>
        </is>
      </c>
      <c r="Q75" s="10" t="inlineStr">
        <is>
          <t>0</t>
        </is>
      </c>
      <c r="R75" s="10" t="inlineStr">
        <is>
          <t>0</t>
        </is>
      </c>
      <c r="S75" s="10" t="inlineStr">
        <is>
          <t>0</t>
        </is>
      </c>
    </row>
    <row r="76" ht="329" customHeight="1">
      <c r="A76" s="6">
        <f>IFERROR(__xludf.DUMMYFUNCTION("""COMPUTED_VALUE"""),"Scenario-Six thinking hats")</f>
        <v/>
      </c>
      <c r="B76" s="6">
        <f>IFERROR(__xludf.DUMMYFUNCTION("""COMPUTED_VALUE"""),"Application")</f>
        <v/>
      </c>
      <c r="C76" s="6">
        <f>IFERROR(__xludf.DUMMYFUNCTION("""COMPUTED_VALUE"""),"Input Box")</f>
        <v/>
      </c>
      <c r="D76" s="7">
        <f>IFERROR(__xludf.DUMMYFUNCTION("""COMPUTED_VALUE"""),"No task description")</f>
        <v/>
      </c>
      <c r="E7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6" s="7" t="inlineStr">
        <is>
          <t>Students present project results and submit papers. No artifacts are embedded except a note-taking app in Item 3.</t>
        </is>
      </c>
      <c r="G76" s="8" t="inlineStr">
        <is>
          <t>0</t>
        </is>
      </c>
      <c r="H76" s="8" t="inlineStr">
        <is>
          <t>1</t>
        </is>
      </c>
      <c r="I76" s="8" t="inlineStr">
        <is>
          <t>1</t>
        </is>
      </c>
      <c r="J76" s="8" t="inlineStr">
        <is>
          <t>1</t>
        </is>
      </c>
      <c r="K76" s="9" t="inlineStr">
        <is>
          <t>1</t>
        </is>
      </c>
      <c r="L76" s="9" t="inlineStr">
        <is>
          <t>1</t>
        </is>
      </c>
      <c r="M76" s="9" t="inlineStr">
        <is>
          <t>1</t>
        </is>
      </c>
      <c r="N76" s="9" t="inlineStr">
        <is>
          <t>1</t>
        </is>
      </c>
      <c r="O76" s="10" t="inlineStr">
        <is>
          <t>0</t>
        </is>
      </c>
      <c r="P76" s="10" t="inlineStr">
        <is>
          <t>0</t>
        </is>
      </c>
      <c r="Q76" s="10" t="inlineStr">
        <is>
          <t>0</t>
        </is>
      </c>
      <c r="R76" s="10" t="inlineStr">
        <is>
          <t>0</t>
        </is>
      </c>
      <c r="S76" s="10" t="inlineStr">
        <is>
          <t>1</t>
        </is>
      </c>
    </row>
    <row r="77" ht="25" customHeight="1">
      <c r="A77" s="6">
        <f>IFERROR(__xludf.DUMMYFUNCTION("""COMPUTED_VALUE"""),"Scenario-Six thinking hats")</f>
        <v/>
      </c>
      <c r="B77" s="6">
        <f>IFERROR(__xludf.DUMMYFUNCTION("""COMPUTED_VALUE"""),"Space")</f>
        <v/>
      </c>
      <c r="C77" s="6">
        <f>IFERROR(__xludf.DUMMYFUNCTION("""COMPUTED_VALUE"""),"Orientation")</f>
        <v/>
      </c>
      <c r="D77" s="7">
        <f>IFERROR(__xludf.DUMMYFUNCTION("""COMPUTED_VALUE"""),"No task description")</f>
        <v/>
      </c>
      <c r="E77" s="7">
        <f>IFERROR(__xludf.DUMMYFUNCTION("""COMPUTED_VALUE"""),"No artifact embedded")</f>
        <v/>
      </c>
      <c r="F77" s="7" t="inlineStr">
        <is>
          <t>No task descriptions provided; only Item2 has an embedded Golabz app/lab artifact for note-taking and collaboration.</t>
        </is>
      </c>
      <c r="G77" s="8" t="inlineStr">
        <is>
          <t>0</t>
        </is>
      </c>
      <c r="H77" s="8" t="inlineStr">
        <is>
          <t>0</t>
        </is>
      </c>
      <c r="I77" s="8" t="inlineStr">
        <is>
          <t>0</t>
        </is>
      </c>
      <c r="J77" s="8" t="inlineStr">
        <is>
          <t>0</t>
        </is>
      </c>
      <c r="K77" s="9" t="inlineStr">
        <is>
          <t>0</t>
        </is>
      </c>
      <c r="L77" s="9" t="inlineStr">
        <is>
          <t>0</t>
        </is>
      </c>
      <c r="M77" s="9" t="inlineStr">
        <is>
          <t>0</t>
        </is>
      </c>
      <c r="N77" s="9" t="inlineStr">
        <is>
          <t>0</t>
        </is>
      </c>
      <c r="O77" s="10" t="inlineStr">
        <is>
          <t>0</t>
        </is>
      </c>
      <c r="P77" s="10" t="inlineStr">
        <is>
          <t>0</t>
        </is>
      </c>
      <c r="Q77" s="10" t="inlineStr">
        <is>
          <t>0</t>
        </is>
      </c>
      <c r="R77" s="10" t="inlineStr">
        <is>
          <t>0</t>
        </is>
      </c>
      <c r="S77" s="10" t="inlineStr">
        <is>
          <t>0</t>
        </is>
      </c>
    </row>
    <row r="78" ht="409.5" customHeight="1">
      <c r="A78" s="6">
        <f>IFERROR(__xludf.DUMMYFUNCTION("""COMPUTED_VALUE"""),"Scenario-Six thinking hats")</f>
        <v/>
      </c>
      <c r="B78" s="6">
        <f>IFERROR(__xludf.DUMMYFUNCTION("""COMPUTED_VALUE"""),"Resource")</f>
        <v/>
      </c>
      <c r="C78" s="6">
        <f>IFERROR(__xludf.DUMMYFUNCTION("""COMPUTED_VALUE"""),"OrientationTextBox.graasp")</f>
        <v/>
      </c>
      <c r="D78" s="7">
        <f>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
      </c>
      <c r="E78" s="7">
        <f>IFERROR(__xludf.DUMMYFUNCTION("""COMPUTED_VALUE"""),"No artifact embedded")</f>
        <v/>
      </c>
      <c r="F78" s="7" t="inlineStr">
        <is>
          <t>Students brainstorm, explore resources, and activate prior knowledge. Embedded artifacts include Golabz app/lab for note-taking and collaboration.</t>
        </is>
      </c>
      <c r="G78" s="8" t="inlineStr">
        <is>
          <t>0</t>
        </is>
      </c>
      <c r="H78" s="8" t="inlineStr">
        <is>
          <t>1</t>
        </is>
      </c>
      <c r="I78" s="8" t="inlineStr">
        <is>
          <t>1</t>
        </is>
      </c>
      <c r="J78" s="8" t="inlineStr">
        <is>
          <t>1</t>
        </is>
      </c>
      <c r="K78" s="9" t="inlineStr">
        <is>
          <t>0</t>
        </is>
      </c>
      <c r="L78" s="9" t="inlineStr">
        <is>
          <t>1</t>
        </is>
      </c>
      <c r="M78" s="9" t="inlineStr">
        <is>
          <t>0</t>
        </is>
      </c>
      <c r="N78" s="9" t="inlineStr">
        <is>
          <t>0</t>
        </is>
      </c>
      <c r="O78" s="10" t="inlineStr">
        <is>
          <t>1</t>
        </is>
      </c>
      <c r="P78" s="10" t="inlineStr">
        <is>
          <t>0</t>
        </is>
      </c>
      <c r="Q78" s="10" t="inlineStr">
        <is>
          <t>0</t>
        </is>
      </c>
      <c r="R78" s="10" t="inlineStr">
        <is>
          <t>0</t>
        </is>
      </c>
      <c r="S78" s="10" t="inlineStr">
        <is>
          <t>0</t>
        </is>
      </c>
    </row>
    <row r="79" ht="25" customHeight="1">
      <c r="A79" s="6">
        <f>IFERROR(__xludf.DUMMYFUNCTION("""COMPUTED_VALUE"""),"Scenario-Six thinking hats")</f>
        <v/>
      </c>
      <c r="B79" s="6">
        <f>IFERROR(__xludf.DUMMYFUNCTION("""COMPUTED_VALUE"""),"Space")</f>
        <v/>
      </c>
      <c r="C79" s="6">
        <f>IFERROR(__xludf.DUMMYFUNCTION("""COMPUTED_VALUE"""),"Conceptualisation")</f>
        <v/>
      </c>
      <c r="D79" s="7">
        <f>IFERROR(__xludf.DUMMYFUNCTION("""COMPUTED_VALUE"""),"No task description")</f>
        <v/>
      </c>
      <c r="E79" s="7">
        <f>IFERROR(__xludf.DUMMYFUNCTION("""COMPUTED_VALUE"""),"No artifact embedded")</f>
        <v/>
      </c>
      <c r="F79" s="7" t="inlineStr">
        <is>
          <t>Students brainstorm and familiarize themselves with a topic using videos, texts, and websites, then activate prior knowledge through writing and quizzes.</t>
        </is>
      </c>
      <c r="G79" s="8" t="inlineStr">
        <is>
          <t>0</t>
        </is>
      </c>
      <c r="H79" s="8" t="inlineStr">
        <is>
          <t>0</t>
        </is>
      </c>
      <c r="I79" s="8" t="inlineStr">
        <is>
          <t>0</t>
        </is>
      </c>
      <c r="J79" s="8" t="inlineStr">
        <is>
          <t>0</t>
        </is>
      </c>
      <c r="K79" s="9" t="inlineStr">
        <is>
          <t>0</t>
        </is>
      </c>
      <c r="L79" s="9" t="inlineStr">
        <is>
          <t>0</t>
        </is>
      </c>
      <c r="M79" s="9" t="inlineStr">
        <is>
          <t>0</t>
        </is>
      </c>
      <c r="N79" s="9" t="inlineStr">
        <is>
          <t>0</t>
        </is>
      </c>
      <c r="O79" s="10" t="inlineStr">
        <is>
          <t>0</t>
        </is>
      </c>
      <c r="P79" s="10" t="inlineStr">
        <is>
          <t>0</t>
        </is>
      </c>
      <c r="Q79" s="10" t="inlineStr">
        <is>
          <t>0</t>
        </is>
      </c>
      <c r="R79" s="10" t="inlineStr">
        <is>
          <t>0</t>
        </is>
      </c>
      <c r="S79" s="10" t="inlineStr">
        <is>
          <t>0</t>
        </is>
      </c>
    </row>
    <row r="80" ht="409.5" customHeight="1">
      <c r="A80" s="6">
        <f>IFERROR(__xludf.DUMMYFUNCTION("""COMPUTED_VALUE"""),"Scenario-Six thinking hats")</f>
        <v/>
      </c>
      <c r="B80" s="6">
        <f>IFERROR(__xludf.DUMMYFUNCTION("""COMPUTED_VALUE"""),"Resource")</f>
        <v/>
      </c>
      <c r="C80" s="6">
        <f>IFERROR(__xludf.DUMMYFUNCTION("""COMPUTED_VALUE"""),"ConceptualisationTextBox.graasp")</f>
        <v/>
      </c>
      <c r="D80" s="7">
        <f>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
      </c>
      <c r="E80" s="7">
        <f>IFERROR(__xludf.DUMMYFUNCTION("""COMPUTED_VALUE"""),"No artifact embedded")</f>
        <v/>
      </c>
      <c r="F80" s="7" t="inlineStr">
        <is>
          <t>Students brainstorm, explore resources, and activate prior knowledge. Embedded artifacts include videos, texts, links, quizzes, concept maps, and a Hypothesis Scratchpad.</t>
        </is>
      </c>
      <c r="G80" s="8" t="inlineStr">
        <is>
          <t>0</t>
        </is>
      </c>
      <c r="H80" s="8" t="inlineStr">
        <is>
          <t>0</t>
        </is>
      </c>
      <c r="I80" s="8" t="inlineStr">
        <is>
          <t>1</t>
        </is>
      </c>
      <c r="J80" s="8" t="inlineStr">
        <is>
          <t>1</t>
        </is>
      </c>
      <c r="K80" s="9" t="inlineStr">
        <is>
          <t>0</t>
        </is>
      </c>
      <c r="L80" s="9" t="inlineStr">
        <is>
          <t>1</t>
        </is>
      </c>
      <c r="M80" s="9" t="inlineStr">
        <is>
          <t>0</t>
        </is>
      </c>
      <c r="N80" s="9" t="inlineStr">
        <is>
          <t>1</t>
        </is>
      </c>
      <c r="O80" s="10" t="inlineStr">
        <is>
          <t>0</t>
        </is>
      </c>
      <c r="P80" s="10" t="inlineStr">
        <is>
          <t>1</t>
        </is>
      </c>
      <c r="Q80" s="10" t="inlineStr">
        <is>
          <t>0</t>
        </is>
      </c>
      <c r="R80" s="10" t="inlineStr">
        <is>
          <t>0</t>
        </is>
      </c>
      <c r="S80" s="10" t="inlineStr">
        <is>
          <t>0</t>
        </is>
      </c>
    </row>
    <row r="81" ht="25" customHeight="1">
      <c r="A81" s="6">
        <f>IFERROR(__xludf.DUMMYFUNCTION("""COMPUTED_VALUE"""),"Scenario-Six thinking hats")</f>
        <v/>
      </c>
      <c r="B81" s="6">
        <f>IFERROR(__xludf.DUMMYFUNCTION("""COMPUTED_VALUE"""),"Space")</f>
        <v/>
      </c>
      <c r="C81" s="6">
        <f>IFERROR(__xludf.DUMMYFUNCTION("""COMPUTED_VALUE"""),"Investigation")</f>
        <v/>
      </c>
      <c r="D81" s="7">
        <f>IFERROR(__xludf.DUMMYFUNCTION("""COMPUTED_VALUE"""),"No task description")</f>
        <v/>
      </c>
      <c r="E81" s="7">
        <f>IFERROR(__xludf.DUMMYFUNCTION("""COMPUTED_VALUE"""),"No artifact embedded")</f>
        <v/>
      </c>
      <c r="F81" s="7" t="inlineStr">
        <is>
          <t>Students create concept maps and formulate hypotheses using the Hypothesis Scratchpad, following given hints.</t>
        </is>
      </c>
      <c r="G81" s="8" t="inlineStr">
        <is>
          <t>0</t>
        </is>
      </c>
      <c r="H81" s="8" t="inlineStr">
        <is>
          <t>0</t>
        </is>
      </c>
      <c r="I81" s="8" t="inlineStr">
        <is>
          <t>0</t>
        </is>
      </c>
      <c r="J81" s="8" t="inlineStr">
        <is>
          <t>0</t>
        </is>
      </c>
      <c r="K81" s="9" t="inlineStr">
        <is>
          <t>0</t>
        </is>
      </c>
      <c r="L81" s="9" t="inlineStr">
        <is>
          <t>0</t>
        </is>
      </c>
      <c r="M81" s="9" t="inlineStr">
        <is>
          <t>0</t>
        </is>
      </c>
      <c r="N81" s="9" t="inlineStr">
        <is>
          <t>0</t>
        </is>
      </c>
      <c r="O81" s="10" t="inlineStr">
        <is>
          <t>0</t>
        </is>
      </c>
      <c r="P81" s="10" t="inlineStr">
        <is>
          <t>0</t>
        </is>
      </c>
      <c r="Q81" s="10" t="inlineStr">
        <is>
          <t>0</t>
        </is>
      </c>
      <c r="R81" s="10" t="inlineStr">
        <is>
          <t>0</t>
        </is>
      </c>
      <c r="S81" s="10" t="inlineStr">
        <is>
          <t>0</t>
        </is>
      </c>
    </row>
    <row r="82" ht="409.5" customHeight="1">
      <c r="A82" s="6">
        <f>IFERROR(__xludf.DUMMYFUNCTION("""COMPUTED_VALUE"""),"Scenario-Six thinking hats")</f>
        <v/>
      </c>
      <c r="B82" s="6">
        <f>IFERROR(__xludf.DUMMYFUNCTION("""COMPUTED_VALUE"""),"Resource")</f>
        <v/>
      </c>
      <c r="C82" s="6">
        <f>IFERROR(__xludf.DUMMYFUNCTION("""COMPUTED_VALUE"""),"InvestigationTextBox.graasp")</f>
        <v/>
      </c>
      <c r="D82" s="7">
        <f>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
      </c>
      <c r="E82" s="7">
        <f>IFERROR(__xludf.DUMMYFUNCTION("""COMPUTED_VALUE"""),"No artifact embedded")</f>
        <v/>
      </c>
      <c r="F82" s="7" t="inlineStr">
        <is>
          <t>Students create concept maps and formulate hypotheses. Embedded artifacts include Hypothesis Scratchpad, Experiment Design Tool, and Data Viewer.</t>
        </is>
      </c>
      <c r="G82" s="8" t="inlineStr">
        <is>
          <t>0</t>
        </is>
      </c>
      <c r="H82" s="8" t="inlineStr">
        <is>
          <t>1</t>
        </is>
      </c>
      <c r="I82" s="8" t="inlineStr">
        <is>
          <t>1</t>
        </is>
      </c>
      <c r="J82" s="8" t="inlineStr">
        <is>
          <t>0</t>
        </is>
      </c>
      <c r="K82" s="9" t="inlineStr">
        <is>
          <t>0</t>
        </is>
      </c>
      <c r="L82" s="9" t="inlineStr">
        <is>
          <t>1</t>
        </is>
      </c>
      <c r="M82" s="9" t="inlineStr">
        <is>
          <t>0</t>
        </is>
      </c>
      <c r="N82" s="9" t="inlineStr">
        <is>
          <t>0</t>
        </is>
      </c>
      <c r="O82" s="10" t="inlineStr">
        <is>
          <t>0</t>
        </is>
      </c>
      <c r="P82" s="10" t="inlineStr">
        <is>
          <t>0</t>
        </is>
      </c>
      <c r="Q82" s="10" t="inlineStr">
        <is>
          <t>1</t>
        </is>
      </c>
      <c r="R82" s="10" t="inlineStr">
        <is>
          <t>0</t>
        </is>
      </c>
      <c r="S82" s="10" t="inlineStr">
        <is>
          <t>0</t>
        </is>
      </c>
    </row>
    <row r="83" ht="25" customHeight="1">
      <c r="A83" s="6">
        <f>IFERROR(__xludf.DUMMYFUNCTION("""COMPUTED_VALUE"""),"Scenario-Six thinking hats")</f>
        <v/>
      </c>
      <c r="B83" s="6">
        <f>IFERROR(__xludf.DUMMYFUNCTION("""COMPUTED_VALUE"""),"Space")</f>
        <v/>
      </c>
      <c r="C83" s="6">
        <f>IFERROR(__xludf.DUMMYFUNCTION("""COMPUTED_VALUE"""),"Conclusion")</f>
        <v/>
      </c>
      <c r="D83" s="7">
        <f>IFERROR(__xludf.DUMMYFUNCTION("""COMPUTED_VALUE"""),"No task description")</f>
        <v/>
      </c>
      <c r="E83" s="7">
        <f>IFERROR(__xludf.DUMMYFUNCTION("""COMPUTED_VALUE"""),"No artifact embedded")</f>
        <v/>
      </c>
      <c r="F83" s="7" t="inlineStr">
        <is>
          <t>Students design and conduct experiments, plan investigations, and analyze data using tools like Experiment Design Tool and Data Viewer.</t>
        </is>
      </c>
      <c r="G83" s="8" t="inlineStr">
        <is>
          <t>0</t>
        </is>
      </c>
      <c r="H83" s="8" t="inlineStr">
        <is>
          <t>0</t>
        </is>
      </c>
      <c r="I83" s="8" t="inlineStr">
        <is>
          <t>0</t>
        </is>
      </c>
      <c r="J83" s="8" t="inlineStr">
        <is>
          <t>0</t>
        </is>
      </c>
      <c r="K83" s="9" t="inlineStr">
        <is>
          <t>0</t>
        </is>
      </c>
      <c r="L83" s="9" t="inlineStr">
        <is>
          <t>0</t>
        </is>
      </c>
      <c r="M83" s="9" t="inlineStr">
        <is>
          <t>0</t>
        </is>
      </c>
      <c r="N83" s="9" t="inlineStr">
        <is>
          <t>0</t>
        </is>
      </c>
      <c r="O83" s="10" t="inlineStr">
        <is>
          <t>0</t>
        </is>
      </c>
      <c r="P83" s="10" t="inlineStr">
        <is>
          <t>0</t>
        </is>
      </c>
      <c r="Q83" s="10" t="inlineStr">
        <is>
          <t>0</t>
        </is>
      </c>
      <c r="R83" s="10" t="inlineStr">
        <is>
          <t>0</t>
        </is>
      </c>
      <c r="S83" s="10" t="inlineStr">
        <is>
          <t>0</t>
        </is>
      </c>
    </row>
    <row r="84" ht="409.5" customHeight="1">
      <c r="A84" s="6">
        <f>IFERROR(__xludf.DUMMYFUNCTION("""COMPUTED_VALUE"""),"Scenario-Six thinking hats")</f>
        <v/>
      </c>
      <c r="B84" s="6">
        <f>IFERROR(__xludf.DUMMYFUNCTION("""COMPUTED_VALUE"""),"Resource")</f>
        <v/>
      </c>
      <c r="C84" s="6">
        <f>IFERROR(__xludf.DUMMYFUNCTION("""COMPUTED_VALUE"""),"ConclusionTextBox.graasp")</f>
        <v/>
      </c>
      <c r="D84" s="7">
        <f>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
      </c>
      <c r="E84" s="7">
        <f>IFERROR(__xludf.DUMMYFUNCTION("""COMPUTED_VALUE"""),"No artifact embedded")</f>
        <v/>
      </c>
      <c r="F84" s="7" t="inlineStr">
        <is>
          <t>Students design experiments, collect data, and draw conclusions using tools like Experiment Design Tool and Conclusion Tool, with guidance on variables and presentation.</t>
        </is>
      </c>
      <c r="G84" s="8" t="inlineStr">
        <is>
          <t>0</t>
        </is>
      </c>
      <c r="H84" s="8" t="inlineStr">
        <is>
          <t>0</t>
        </is>
      </c>
      <c r="I84" s="8" t="inlineStr">
        <is>
          <t>1</t>
        </is>
      </c>
      <c r="J84" s="8" t="inlineStr">
        <is>
          <t>0</t>
        </is>
      </c>
      <c r="K84" s="9" t="inlineStr">
        <is>
          <t>0</t>
        </is>
      </c>
      <c r="L84" s="9" t="inlineStr">
        <is>
          <t>0</t>
        </is>
      </c>
      <c r="M84" s="9" t="inlineStr">
        <is>
          <t>0</t>
        </is>
      </c>
      <c r="N84" s="9" t="inlineStr">
        <is>
          <t>1</t>
        </is>
      </c>
      <c r="O84" s="10" t="inlineStr">
        <is>
          <t>0</t>
        </is>
      </c>
      <c r="P84" s="10" t="inlineStr">
        <is>
          <t>0</t>
        </is>
      </c>
      <c r="Q84" s="10" t="inlineStr">
        <is>
          <t>0</t>
        </is>
      </c>
      <c r="R84" s="10" t="inlineStr">
        <is>
          <t>1</t>
        </is>
      </c>
      <c r="S84" s="10" t="inlineStr">
        <is>
          <t>1</t>
        </is>
      </c>
    </row>
    <row r="85" ht="25" customHeight="1">
      <c r="A85" s="6">
        <f>IFERROR(__xludf.DUMMYFUNCTION("""COMPUTED_VALUE"""),"Scenario-Six thinking hats")</f>
        <v/>
      </c>
      <c r="B85" s="6">
        <f>IFERROR(__xludf.DUMMYFUNCTION("""COMPUTED_VALUE"""),"Space")</f>
        <v/>
      </c>
      <c r="C85" s="6">
        <f>IFERROR(__xludf.DUMMYFUNCTION("""COMPUTED_VALUE"""),"Discussion")</f>
        <v/>
      </c>
      <c r="D85" s="7">
        <f>IFERROR(__xludf.DUMMYFUNCTION("""COMPUTED_VALUE"""),"No task description")</f>
        <v/>
      </c>
      <c r="E85" s="7">
        <f>IFERROR(__xludf.DUMMYFUNCTION("""COMPUTED_VALUE"""),"No artifact embedded")</f>
        <v/>
      </c>
      <c r="F85" s="7" t="inlineStr">
        <is>
          <t>Students draw conclusions, prepare presentations, and upload files using the Conclusion Tool and File Drop App, with hints provided for valid conclusions and presentation preparation.</t>
        </is>
      </c>
      <c r="G85" s="8" t="inlineStr">
        <is>
          <t>0</t>
        </is>
      </c>
      <c r="H85" s="8" t="inlineStr">
        <is>
          <t>0</t>
        </is>
      </c>
      <c r="I85" s="8" t="inlineStr">
        <is>
          <t>0</t>
        </is>
      </c>
      <c r="J85" s="8" t="inlineStr">
        <is>
          <t>0</t>
        </is>
      </c>
      <c r="K85" s="9" t="inlineStr">
        <is>
          <t>0</t>
        </is>
      </c>
      <c r="L85" s="9" t="inlineStr">
        <is>
          <t>0</t>
        </is>
      </c>
      <c r="M85" s="9" t="inlineStr">
        <is>
          <t>0</t>
        </is>
      </c>
      <c r="N85" s="9" t="inlineStr">
        <is>
          <t>0</t>
        </is>
      </c>
      <c r="O85" s="10" t="inlineStr">
        <is>
          <t>0</t>
        </is>
      </c>
      <c r="P85" s="10" t="inlineStr">
        <is>
          <t>0</t>
        </is>
      </c>
      <c r="Q85" s="10" t="inlineStr">
        <is>
          <t>0</t>
        </is>
      </c>
      <c r="R85" s="10" t="inlineStr">
        <is>
          <t>0</t>
        </is>
      </c>
      <c r="S85" s="10" t="inlineStr">
        <is>
          <t>0</t>
        </is>
      </c>
    </row>
    <row r="86" ht="409.5" customHeight="1">
      <c r="A86" s="6">
        <f>IFERROR(__xludf.DUMMYFUNCTION("""COMPUTED_VALUE"""),"Scenario-Six thinking hats")</f>
        <v/>
      </c>
      <c r="B86" s="6">
        <f>IFERROR(__xludf.DUMMYFUNCTION("""COMPUTED_VALUE"""),"Resource")</f>
        <v/>
      </c>
      <c r="C86" s="6">
        <f>IFERROR(__xludf.DUMMYFUNCTION("""COMPUTED_VALUE"""),"DiscussionTextBox.graasp")</f>
        <v/>
      </c>
      <c r="D86" s="7">
        <f>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
      </c>
      <c r="E86" s="7">
        <f>IFERROR(__xludf.DUMMYFUNCTION("""COMPUTED_VALUE"""),"No artifact embedded")</f>
        <v/>
      </c>
      <c r="F86" s="7" t="inlineStr">
        <is>
          <t>Students draw conclusions, prepare presentations, and share results. Embedded artifacts include links to the Six hats example ILS.</t>
        </is>
      </c>
      <c r="G86" s="8" t="inlineStr">
        <is>
          <t>0</t>
        </is>
      </c>
      <c r="H86" s="8" t="inlineStr">
        <is>
          <t>0</t>
        </is>
      </c>
      <c r="I86" s="8" t="inlineStr">
        <is>
          <t>0</t>
        </is>
      </c>
      <c r="J86" s="8" t="inlineStr">
        <is>
          <t>0</t>
        </is>
      </c>
      <c r="K86" s="9" t="inlineStr">
        <is>
          <t>0</t>
        </is>
      </c>
      <c r="L86" s="9" t="inlineStr">
        <is>
          <t>0</t>
        </is>
      </c>
      <c r="M86" s="9" t="inlineStr">
        <is>
          <t>1</t>
        </is>
      </c>
      <c r="N86" s="9" t="inlineStr">
        <is>
          <t>0</t>
        </is>
      </c>
      <c r="O86" s="10" t="inlineStr">
        <is>
          <t>0</t>
        </is>
      </c>
      <c r="P86" s="10" t="inlineStr">
        <is>
          <t>0</t>
        </is>
      </c>
      <c r="Q86" s="10" t="inlineStr">
        <is>
          <t>0</t>
        </is>
      </c>
      <c r="R86" s="10" t="inlineStr">
        <is>
          <t>0</t>
        </is>
      </c>
      <c r="S86" s="10" t="inlineStr">
        <is>
          <t>1</t>
        </is>
      </c>
    </row>
    <row r="87" ht="409.5" customHeight="1">
      <c r="A87" s="6">
        <f>IFERROR(__xludf.DUMMYFUNCTION("""COMPUTED_VALUE"""),"Scenario-Six thinking hats")</f>
        <v/>
      </c>
      <c r="B87" s="6">
        <f>IFERROR(__xludf.DUMMYFUNCTION("""COMPUTED_VALUE"""),"Resource")</f>
        <v/>
      </c>
      <c r="C87" s="6">
        <f>IFERROR(__xludf.DUMMYFUNCTION("""COMPUTED_VALUE"""),"Six-Thinking-Hats.pdf")</f>
        <v/>
      </c>
      <c r="D87" s="7">
        <f>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
      </c>
      <c r="E87" s="7">
        <f>IFERROR(__xludf.DUMMYFUNCTION("""COMPUTED_VALUE"""),"No artifact embedded")</f>
        <v/>
      </c>
      <c r="F87" s="7" t="inlineStr">
        <is>
          <t>Students discuss conclusions, apply Six Thinking Hats technique, and identify scientist work methods. No artifacts are embedded in items 1-3.</t>
        </is>
      </c>
      <c r="G87" s="8" t="inlineStr">
        <is>
          <t>0</t>
        </is>
      </c>
      <c r="H87" s="8" t="inlineStr">
        <is>
          <t>0</t>
        </is>
      </c>
      <c r="I87" s="8" t="inlineStr">
        <is>
          <t>0</t>
        </is>
      </c>
      <c r="J87" s="8" t="inlineStr">
        <is>
          <t>0</t>
        </is>
      </c>
      <c r="K87" s="9" t="inlineStr">
        <is>
          <t>0</t>
        </is>
      </c>
      <c r="L87" s="9" t="inlineStr">
        <is>
          <t>0</t>
        </is>
      </c>
      <c r="M87" s="9" t="inlineStr">
        <is>
          <t>1</t>
        </is>
      </c>
      <c r="N87" s="9" t="inlineStr">
        <is>
          <t>1</t>
        </is>
      </c>
      <c r="O87" s="10" t="inlineStr">
        <is>
          <t>0</t>
        </is>
      </c>
      <c r="P87" s="10" t="inlineStr">
        <is>
          <t>1</t>
        </is>
      </c>
      <c r="Q87" s="10" t="inlineStr">
        <is>
          <t>0</t>
        </is>
      </c>
      <c r="R87" s="10" t="inlineStr">
        <is>
          <t>1</t>
        </is>
      </c>
      <c r="S87" s="10" t="inlineStr">
        <is>
          <t>1</t>
        </is>
      </c>
    </row>
    <row r="88" ht="25" customHeight="1">
      <c r="A88" s="6">
        <f>IFERROR(__xludf.DUMMYFUNCTION("""COMPUTED_VALUE"""),"Trigonometry (Math)")</f>
        <v/>
      </c>
      <c r="B88" s="6">
        <f>IFERROR(__xludf.DUMMYFUNCTION("""COMPUTED_VALUE"""),"Space")</f>
        <v/>
      </c>
      <c r="C88" s="6">
        <f>IFERROR(__xludf.DUMMYFUNCTION("""COMPUTED_VALUE"""),"Orientation")</f>
        <v/>
      </c>
      <c r="D88" s="7">
        <f>IFERROR(__xludf.DUMMYFUNCTION("""COMPUTED_VALUE"""),"&lt;p&gt;Trigonometry&lt;/p&gt;")</f>
        <v/>
      </c>
      <c r="E88" s="7">
        <f>IFERROR(__xludf.DUMMYFUNCTION("""COMPUTED_VALUE"""),"No artifact embedded")</f>
        <v/>
      </c>
      <c r="F88" s="7" t="inlineStr">
        <is>
          <t>Students discuss conclusions and apply work in different settings, using techniques like Six Thinking Hats. No artifacts are embedded.</t>
        </is>
      </c>
      <c r="G88" s="8" t="inlineStr">
        <is>
          <t>0</t>
        </is>
      </c>
      <c r="H88" s="8" t="inlineStr">
        <is>
          <t>0</t>
        </is>
      </c>
      <c r="I88" s="8" t="inlineStr">
        <is>
          <t>0</t>
        </is>
      </c>
      <c r="J88" s="8" t="inlineStr">
        <is>
          <t>0</t>
        </is>
      </c>
      <c r="K88" s="9" t="inlineStr">
        <is>
          <t>0</t>
        </is>
      </c>
      <c r="L88" s="9" t="inlineStr">
        <is>
          <t>0</t>
        </is>
      </c>
      <c r="M88" s="9" t="inlineStr">
        <is>
          <t>0</t>
        </is>
      </c>
      <c r="N88" s="9" t="inlineStr">
        <is>
          <t>0</t>
        </is>
      </c>
      <c r="O88" s="10" t="inlineStr">
        <is>
          <t>0</t>
        </is>
      </c>
      <c r="P88" s="10" t="inlineStr">
        <is>
          <t>0</t>
        </is>
      </c>
      <c r="Q88" s="10" t="inlineStr">
        <is>
          <t>0</t>
        </is>
      </c>
      <c r="R88" s="10" t="inlineStr">
        <is>
          <t>0</t>
        </is>
      </c>
      <c r="S88" s="10" t="inlineStr">
        <is>
          <t>0</t>
        </is>
      </c>
    </row>
    <row r="89" ht="121" customHeight="1">
      <c r="A89" s="6">
        <f>IFERROR(__xludf.DUMMYFUNCTION("""COMPUTED_VALUE"""),"Trigonometry (Math)")</f>
        <v/>
      </c>
      <c r="B89" s="6">
        <f>IFERROR(__xludf.DUMMYFUNCTION("""COMPUTED_VALUE"""),"Resource")</f>
        <v/>
      </c>
      <c r="C89" s="6">
        <f>IFERROR(__xludf.DUMMYFUNCTION("""COMPUTED_VALUE"""),"Optimized-shutterstock_277837433-768x576.jpg")</f>
        <v/>
      </c>
      <c r="D89" s="7">
        <f>IFERROR(__xludf.DUMMYFUNCTION("""COMPUTED_VALUE"""),"No task description")</f>
        <v/>
      </c>
      <c r="E89" s="7">
        <f>IFERROR(__xludf.DUMMYFUNCTION("""COMPUTED_VALUE"""),"image/jpeg – A digital photograph or web image stored in a compressed format, often used for photography and web graphics.")</f>
        <v/>
      </c>
      <c r="F89" s="7" t="inlineStr">
        <is>
          <t>Students are instructed to use Six Thinking Hats technique. Embedded artifacts include Table 1 and Figure 1, and an image/jpeg file.</t>
        </is>
      </c>
      <c r="G89" s="8" t="inlineStr">
        <is>
          <t>1</t>
        </is>
      </c>
      <c r="H89" s="8" t="inlineStr">
        <is>
          <t>0</t>
        </is>
      </c>
      <c r="I89" s="8" t="inlineStr">
        <is>
          <t>0</t>
        </is>
      </c>
      <c r="J89" s="8" t="inlineStr">
        <is>
          <t>0</t>
        </is>
      </c>
      <c r="K89" s="9" t="inlineStr">
        <is>
          <t>1</t>
        </is>
      </c>
      <c r="L89" s="9" t="inlineStr">
        <is>
          <t>0</t>
        </is>
      </c>
      <c r="M89" s="9" t="inlineStr">
        <is>
          <t>0</t>
        </is>
      </c>
      <c r="N89" s="9" t="inlineStr">
        <is>
          <t>0</t>
        </is>
      </c>
      <c r="O89" s="10" t="inlineStr">
        <is>
          <t>0</t>
        </is>
      </c>
      <c r="P89" s="10" t="inlineStr">
        <is>
          <t>0</t>
        </is>
      </c>
      <c r="Q89" s="10" t="inlineStr">
        <is>
          <t>0</t>
        </is>
      </c>
      <c r="R89" s="10" t="inlineStr">
        <is>
          <t>0</t>
        </is>
      </c>
      <c r="S89" s="10" t="inlineStr">
        <is>
          <t>0</t>
        </is>
      </c>
    </row>
    <row r="90" ht="384" customHeight="1">
      <c r="A90" s="6">
        <f>IFERROR(__xludf.DUMMYFUNCTION("""COMPUTED_VALUE"""),"Trigonometry (Math)")</f>
        <v/>
      </c>
      <c r="B90" s="6">
        <f>IFERROR(__xludf.DUMMYFUNCTION("""COMPUTED_VALUE"""),"Resource")</f>
        <v/>
      </c>
      <c r="C90" s="6">
        <f>IFERROR(__xludf.DUMMYFUNCTION("""COMPUTED_VALUE"""),"Intro.graasp")</f>
        <v/>
      </c>
      <c r="D90" s="7">
        <f>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
      </c>
      <c r="E90" s="7">
        <f>IFERROR(__xludf.DUMMYFUNCTION("""COMPUTED_VALUE"""),"No artifact embedded")</f>
        <v/>
      </c>
      <c r="F90" s="7" t="inlineStr">
        <is>
          <t>Students are instructed on trigonometry. Embedded artifacts include an image/jpeg file, while others have no artifacts.</t>
        </is>
      </c>
      <c r="G90" s="8" t="inlineStr">
        <is>
          <t>1</t>
        </is>
      </c>
      <c r="H90" s="8" t="inlineStr">
        <is>
          <t>0</t>
        </is>
      </c>
      <c r="I90" s="8" t="inlineStr">
        <is>
          <t>0</t>
        </is>
      </c>
      <c r="J90" s="8" t="inlineStr">
        <is>
          <t>0</t>
        </is>
      </c>
      <c r="K90" s="9" t="inlineStr">
        <is>
          <t>1</t>
        </is>
      </c>
      <c r="L90" s="9" t="inlineStr">
        <is>
          <t>0</t>
        </is>
      </c>
      <c r="M90" s="9" t="inlineStr">
        <is>
          <t>0</t>
        </is>
      </c>
      <c r="N90" s="9" t="inlineStr">
        <is>
          <t>0</t>
        </is>
      </c>
      <c r="O90" s="10" t="inlineStr">
        <is>
          <t>1</t>
        </is>
      </c>
      <c r="P90" s="10" t="inlineStr">
        <is>
          <t>0</t>
        </is>
      </c>
      <c r="Q90" s="10" t="inlineStr">
        <is>
          <t>0</t>
        </is>
      </c>
      <c r="R90" s="10" t="inlineStr">
        <is>
          <t>0</t>
        </is>
      </c>
      <c r="S90" s="10" t="inlineStr">
        <is>
          <t>0</t>
        </is>
      </c>
    </row>
    <row r="91" ht="121" customHeight="1">
      <c r="A91" s="6">
        <f>IFERROR(__xludf.DUMMYFUNCTION("""COMPUTED_VALUE"""),"Trigonometry (Math)")</f>
        <v/>
      </c>
      <c r="B91" s="6">
        <f>IFERROR(__xludf.DUMMYFUNCTION("""COMPUTED_VALUE"""),"Resource")</f>
        <v/>
      </c>
      <c r="C91" s="6">
        <f>IFERROR(__xludf.DUMMYFUNCTION("""COMPUTED_VALUE"""),"Trig Tour Video - Made with Clipchamp.mp4")</f>
        <v/>
      </c>
      <c r="D91" s="7">
        <f>IFERROR(__xludf.DUMMYFUNCTION("""COMPUTED_VALUE"""),"No task description")</f>
        <v/>
      </c>
      <c r="E91" s="7">
        <f>IFERROR(__xludf.DUMMYFUNCTION("""COMPUTED_VALUE"""),"video/mp4 – A video file containing moving images and possibly audio, suitable for playback on most modern devices and platforms.")</f>
        <v/>
      </c>
      <c r="F91" s="7" t="inlineStr">
        <is>
          <t>Students were given tasks with descriptions and embedded artifacts like images and videos to explore topics like Trigonometry.</t>
        </is>
      </c>
      <c r="G91" s="8" t="inlineStr">
        <is>
          <t>1</t>
        </is>
      </c>
      <c r="H91" s="8" t="inlineStr">
        <is>
          <t>0</t>
        </is>
      </c>
      <c r="I91" s="8" t="inlineStr">
        <is>
          <t>0</t>
        </is>
      </c>
      <c r="J91" s="8" t="inlineStr">
        <is>
          <t>0</t>
        </is>
      </c>
      <c r="K91" s="9" t="inlineStr">
        <is>
          <t>1</t>
        </is>
      </c>
      <c r="L91" s="9" t="inlineStr">
        <is>
          <t>0</t>
        </is>
      </c>
      <c r="M91" s="9" t="inlineStr">
        <is>
          <t>0</t>
        </is>
      </c>
      <c r="N91" s="9" t="inlineStr">
        <is>
          <t>0</t>
        </is>
      </c>
      <c r="O91" s="10" t="inlineStr">
        <is>
          <t>0</t>
        </is>
      </c>
      <c r="P91" s="10" t="inlineStr">
        <is>
          <t>0</t>
        </is>
      </c>
      <c r="Q91" s="10" t="inlineStr">
        <is>
          <t>0</t>
        </is>
      </c>
      <c r="R91" s="10" t="inlineStr">
        <is>
          <t>0</t>
        </is>
      </c>
      <c r="S91" s="10" t="inlineStr">
        <is>
          <t>0</t>
        </is>
      </c>
    </row>
    <row r="92" ht="121" customHeight="1">
      <c r="A92" s="6">
        <f>IFERROR(__xludf.DUMMYFUNCTION("""COMPUTED_VALUE"""),"Trigonometry (Math)")</f>
        <v/>
      </c>
      <c r="B92" s="6">
        <f>IFERROR(__xludf.DUMMYFUNCTION("""COMPUTED_VALUE"""),"Resource")</f>
        <v/>
      </c>
      <c r="C92" s="6">
        <f>IFERROR(__xludf.DUMMYFUNCTION("""COMPUTED_VALUE"""),"a3.JPG")</f>
        <v/>
      </c>
      <c r="D92" s="7">
        <f>IFERROR(__xludf.DUMMYFUNCTION("""COMPUTED_VALUE"""),"No task description")</f>
        <v/>
      </c>
      <c r="E92" s="7">
        <f>IFERROR(__xludf.DUMMYFUNCTION("""COMPUTED_VALUE"""),"image/jpeg – A digital photograph or web image stored in a compressed format, often used for photography and web graphics.")</f>
        <v/>
      </c>
      <c r="F92" s="7" t="inlineStr">
        <is>
          <t>Students learn Trigonometry to measure buildings. Embedded artifacts include a video and an image file.</t>
        </is>
      </c>
      <c r="G92" s="8" t="inlineStr">
        <is>
          <t>1</t>
        </is>
      </c>
      <c r="H92" s="8" t="inlineStr">
        <is>
          <t>0</t>
        </is>
      </c>
      <c r="I92" s="8" t="inlineStr">
        <is>
          <t>0</t>
        </is>
      </c>
      <c r="J92" s="8" t="inlineStr">
        <is>
          <t>0</t>
        </is>
      </c>
      <c r="K92" s="9" t="inlineStr">
        <is>
          <t>1</t>
        </is>
      </c>
      <c r="L92" s="9" t="inlineStr">
        <is>
          <t>0</t>
        </is>
      </c>
      <c r="M92" s="9" t="inlineStr">
        <is>
          <t>0</t>
        </is>
      </c>
      <c r="N92" s="9" t="inlineStr">
        <is>
          <t>0</t>
        </is>
      </c>
      <c r="O92" s="10" t="inlineStr">
        <is>
          <t>0</t>
        </is>
      </c>
      <c r="P92" s="10" t="inlineStr">
        <is>
          <t>0</t>
        </is>
      </c>
      <c r="Q92" s="10" t="inlineStr">
        <is>
          <t>0</t>
        </is>
      </c>
      <c r="R92" s="10" t="inlineStr">
        <is>
          <t>0</t>
        </is>
      </c>
      <c r="S92" s="10" t="inlineStr">
        <is>
          <t>0</t>
        </is>
      </c>
    </row>
    <row r="93" ht="25" customHeight="1">
      <c r="A93" s="6">
        <f>IFERROR(__xludf.DUMMYFUNCTION("""COMPUTED_VALUE"""),"Trigonometry (Math)")</f>
        <v/>
      </c>
      <c r="B93" s="6">
        <f>IFERROR(__xludf.DUMMYFUNCTION("""COMPUTED_VALUE"""),"Space")</f>
        <v/>
      </c>
      <c r="C93" s="6">
        <f>IFERROR(__xludf.DUMMYFUNCTION("""COMPUTED_VALUE"""),"Conceptualisation")</f>
        <v/>
      </c>
      <c r="D93" s="7">
        <f>IFERROR(__xludf.DUMMYFUNCTION("""COMPUTED_VALUE"""),"No task description")</f>
        <v/>
      </c>
      <c r="E93" s="7">
        <f>IFERROR(__xludf.DUMMYFUNCTION("""COMPUTED_VALUE"""),"No artifact embedded")</f>
        <v/>
      </c>
      <c r="F93" s="7" t="inlineStr">
        <is>
          <t>No task descriptions provided; artifacts include video/mp4, image/jpeg, and no artifact in the third item.</t>
        </is>
      </c>
      <c r="G93" s="8" t="inlineStr">
        <is>
          <t>0</t>
        </is>
      </c>
      <c r="H93" s="8" t="inlineStr">
        <is>
          <t>0</t>
        </is>
      </c>
      <c r="I93" s="8" t="inlineStr">
        <is>
          <t>0</t>
        </is>
      </c>
      <c r="J93" s="8" t="inlineStr">
        <is>
          <t>0</t>
        </is>
      </c>
      <c r="K93" s="9" t="inlineStr">
        <is>
          <t>0</t>
        </is>
      </c>
      <c r="L93" s="9" t="inlineStr">
        <is>
          <t>0</t>
        </is>
      </c>
      <c r="M93" s="9" t="inlineStr">
        <is>
          <t>0</t>
        </is>
      </c>
      <c r="N93" s="9" t="inlineStr">
        <is>
          <t>0</t>
        </is>
      </c>
      <c r="O93" s="10" t="inlineStr">
        <is>
          <t>0</t>
        </is>
      </c>
      <c r="P93" s="10" t="inlineStr">
        <is>
          <t>0</t>
        </is>
      </c>
      <c r="Q93" s="10" t="inlineStr">
        <is>
          <t>0</t>
        </is>
      </c>
      <c r="R93" s="10" t="inlineStr">
        <is>
          <t>0</t>
        </is>
      </c>
      <c r="S93" s="10" t="inlineStr">
        <is>
          <t>0</t>
        </is>
      </c>
    </row>
    <row r="94" ht="121" customHeight="1">
      <c r="A94" s="6">
        <f>IFERROR(__xludf.DUMMYFUNCTION("""COMPUTED_VALUE"""),"Trigonometry (Math)")</f>
        <v/>
      </c>
      <c r="B94" s="6">
        <f>IFERROR(__xludf.DUMMYFUNCTION("""COMPUTED_VALUE"""),"Resource")</f>
        <v/>
      </c>
      <c r="C94" s="6">
        <f>IFERROR(__xludf.DUMMYFUNCTION("""COMPUTED_VALUE"""),"img_6501.jpg")</f>
        <v/>
      </c>
      <c r="D94" s="7">
        <f>IFERROR(__xludf.DUMMYFUNCTION("""COMPUTED_VALUE"""),"No task description")</f>
        <v/>
      </c>
      <c r="E94" s="7">
        <f>IFERROR(__xludf.DUMMYFUNCTION("""COMPUTED_VALUE"""),"image/jpeg – A digital photograph or web image stored in a compressed format, often used for photography and web graphics.")</f>
        <v/>
      </c>
      <c r="F94" s="7" t="inlineStr">
        <is>
          <t>No task descriptions are provided. Embedded artifacts include JPEG images in Items 1 and 3.</t>
        </is>
      </c>
      <c r="G94" s="8" t="inlineStr">
        <is>
          <t>1</t>
        </is>
      </c>
      <c r="H94" s="8" t="inlineStr">
        <is>
          <t>0</t>
        </is>
      </c>
      <c r="I94" s="8" t="inlineStr">
        <is>
          <t>0</t>
        </is>
      </c>
      <c r="J94" s="8" t="inlineStr">
        <is>
          <t>0</t>
        </is>
      </c>
      <c r="K94" s="9" t="inlineStr">
        <is>
          <t>1</t>
        </is>
      </c>
      <c r="L94" s="9" t="inlineStr">
        <is>
          <t>0</t>
        </is>
      </c>
      <c r="M94" s="9" t="inlineStr">
        <is>
          <t>0</t>
        </is>
      </c>
      <c r="N94" s="9" t="inlineStr">
        <is>
          <t>0</t>
        </is>
      </c>
      <c r="O94" s="10" t="inlineStr">
        <is>
          <t>0</t>
        </is>
      </c>
      <c r="P94" s="10" t="inlineStr">
        <is>
          <t>0</t>
        </is>
      </c>
      <c r="Q94" s="10" t="inlineStr">
        <is>
          <t>0</t>
        </is>
      </c>
      <c r="R94" s="10" t="inlineStr">
        <is>
          <t>0</t>
        </is>
      </c>
      <c r="S94" s="10" t="inlineStr">
        <is>
          <t>0</t>
        </is>
      </c>
    </row>
    <row r="95" ht="97" customHeight="1">
      <c r="A95" s="6">
        <f>IFERROR(__xludf.DUMMYFUNCTION("""COMPUTED_VALUE"""),"Trigonometry (Math)")</f>
        <v/>
      </c>
      <c r="B95" s="6">
        <f>IFERROR(__xludf.DUMMYFUNCTION("""COMPUTED_VALUE"""),"Resource")</f>
        <v/>
      </c>
      <c r="C95" s="6">
        <f>IFERROR(__xludf.DUMMYFUNCTION("""COMPUTED_VALUE"""),"unit circle.png")</f>
        <v/>
      </c>
      <c r="D95" s="7">
        <f>IFERROR(__xludf.DUMMYFUNCTION("""COMPUTED_VALUE"""),"&lt;p&gt;                                                                   &lt;strong&gt; All About the Unit Circle&lt;/strong&gt; &lt;/p&gt;")</f>
        <v/>
      </c>
      <c r="E95" s="7">
        <f>IFERROR(__xludf.DUMMYFUNCTION("""COMPUTED_VALUE"""),"image/png – A high-quality image with support for transparency, often used in design and web applications.")</f>
        <v/>
      </c>
      <c r="F95" s="7" t="inlineStr">
        <is>
          <t>Students received no task descriptions, but items included embedded artifacts such as images in jpeg and png formats.</t>
        </is>
      </c>
      <c r="G95" s="8" t="inlineStr">
        <is>
          <t>1</t>
        </is>
      </c>
      <c r="H95" s="8" t="inlineStr">
        <is>
          <t>0</t>
        </is>
      </c>
      <c r="I95" s="8" t="inlineStr">
        <is>
          <t>0</t>
        </is>
      </c>
      <c r="J95" s="8" t="inlineStr">
        <is>
          <t>0</t>
        </is>
      </c>
      <c r="K95" s="9" t="inlineStr">
        <is>
          <t>1</t>
        </is>
      </c>
      <c r="L95" s="9" t="inlineStr">
        <is>
          <t>0</t>
        </is>
      </c>
      <c r="M95" s="9" t="inlineStr">
        <is>
          <t>0</t>
        </is>
      </c>
      <c r="N95" s="9" t="inlineStr">
        <is>
          <t>0</t>
        </is>
      </c>
      <c r="O95" s="10" t="inlineStr">
        <is>
          <t>0</t>
        </is>
      </c>
      <c r="P95" s="10" t="inlineStr">
        <is>
          <t>0</t>
        </is>
      </c>
      <c r="Q95" s="10" t="inlineStr">
        <is>
          <t>0</t>
        </is>
      </c>
      <c r="R95" s="10" t="inlineStr">
        <is>
          <t>0</t>
        </is>
      </c>
      <c r="S95" s="10" t="inlineStr">
        <is>
          <t>0</t>
        </is>
      </c>
    </row>
    <row r="96" ht="409.5" customHeight="1">
      <c r="A96" s="6">
        <f>IFERROR(__xludf.DUMMYFUNCTION("""COMPUTED_VALUE"""),"Trigonometry (Math)")</f>
        <v/>
      </c>
      <c r="B96" s="6">
        <f>IFERROR(__xludf.DUMMYFUNCTION("""COMPUTED_VALUE"""),"Resource")</f>
        <v/>
      </c>
      <c r="C96" s="6">
        <f>IFERROR(__xludf.DUMMYFUNCTION("""COMPUTED_VALUE"""),"concept.graasp")</f>
        <v/>
      </c>
      <c r="D96" s="7">
        <f>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
      </c>
      <c r="E96" s="7">
        <f>IFERROR(__xludf.DUMMYFUNCTION("""COMPUTED_VALUE"""),"No artifact embedded")</f>
        <v/>
      </c>
      <c r="F96" s="7" t="inlineStr">
        <is>
          <t>Students received tasks with descriptions and embedded images in JPEG or PNG formats, related to the unit circle concept in mathematics.</t>
        </is>
      </c>
      <c r="G96" s="8" t="inlineStr">
        <is>
          <t>1</t>
        </is>
      </c>
      <c r="H96" s="8" t="inlineStr">
        <is>
          <t>0</t>
        </is>
      </c>
      <c r="I96" s="8" t="inlineStr">
        <is>
          <t>0</t>
        </is>
      </c>
      <c r="J96" s="8" t="inlineStr">
        <is>
          <t>0</t>
        </is>
      </c>
      <c r="K96" s="9" t="inlineStr">
        <is>
          <t>1</t>
        </is>
      </c>
      <c r="L96" s="9" t="inlineStr">
        <is>
          <t>0</t>
        </is>
      </c>
      <c r="M96" s="9" t="inlineStr">
        <is>
          <t>0</t>
        </is>
      </c>
      <c r="N96" s="9" t="inlineStr">
        <is>
          <t>0</t>
        </is>
      </c>
      <c r="O96" s="10" t="inlineStr">
        <is>
          <t>0</t>
        </is>
      </c>
      <c r="P96" s="10" t="inlineStr">
        <is>
          <t>0</t>
        </is>
      </c>
      <c r="Q96" s="10" t="inlineStr">
        <is>
          <t>0</t>
        </is>
      </c>
      <c r="R96" s="10" t="inlineStr">
        <is>
          <t>0</t>
        </is>
      </c>
      <c r="S96" s="10" t="inlineStr">
        <is>
          <t>0</t>
        </is>
      </c>
    </row>
    <row r="97" ht="25" customHeight="1">
      <c r="A97" s="6">
        <f>IFERROR(__xludf.DUMMYFUNCTION("""COMPUTED_VALUE"""),"Trigonometry (Math)")</f>
        <v/>
      </c>
      <c r="B97" s="6">
        <f>IFERROR(__xludf.DUMMYFUNCTION("""COMPUTED_VALUE"""),"Space")</f>
        <v/>
      </c>
      <c r="C97" s="6">
        <f>IFERROR(__xludf.DUMMYFUNCTION("""COMPUTED_VALUE"""),"Investigation")</f>
        <v/>
      </c>
      <c r="D97" s="7">
        <f>IFERROR(__xludf.DUMMYFUNCTION("""COMPUTED_VALUE"""),"No task description")</f>
        <v/>
      </c>
      <c r="E97" s="7">
        <f>IFERROR(__xludf.DUMMYFUNCTION("""COMPUTED_VALUE"""),"No artifact embedded")</f>
        <v/>
      </c>
      <c r="F97" s="7" t="inlineStr">
        <is>
          <t>Students learn about the unit circle, with an image in Item 1 and mathematical relationships in Item 2.</t>
        </is>
      </c>
      <c r="G97" s="8" t="inlineStr">
        <is>
          <t>0</t>
        </is>
      </c>
      <c r="H97" s="8" t="inlineStr">
        <is>
          <t>0</t>
        </is>
      </c>
      <c r="I97" s="8" t="inlineStr">
        <is>
          <t>0</t>
        </is>
      </c>
      <c r="J97" s="8" t="inlineStr">
        <is>
          <t>0</t>
        </is>
      </c>
      <c r="K97" s="9" t="inlineStr">
        <is>
          <t>0</t>
        </is>
      </c>
      <c r="L97" s="9" t="inlineStr">
        <is>
          <t>0</t>
        </is>
      </c>
      <c r="M97" s="9" t="inlineStr">
        <is>
          <t>0</t>
        </is>
      </c>
      <c r="N97" s="9" t="inlineStr">
        <is>
          <t>0</t>
        </is>
      </c>
      <c r="O97" s="10" t="inlineStr">
        <is>
          <t>0</t>
        </is>
      </c>
      <c r="P97" s="10" t="inlineStr">
        <is>
          <t>0</t>
        </is>
      </c>
      <c r="Q97" s="10" t="inlineStr">
        <is>
          <t>0</t>
        </is>
      </c>
      <c r="R97" s="10" t="inlineStr">
        <is>
          <t>0</t>
        </is>
      </c>
      <c r="S97" s="10" t="inlineStr">
        <is>
          <t>0</t>
        </is>
      </c>
    </row>
    <row r="98" ht="169" customHeight="1">
      <c r="A98" s="6">
        <f>IFERROR(__xludf.DUMMYFUNCTION("""COMPUTED_VALUE"""),"Trigonometry (Math)")</f>
        <v/>
      </c>
      <c r="B98" s="6">
        <f>IFERROR(__xludf.DUMMYFUNCTION("""COMPUTED_VALUE"""),"Application")</f>
        <v/>
      </c>
      <c r="C98" s="6">
        <f>IFERROR(__xludf.DUMMYFUNCTION("""COMPUTED_VALUE"""),"Trig Tour")</f>
        <v/>
      </c>
      <c r="D98" s="7">
        <f>IFERROR(__xludf.DUMMYFUNCTION("""COMPUTED_VALUE"""),"&lt;p&gt;Explore the Simulation by moving the red dot and write down your observation below;&lt;/p&gt;")</f>
        <v/>
      </c>
      <c r="E98" s="7">
        <f>IFERROR(__xludf.DUMMYFUNCTION("""COMPUTED_VALUE"""),"Golabz app/lab: ""&lt;p&gt;Take a tour of trigonometry using degrees or radians! Look for patterns in the values and on the graph when you change the value of theta. Compare the graphs of sine, cosine, and tangent.&lt;/p&gt;\r\n""")</f>
        <v/>
      </c>
      <c r="F98" s="7" t="inlineStr">
        <is>
          <t>Students explore unit circle, trig functions, and simulations, with observations and comparisons of sine, cosine, and tangent graphs.</t>
        </is>
      </c>
      <c r="G98" s="8" t="inlineStr">
        <is>
          <t>0</t>
        </is>
      </c>
      <c r="H98" s="8" t="inlineStr">
        <is>
          <t>1</t>
        </is>
      </c>
      <c r="I98" s="8" t="inlineStr">
        <is>
          <t>1</t>
        </is>
      </c>
      <c r="J98" s="8" t="inlineStr">
        <is>
          <t>1</t>
        </is>
      </c>
      <c r="K98" s="9" t="inlineStr">
        <is>
          <t>0</t>
        </is>
      </c>
      <c r="L98" s="9" t="inlineStr">
        <is>
          <t>1</t>
        </is>
      </c>
      <c r="M98" s="9" t="inlineStr">
        <is>
          <t>0</t>
        </is>
      </c>
      <c r="N98" s="9" t="inlineStr">
        <is>
          <t>0</t>
        </is>
      </c>
      <c r="O98" s="10" t="inlineStr">
        <is>
          <t>1</t>
        </is>
      </c>
      <c r="P98" s="10" t="inlineStr">
        <is>
          <t>1</t>
        </is>
      </c>
      <c r="Q98" s="10" t="inlineStr">
        <is>
          <t>1</t>
        </is>
      </c>
      <c r="R98" s="10" t="inlineStr">
        <is>
          <t>0</t>
        </is>
      </c>
      <c r="S98" s="10" t="inlineStr">
        <is>
          <t>0</t>
        </is>
      </c>
    </row>
    <row r="99" ht="329" customHeight="1">
      <c r="A99" s="6">
        <f>IFERROR(__xludf.DUMMYFUNCTION("""COMPUTED_VALUE"""),"Trigonometry (Math)")</f>
        <v/>
      </c>
      <c r="B99" s="6">
        <f>IFERROR(__xludf.DUMMYFUNCTION("""COMPUTED_VALUE"""),"Application")</f>
        <v/>
      </c>
      <c r="C99" s="6">
        <f>IFERROR(__xludf.DUMMYFUNCTION("""COMPUTED_VALUE"""),"Input Box (3)")</f>
        <v/>
      </c>
      <c r="D99" s="7">
        <f>IFERROR(__xludf.DUMMYFUNCTION("""COMPUTED_VALUE"""),"&lt;p&gt;From the unit circle on the lab, what is the radius of the circle and how do you know?&lt;/p&gt;")</f>
        <v/>
      </c>
      <c r="E9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9" s="7" t="inlineStr">
        <is>
          <t>Students are instructed to explore a simulation, record observations, and answer questions about a unit circle using the Golabz app/lab. Embedded artifacts include interactive labs and note-taking tools.</t>
        </is>
      </c>
      <c r="G99" s="8" t="inlineStr">
        <is>
          <t>0</t>
        </is>
      </c>
      <c r="H99" s="8" t="inlineStr">
        <is>
          <t>1</t>
        </is>
      </c>
      <c r="I99" s="8" t="inlineStr">
        <is>
          <t>1</t>
        </is>
      </c>
      <c r="J99" s="8" t="inlineStr">
        <is>
          <t>1</t>
        </is>
      </c>
      <c r="K99" s="9" t="inlineStr">
        <is>
          <t>0</t>
        </is>
      </c>
      <c r="L99" s="9" t="inlineStr">
        <is>
          <t>1</t>
        </is>
      </c>
      <c r="M99" s="9" t="inlineStr">
        <is>
          <t>0</t>
        </is>
      </c>
      <c r="N99" s="9" t="inlineStr">
        <is>
          <t>0</t>
        </is>
      </c>
      <c r="O99" s="10" t="inlineStr">
        <is>
          <t>0</t>
        </is>
      </c>
      <c r="P99" s="10" t="inlineStr">
        <is>
          <t>1</t>
        </is>
      </c>
      <c r="Q99" s="10" t="inlineStr">
        <is>
          <t>1</t>
        </is>
      </c>
      <c r="R99" s="10" t="inlineStr">
        <is>
          <t>0</t>
        </is>
      </c>
      <c r="S99" s="10" t="inlineStr">
        <is>
          <t>0</t>
        </is>
      </c>
    </row>
    <row r="100" ht="329" customHeight="1">
      <c r="A100" s="6">
        <f>IFERROR(__xludf.DUMMYFUNCTION("""COMPUTED_VALUE"""),"Trigonometry (Math)")</f>
        <v/>
      </c>
      <c r="B100" s="6">
        <f>IFERROR(__xludf.DUMMYFUNCTION("""COMPUTED_VALUE"""),"Application")</f>
        <v/>
      </c>
      <c r="C100" s="6">
        <f>IFERROR(__xludf.DUMMYFUNCTION("""COMPUTED_VALUE"""),"Input Box (4)")</f>
        <v/>
      </c>
      <c r="D100" s="7">
        <f>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
      </c>
      <c r="E1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0" s="7" t="inlineStr">
        <is>
          <t>Students explore trigonometry simulations, record observations, and answer questions about unit circles and right triangles using Golabz app/lab tools.</t>
        </is>
      </c>
      <c r="G100" s="8" t="inlineStr">
        <is>
          <t>0</t>
        </is>
      </c>
      <c r="H100" s="8" t="inlineStr">
        <is>
          <t>1</t>
        </is>
      </c>
      <c r="I100" s="8" t="inlineStr">
        <is>
          <t>1</t>
        </is>
      </c>
      <c r="J100" s="8" t="inlineStr">
        <is>
          <t>1</t>
        </is>
      </c>
      <c r="K100" s="9" t="inlineStr">
        <is>
          <t>0</t>
        </is>
      </c>
      <c r="L100" s="9" t="inlineStr">
        <is>
          <t>1</t>
        </is>
      </c>
      <c r="M100" s="9" t="inlineStr">
        <is>
          <t>0</t>
        </is>
      </c>
      <c r="N100" s="9" t="inlineStr">
        <is>
          <t>0</t>
        </is>
      </c>
      <c r="O100" s="10" t="inlineStr">
        <is>
          <t>0</t>
        </is>
      </c>
      <c r="P100" s="10" t="inlineStr">
        <is>
          <t>0</t>
        </is>
      </c>
      <c r="Q100" s="10" t="inlineStr">
        <is>
          <t>1</t>
        </is>
      </c>
      <c r="R100" s="10" t="inlineStr">
        <is>
          <t>0</t>
        </is>
      </c>
      <c r="S100" s="10" t="inlineStr">
        <is>
          <t>0</t>
        </is>
      </c>
    </row>
    <row r="101" ht="329" customHeight="1">
      <c r="A101" s="6">
        <f>IFERROR(__xludf.DUMMYFUNCTION("""COMPUTED_VALUE"""),"Trigonometry (Math)")</f>
        <v/>
      </c>
      <c r="B101" s="6">
        <f>IFERROR(__xludf.DUMMYFUNCTION("""COMPUTED_VALUE"""),"Application")</f>
        <v/>
      </c>
      <c r="C101" s="6">
        <f>IFERROR(__xludf.DUMMYFUNCTION("""COMPUTED_VALUE"""),"Input Box")</f>
        <v/>
      </c>
      <c r="D101" s="7">
        <f>IFERROR(__xludf.DUMMYFUNCTION("""COMPUTED_VALUE"""),"&lt;p&gt;Click on sin, then look at the values of SIN \theta as you move the red dot in an anti-clock direction round about the circle. What do you notice?&lt;/p&gt;")</f>
        <v/>
      </c>
      <c r="E10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1" s="7" t="inlineStr">
        <is>
          <t>Students explore trigonometry using a unit circle lab, recording observations and notes in an input box within the Golabz app.</t>
        </is>
      </c>
      <c r="G101" s="8" t="inlineStr">
        <is>
          <t>0</t>
        </is>
      </c>
      <c r="H101" s="8" t="inlineStr">
        <is>
          <t>1</t>
        </is>
      </c>
      <c r="I101" s="8" t="inlineStr">
        <is>
          <t>1</t>
        </is>
      </c>
      <c r="J101" s="8" t="inlineStr">
        <is>
          <t>1</t>
        </is>
      </c>
      <c r="K101" s="9" t="inlineStr">
        <is>
          <t>1</t>
        </is>
      </c>
      <c r="L101" s="9" t="inlineStr">
        <is>
          <t>1</t>
        </is>
      </c>
      <c r="M101" s="9" t="inlineStr">
        <is>
          <t>0</t>
        </is>
      </c>
      <c r="N101" s="9" t="inlineStr">
        <is>
          <t>0</t>
        </is>
      </c>
      <c r="O101" s="10" t="inlineStr">
        <is>
          <t>0</t>
        </is>
      </c>
      <c r="P101" s="10" t="inlineStr">
        <is>
          <t>1</t>
        </is>
      </c>
      <c r="Q101" s="10" t="inlineStr">
        <is>
          <t>1</t>
        </is>
      </c>
      <c r="R101" s="10" t="inlineStr">
        <is>
          <t>0</t>
        </is>
      </c>
      <c r="S101" s="10" t="inlineStr">
        <is>
          <t>0</t>
        </is>
      </c>
    </row>
    <row r="102" ht="329" customHeight="1">
      <c r="A102" s="6">
        <f>IFERROR(__xludf.DUMMYFUNCTION("""COMPUTED_VALUE"""),"Trigonometry (Math)")</f>
        <v/>
      </c>
      <c r="B102" s="6">
        <f>IFERROR(__xludf.DUMMYFUNCTION("""COMPUTED_VALUE"""),"Application")</f>
        <v/>
      </c>
      <c r="C102" s="6">
        <f>IFERROR(__xludf.DUMMYFUNCTION("""COMPUTED_VALUE"""),"Input Box (1)")</f>
        <v/>
      </c>
      <c r="D102" s="7">
        <f>IFERROR(__xludf.DUMMYFUNCTION("""COMPUTED_VALUE"""),"&lt;p&gt;Click on cos, then look at the values of COS theta as you move the red dot in an anti-clock direction round about the circle. What do you notice?&lt;/p&gt;")</f>
        <v/>
      </c>
      <c r="E1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2" s="7" t="inlineStr">
        <is>
          <t>Students interact with trigonometric functions and record observations using the Golabz app/lab, which allows note-taking and collaboration.</t>
        </is>
      </c>
      <c r="G102" s="8" t="inlineStr">
        <is>
          <t>0</t>
        </is>
      </c>
      <c r="H102" s="8" t="inlineStr">
        <is>
          <t>1</t>
        </is>
      </c>
      <c r="I102" s="8" t="inlineStr">
        <is>
          <t>1</t>
        </is>
      </c>
      <c r="J102" s="8" t="inlineStr">
        <is>
          <t>1</t>
        </is>
      </c>
      <c r="K102" s="9" t="inlineStr">
        <is>
          <t>1</t>
        </is>
      </c>
      <c r="L102" s="9" t="inlineStr">
        <is>
          <t>1</t>
        </is>
      </c>
      <c r="M102" s="9" t="inlineStr">
        <is>
          <t>0</t>
        </is>
      </c>
      <c r="N102" s="9" t="inlineStr">
        <is>
          <t>0</t>
        </is>
      </c>
      <c r="O102" s="10" t="inlineStr">
        <is>
          <t>0</t>
        </is>
      </c>
      <c r="P102" s="10" t="inlineStr">
        <is>
          <t>1</t>
        </is>
      </c>
      <c r="Q102" s="10" t="inlineStr">
        <is>
          <t>1</t>
        </is>
      </c>
      <c r="R102" s="10" t="inlineStr">
        <is>
          <t>0</t>
        </is>
      </c>
      <c r="S102" s="10" t="inlineStr">
        <is>
          <t>0</t>
        </is>
      </c>
    </row>
    <row r="103" ht="329" customHeight="1">
      <c r="A103" s="6">
        <f>IFERROR(__xludf.DUMMYFUNCTION("""COMPUTED_VALUE"""),"Trigonometry (Math)")</f>
        <v/>
      </c>
      <c r="B103" s="6">
        <f>IFERROR(__xludf.DUMMYFUNCTION("""COMPUTED_VALUE"""),"Application")</f>
        <v/>
      </c>
      <c r="C103" s="6">
        <f>IFERROR(__xludf.DUMMYFUNCTION("""COMPUTED_VALUE"""),"Input Box (2)")</f>
        <v/>
      </c>
      <c r="D103" s="7">
        <f>IFERROR(__xludf.DUMMYFUNCTION("""COMPUTED_VALUE"""),"&lt;p&gt;Click on tan, then look at the values of TAN theta as you move the red dot in an anti-clock direction round about the circle. What do you notice?&lt;/p&gt;")</f>
        <v/>
      </c>
      <c r="E1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3" s="7" t="inlineStr">
        <is>
          <t>Students click on sin, cos, or tan and observe value changes as they move a red dot around a circle, using a note-taking app with optional collaboration mode.</t>
        </is>
      </c>
      <c r="G103" s="8" t="inlineStr">
        <is>
          <t>0</t>
        </is>
      </c>
      <c r="H103" s="8" t="inlineStr">
        <is>
          <t>1</t>
        </is>
      </c>
      <c r="I103" s="8" t="inlineStr">
        <is>
          <t>1</t>
        </is>
      </c>
      <c r="J103" s="8" t="inlineStr">
        <is>
          <t>1</t>
        </is>
      </c>
      <c r="K103" s="9" t="inlineStr">
        <is>
          <t>1</t>
        </is>
      </c>
      <c r="L103" s="9" t="inlineStr">
        <is>
          <t>1</t>
        </is>
      </c>
      <c r="M103" s="9" t="inlineStr">
        <is>
          <t>0</t>
        </is>
      </c>
      <c r="N103" s="9" t="inlineStr">
        <is>
          <t>0</t>
        </is>
      </c>
      <c r="O103" s="10" t="inlineStr">
        <is>
          <t>0</t>
        </is>
      </c>
      <c r="P103" s="10" t="inlineStr">
        <is>
          <t>1</t>
        </is>
      </c>
      <c r="Q103" s="10" t="inlineStr">
        <is>
          <t>1</t>
        </is>
      </c>
      <c r="R103" s="10" t="inlineStr">
        <is>
          <t>0</t>
        </is>
      </c>
      <c r="S103" s="10" t="inlineStr">
        <is>
          <t>1</t>
        </is>
      </c>
    </row>
    <row r="104" ht="217" customHeight="1">
      <c r="A104" s="6">
        <f>IFERROR(__xludf.DUMMYFUNCTION("""COMPUTED_VALUE"""),"Trigonometry (Math)")</f>
        <v/>
      </c>
      <c r="B104" s="6">
        <f>IFERROR(__xludf.DUMMYFUNCTION("""COMPUTED_VALUE"""),"Resource")</f>
        <v/>
      </c>
      <c r="C104" s="6">
        <f>IFERROR(__xludf.DUMMYFUNCTION("""COMPUTED_VALUE"""),"table text.graasp")</f>
        <v/>
      </c>
      <c r="D104" s="7">
        <f>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
      </c>
      <c r="E104" s="7">
        <f>IFERROR(__xludf.DUMMYFUNCTION("""COMPUTED_VALUE"""),"No artifact embedded")</f>
        <v/>
      </c>
      <c r="F104" s="7" t="inlineStr">
        <is>
          <t>Students are instructed to explore trigonometric values using a Golabz app/lab, with notes taken via an input box that can be shared with teachers.</t>
        </is>
      </c>
      <c r="G104" s="8" t="inlineStr">
        <is>
          <t>0</t>
        </is>
      </c>
      <c r="H104" s="8" t="inlineStr">
        <is>
          <t>1</t>
        </is>
      </c>
      <c r="I104" s="8" t="inlineStr">
        <is>
          <t>1</t>
        </is>
      </c>
      <c r="J104" s="8" t="inlineStr">
        <is>
          <t>1</t>
        </is>
      </c>
      <c r="K104" s="9" t="inlineStr">
        <is>
          <t>0</t>
        </is>
      </c>
      <c r="L104" s="9" t="inlineStr">
        <is>
          <t>1</t>
        </is>
      </c>
      <c r="M104" s="9" t="inlineStr">
        <is>
          <t>0</t>
        </is>
      </c>
      <c r="N104" s="9" t="inlineStr">
        <is>
          <t>0</t>
        </is>
      </c>
      <c r="O104" s="10" t="inlineStr">
        <is>
          <t>0</t>
        </is>
      </c>
      <c r="P104" s="10" t="inlineStr">
        <is>
          <t>0</t>
        </is>
      </c>
      <c r="Q104" s="10" t="inlineStr">
        <is>
          <t>1</t>
        </is>
      </c>
      <c r="R104" s="10" t="inlineStr">
        <is>
          <t>0</t>
        </is>
      </c>
      <c r="S104" s="10" t="inlineStr">
        <is>
          <t>0</t>
        </is>
      </c>
    </row>
    <row r="105" ht="97" customHeight="1">
      <c r="A105" s="6">
        <f>IFERROR(__xludf.DUMMYFUNCTION("""COMPUTED_VALUE"""),"Trigonometry (Math)")</f>
        <v/>
      </c>
      <c r="B105" s="6">
        <f>IFERROR(__xludf.DUMMYFUNCTION("""COMPUTED_VALUE"""),"Resource")</f>
        <v/>
      </c>
      <c r="C105" s="6">
        <f>IFERROR(__xludf.DUMMYFUNCTION("""COMPUTED_VALUE"""),"Untitled.png2.png")</f>
        <v/>
      </c>
      <c r="D105" s="7">
        <f>IFERROR(__xludf.DUMMYFUNCTION("""COMPUTED_VALUE"""),"No task description")</f>
        <v/>
      </c>
      <c r="E105" s="7">
        <f>IFERROR(__xludf.DUMMYFUNCTION("""COMPUTED_VALUE"""),"image/png – A high-quality image with support for transparency, often used in design and web applications.")</f>
        <v/>
      </c>
      <c r="F105" s="7" t="inlineStr">
        <is>
          <t>Students are instructed to explore trigonometry concepts using an app, recording values and observations. Embedded artifacts include a note-taking app and an image file.</t>
        </is>
      </c>
      <c r="G105" s="8" t="inlineStr">
        <is>
          <t>1</t>
        </is>
      </c>
      <c r="H105" s="8" t="inlineStr">
        <is>
          <t>0</t>
        </is>
      </c>
      <c r="I105" s="8" t="inlineStr">
        <is>
          <t>0</t>
        </is>
      </c>
      <c r="J105" s="8" t="inlineStr">
        <is>
          <t>0</t>
        </is>
      </c>
      <c r="K105" s="9" t="inlineStr">
        <is>
          <t>1</t>
        </is>
      </c>
      <c r="L105" s="9" t="inlineStr">
        <is>
          <t>0</t>
        </is>
      </c>
      <c r="M105" s="9" t="inlineStr">
        <is>
          <t>0</t>
        </is>
      </c>
      <c r="N105" s="9" t="inlineStr">
        <is>
          <t>0</t>
        </is>
      </c>
      <c r="O105" s="10" t="inlineStr">
        <is>
          <t>0</t>
        </is>
      </c>
      <c r="P105" s="10" t="inlineStr">
        <is>
          <t>0</t>
        </is>
      </c>
      <c r="Q105" s="10" t="inlineStr">
        <is>
          <t>0</t>
        </is>
      </c>
      <c r="R105" s="10" t="inlineStr">
        <is>
          <t>0</t>
        </is>
      </c>
      <c r="S105" s="10" t="inlineStr">
        <is>
          <t>0</t>
        </is>
      </c>
    </row>
    <row r="106" ht="409.5" customHeight="1">
      <c r="A106" s="6">
        <f>IFERROR(__xludf.DUMMYFUNCTION("""COMPUTED_VALUE"""),"Trigonometry (Math)")</f>
        <v/>
      </c>
      <c r="B106" s="6">
        <f>IFERROR(__xludf.DUMMYFUNCTION("""COMPUTED_VALUE"""),"Application")</f>
        <v/>
      </c>
      <c r="C106" s="6">
        <f>IFERROR(__xludf.DUMMYFUNCTION("""COMPUTED_VALUE"""),"Table Tool")</f>
        <v/>
      </c>
      <c r="D106" s="7">
        <f>IFERROR(__xludf.DUMMYFUNCTION("""COMPUTED_VALUE"""),"No task description")</f>
        <v/>
      </c>
      <c r="E10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06" s="7" t="inlineStr">
        <is>
          <t>Students record trigonometry values. Embedded artifacts include an image and a table tool for data entry.</t>
        </is>
      </c>
      <c r="G106" s="8" t="inlineStr">
        <is>
          <t>0</t>
        </is>
      </c>
      <c r="H106" s="8" t="inlineStr">
        <is>
          <t>1</t>
        </is>
      </c>
      <c r="I106" s="8" t="inlineStr">
        <is>
          <t>1</t>
        </is>
      </c>
      <c r="J106" s="8" t="inlineStr">
        <is>
          <t>0</t>
        </is>
      </c>
      <c r="K106" s="9" t="inlineStr">
        <is>
          <t>0</t>
        </is>
      </c>
      <c r="L106" s="9" t="inlineStr">
        <is>
          <t>1</t>
        </is>
      </c>
      <c r="M106" s="9" t="inlineStr">
        <is>
          <t>1</t>
        </is>
      </c>
      <c r="N106" s="9" t="inlineStr">
        <is>
          <t>1</t>
        </is>
      </c>
      <c r="O106" s="10" t="inlineStr">
        <is>
          <t>0</t>
        </is>
      </c>
      <c r="P106" s="10" t="inlineStr">
        <is>
          <t>0</t>
        </is>
      </c>
      <c r="Q106" s="10" t="inlineStr">
        <is>
          <t>0</t>
        </is>
      </c>
      <c r="R106" s="10" t="inlineStr">
        <is>
          <t>0</t>
        </is>
      </c>
      <c r="S106" s="10" t="inlineStr">
        <is>
          <t>1</t>
        </is>
      </c>
    </row>
    <row r="107" ht="25" customHeight="1">
      <c r="A107" s="6">
        <f>IFERROR(__xludf.DUMMYFUNCTION("""COMPUTED_VALUE"""),"Trigonometry (Math)")</f>
        <v/>
      </c>
      <c r="B107" s="6">
        <f>IFERROR(__xludf.DUMMYFUNCTION("""COMPUTED_VALUE"""),"Resource")</f>
        <v/>
      </c>
      <c r="C107" s="6">
        <f>IFERROR(__xludf.DUMMYFUNCTION("""COMPUTED_VALUE"""),"investigate.graasp")</f>
        <v/>
      </c>
      <c r="D107" s="7">
        <f>IFERROR(__xludf.DUMMYFUNCTION("""COMPUTED_VALUE"""),"No task description")</f>
        <v/>
      </c>
      <c r="E107" s="7">
        <f>IFERROR(__xludf.DUMMYFUNCTION("""COMPUTED_VALUE"""),"No artifact embedded")</f>
        <v/>
      </c>
      <c r="F107" s="7" t="inlineStr">
        <is>
          <t>No task descriptions provided. Embedded artifacts include an image and a table tool app with collaboration features.</t>
        </is>
      </c>
      <c r="G107" s="8" t="inlineStr">
        <is>
          <t>0</t>
        </is>
      </c>
      <c r="H107" s="8" t="inlineStr">
        <is>
          <t>0</t>
        </is>
      </c>
      <c r="I107" s="8" t="inlineStr">
        <is>
          <t>0</t>
        </is>
      </c>
      <c r="J107" s="8" t="inlineStr">
        <is>
          <t>0</t>
        </is>
      </c>
      <c r="K107" s="9" t="inlineStr">
        <is>
          <t>0</t>
        </is>
      </c>
      <c r="L107" s="9" t="inlineStr">
        <is>
          <t>0</t>
        </is>
      </c>
      <c r="M107" s="9" t="inlineStr">
        <is>
          <t>0</t>
        </is>
      </c>
      <c r="N107" s="9" t="inlineStr">
        <is>
          <t>0</t>
        </is>
      </c>
      <c r="O107" s="10" t="inlineStr">
        <is>
          <t>0</t>
        </is>
      </c>
      <c r="P107" s="10" t="inlineStr">
        <is>
          <t>0</t>
        </is>
      </c>
      <c r="Q107" s="10" t="inlineStr">
        <is>
          <t>0</t>
        </is>
      </c>
      <c r="R107" s="10" t="inlineStr">
        <is>
          <t>0</t>
        </is>
      </c>
      <c r="S107" s="10" t="inlineStr">
        <is>
          <t>0</t>
        </is>
      </c>
    </row>
    <row r="108" ht="25" customHeight="1">
      <c r="A108" s="6">
        <f>IFERROR(__xludf.DUMMYFUNCTION("""COMPUTED_VALUE"""),"Trigonometry (Math)")</f>
        <v/>
      </c>
      <c r="B108" s="6">
        <f>IFERROR(__xludf.DUMMYFUNCTION("""COMPUTED_VALUE"""),"Space")</f>
        <v/>
      </c>
      <c r="C108" s="6">
        <f>IFERROR(__xludf.DUMMYFUNCTION("""COMPUTED_VALUE"""),"Conclusion")</f>
        <v/>
      </c>
      <c r="D108" s="7">
        <f>IFERROR(__xludf.DUMMYFUNCTION("""COMPUTED_VALUE"""),"No task description")</f>
        <v/>
      </c>
      <c r="E108" s="7">
        <f>IFERROR(__xludf.DUMMYFUNCTION("""COMPUTED_VALUE"""),"No artifact embedded")</f>
        <v/>
      </c>
      <c r="F108" s="7" t="inlineStr">
        <is>
          <t>No task descriptions provided. Embedded artifacts include Golabz app/lab instructions for using the table tool and collaboration mode.</t>
        </is>
      </c>
      <c r="G108" s="8" t="inlineStr">
        <is>
          <t>0</t>
        </is>
      </c>
      <c r="H108" s="8" t="inlineStr">
        <is>
          <t>0</t>
        </is>
      </c>
      <c r="I108" s="8" t="inlineStr">
        <is>
          <t>0</t>
        </is>
      </c>
      <c r="J108" s="8" t="inlineStr">
        <is>
          <t>0</t>
        </is>
      </c>
      <c r="K108" s="9" t="inlineStr">
        <is>
          <t>0</t>
        </is>
      </c>
      <c r="L108" s="9" t="inlineStr">
        <is>
          <t>0</t>
        </is>
      </c>
      <c r="M108" s="9" t="inlineStr">
        <is>
          <t>0</t>
        </is>
      </c>
      <c r="N108" s="9" t="inlineStr">
        <is>
          <t>0</t>
        </is>
      </c>
      <c r="O108" s="10" t="inlineStr">
        <is>
          <t>0</t>
        </is>
      </c>
      <c r="P108" s="10" t="inlineStr">
        <is>
          <t>0</t>
        </is>
      </c>
      <c r="Q108" s="10" t="inlineStr">
        <is>
          <t>0</t>
        </is>
      </c>
      <c r="R108" s="10" t="inlineStr">
        <is>
          <t>0</t>
        </is>
      </c>
      <c r="S108" s="10" t="inlineStr">
        <is>
          <t>0</t>
        </is>
      </c>
    </row>
    <row r="109" ht="121" customHeight="1">
      <c r="A109" s="6">
        <f>IFERROR(__xludf.DUMMYFUNCTION("""COMPUTED_VALUE"""),"Trigonometry (Math)")</f>
        <v/>
      </c>
      <c r="B109" s="6">
        <f>IFERROR(__xludf.DUMMYFUNCTION("""COMPUTED_VALUE"""),"Resource")</f>
        <v/>
      </c>
      <c r="C109" s="6">
        <f>IFERROR(__xludf.DUMMYFUNCTION("""COMPUTED_VALUE"""),"mathematics-in-our-daily-life-21-638.jpg")</f>
        <v/>
      </c>
      <c r="D109" s="7">
        <f>IFERROR(__xludf.DUMMYFUNCTION("""COMPUTED_VALUE"""),"No task description")</f>
        <v/>
      </c>
      <c r="E109" s="7">
        <f>IFERROR(__xludf.DUMMYFUNCTION("""COMPUTED_VALUE"""),"image/jpeg – A digital photograph or web image stored in a compressed format, often used for photography and web graphics.")</f>
        <v/>
      </c>
      <c r="F109" s="7" t="inlineStr">
        <is>
          <t>No instructions provided; only Item3 has an embedded artifact, a JPEG image.</t>
        </is>
      </c>
      <c r="G109" s="8" t="inlineStr">
        <is>
          <t>1</t>
        </is>
      </c>
      <c r="H109" s="8" t="inlineStr">
        <is>
          <t>0</t>
        </is>
      </c>
      <c r="I109" s="8" t="inlineStr">
        <is>
          <t>0</t>
        </is>
      </c>
      <c r="J109" s="8" t="inlineStr">
        <is>
          <t>0</t>
        </is>
      </c>
      <c r="K109" s="9" t="inlineStr">
        <is>
          <t>1</t>
        </is>
      </c>
      <c r="L109" s="9" t="inlineStr">
        <is>
          <t>0</t>
        </is>
      </c>
      <c r="M109" s="9" t="inlineStr">
        <is>
          <t>0</t>
        </is>
      </c>
      <c r="N109" s="9" t="inlineStr">
        <is>
          <t>0</t>
        </is>
      </c>
      <c r="O109" s="10" t="inlineStr">
        <is>
          <t>0</t>
        </is>
      </c>
      <c r="P109" s="10" t="inlineStr">
        <is>
          <t>0</t>
        </is>
      </c>
      <c r="Q109" s="10" t="inlineStr">
        <is>
          <t>0</t>
        </is>
      </c>
      <c r="R109" s="10" t="inlineStr">
        <is>
          <t>0</t>
        </is>
      </c>
      <c r="S109" s="10" t="inlineStr">
        <is>
          <t>0</t>
        </is>
      </c>
    </row>
    <row r="110" ht="409.5" customHeight="1">
      <c r="A110" s="6">
        <f>IFERROR(__xludf.DUMMYFUNCTION("""COMPUTED_VALUE"""),"Trigonometry (Math)")</f>
        <v/>
      </c>
      <c r="B110" s="6">
        <f>IFERROR(__xludf.DUMMYFUNCTION("""COMPUTED_VALUE"""),"Resource")</f>
        <v/>
      </c>
      <c r="C110" s="6">
        <f>IFERROR(__xludf.DUMMYFUNCTION("""COMPUTED_VALUE"""),"conclude.graasp")</f>
        <v/>
      </c>
      <c r="D110" s="7">
        <f>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
      </c>
      <c r="E110" s="7">
        <f>IFERROR(__xludf.DUMMYFUNCTION("""COMPUTED_VALUE"""),"No artifact embedded")</f>
        <v/>
      </c>
      <c r="F110" s="7" t="inlineStr">
        <is>
          <t>Students were given no task description for Items 1 and 2. Item 3 describes trigonometric applications and asks students to take a quiz. Embedded artifacts include an image/jpeg file in Item 2.</t>
        </is>
      </c>
      <c r="G110" s="8" t="inlineStr">
        <is>
          <t>1</t>
        </is>
      </c>
      <c r="H110" s="8" t="inlineStr">
        <is>
          <t>0</t>
        </is>
      </c>
      <c r="I110" s="8" t="inlineStr">
        <is>
          <t>0</t>
        </is>
      </c>
      <c r="J110" s="8" t="inlineStr">
        <is>
          <t>0</t>
        </is>
      </c>
      <c r="K110" s="9" t="inlineStr">
        <is>
          <t>1</t>
        </is>
      </c>
      <c r="L110" s="9" t="inlineStr">
        <is>
          <t>0</t>
        </is>
      </c>
      <c r="M110" s="9" t="inlineStr">
        <is>
          <t>0</t>
        </is>
      </c>
      <c r="N110" s="9" t="inlineStr">
        <is>
          <t>0</t>
        </is>
      </c>
      <c r="O110" s="10" t="inlineStr">
        <is>
          <t>1</t>
        </is>
      </c>
      <c r="P110" s="10" t="inlineStr">
        <is>
          <t>0</t>
        </is>
      </c>
      <c r="Q110" s="10" t="inlineStr">
        <is>
          <t>0</t>
        </is>
      </c>
      <c r="R110" s="10" t="inlineStr">
        <is>
          <t>0</t>
        </is>
      </c>
      <c r="S110" s="10" t="inlineStr">
        <is>
          <t>0</t>
        </is>
      </c>
    </row>
    <row r="111" ht="296" customHeight="1">
      <c r="A111" s="6">
        <f>IFERROR(__xludf.DUMMYFUNCTION("""COMPUTED_VALUE"""),"Trigonometry (Math)")</f>
        <v/>
      </c>
      <c r="B111" s="6">
        <f>IFERROR(__xludf.DUMMYFUNCTION("""COMPUTED_VALUE"""),"Application")</f>
        <v/>
      </c>
      <c r="C111" s="6">
        <f>IFERROR(__xludf.DUMMYFUNCTION("""COMPUTED_VALUE"""),"Quiz Tool")</f>
        <v/>
      </c>
      <c r="D111" s="7">
        <f>IFERROR(__xludf.DUMMYFUNCTION("""COMPUTED_VALUE"""),"No task description")</f>
        <v/>
      </c>
      <c r="E11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11" s="7" t="inlineStr">
        <is>
          <t>Students are given tasks with varying descriptions and embedded artifacts, including images and interactive quizzes.</t>
        </is>
      </c>
      <c r="G111" s="8" t="inlineStr">
        <is>
          <t>0</t>
        </is>
      </c>
      <c r="H111" s="8" t="inlineStr">
        <is>
          <t>1</t>
        </is>
      </c>
      <c r="I111" s="8" t="inlineStr">
        <is>
          <t>1</t>
        </is>
      </c>
      <c r="J111" s="8" t="inlineStr">
        <is>
          <t>1</t>
        </is>
      </c>
      <c r="K111" s="9" t="inlineStr">
        <is>
          <t>1</t>
        </is>
      </c>
      <c r="L111" s="9" t="inlineStr">
        <is>
          <t>1</t>
        </is>
      </c>
      <c r="M111" s="9" t="inlineStr">
        <is>
          <t>0</t>
        </is>
      </c>
      <c r="N111" s="9" t="inlineStr">
        <is>
          <t>0</t>
        </is>
      </c>
      <c r="O111" s="10" t="inlineStr">
        <is>
          <t>0</t>
        </is>
      </c>
      <c r="P111" s="10" t="inlineStr">
        <is>
          <t>0</t>
        </is>
      </c>
      <c r="Q111" s="10" t="inlineStr">
        <is>
          <t>0</t>
        </is>
      </c>
      <c r="R111" s="10" t="inlineStr">
        <is>
          <t>0</t>
        </is>
      </c>
      <c r="S111" s="10" t="inlineStr">
        <is>
          <t>1</t>
        </is>
      </c>
    </row>
    <row r="112" ht="121" customHeight="1">
      <c r="A112" s="6">
        <f>IFERROR(__xludf.DUMMYFUNCTION("""COMPUTED_VALUE"""),"Trigonometry (Math)")</f>
        <v/>
      </c>
      <c r="B112" s="6">
        <f>IFERROR(__xludf.DUMMYFUNCTION("""COMPUTED_VALUE"""),"Space")</f>
        <v/>
      </c>
      <c r="C112" s="6">
        <f>IFERROR(__xludf.DUMMYFUNCTION("""COMPUTED_VALUE"""),"Discussion")</f>
        <v/>
      </c>
      <c r="D112" s="7">
        <f>IFERROR(__xludf.DUMMYFUNCTION("""COMPUTED_VALUE"""),"&lt;p&gt;Feel free to tell what you have learnt in Trigonometry and ask questions for further clarification. &lt;/p&gt;&lt;p&gt;Thank you!&lt;/p&gt;")</f>
        <v/>
      </c>
      <c r="E112" s="7">
        <f>IFERROR(__xludf.DUMMYFUNCTION("""COMPUTED_VALUE"""),"No artifact embedded")</f>
        <v/>
      </c>
      <c r="F112" s="7" t="inlineStr">
        <is>
          <t>Students were instructed to learn about trigonometric applications, take a quiz, and discuss their knowledge. Embedded artifacts include a quiz app with interactive question configuration.</t>
        </is>
      </c>
      <c r="G112" s="8" t="inlineStr">
        <is>
          <t>0</t>
        </is>
      </c>
      <c r="H112" s="8" t="inlineStr">
        <is>
          <t>0</t>
        </is>
      </c>
      <c r="I112" s="8" t="inlineStr">
        <is>
          <t>1</t>
        </is>
      </c>
      <c r="J112" s="8" t="inlineStr">
        <is>
          <t>1</t>
        </is>
      </c>
      <c r="K112" s="9" t="inlineStr">
        <is>
          <t>0</t>
        </is>
      </c>
      <c r="L112" s="9" t="inlineStr">
        <is>
          <t>0</t>
        </is>
      </c>
      <c r="M112" s="9" t="inlineStr">
        <is>
          <t>1</t>
        </is>
      </c>
      <c r="N112" s="9" t="inlineStr">
        <is>
          <t>0</t>
        </is>
      </c>
      <c r="O112" s="10" t="inlineStr">
        <is>
          <t>0</t>
        </is>
      </c>
      <c r="P112" s="10" t="inlineStr">
        <is>
          <t>0</t>
        </is>
      </c>
      <c r="Q112" s="10" t="inlineStr">
        <is>
          <t>0</t>
        </is>
      </c>
      <c r="R112" s="10" t="inlineStr">
        <is>
          <t>0</t>
        </is>
      </c>
      <c r="S112" s="10" t="inlineStr">
        <is>
          <t>1</t>
        </is>
      </c>
    </row>
    <row r="113" ht="409.5" customHeight="1">
      <c r="A113" s="6">
        <f>IFERROR(__xludf.DUMMYFUNCTION("""COMPUTED_VALUE"""),"Trigonometry (Math)")</f>
        <v/>
      </c>
      <c r="B113" s="6">
        <f>IFERROR(__xludf.DUMMYFUNCTION("""COMPUTED_VALUE"""),"Application")</f>
        <v/>
      </c>
      <c r="C113" s="6">
        <f>IFERROR(__xludf.DUMMYFUNCTION("""COMPUTED_VALUE"""),"SpeakUp")</f>
        <v/>
      </c>
      <c r="D113" s="7">
        <f>IFERROR(__xludf.DUMMYFUNCTION("""COMPUTED_VALUE"""),"No task description")</f>
        <v/>
      </c>
      <c r="E113"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113" s="7" t="inlineStr">
        <is>
          <t>Students received task descriptions and embedded artifacts for three items, including quiz apps and a social discussion tool, with varying levels of detail.</t>
        </is>
      </c>
      <c r="G113" s="8" t="inlineStr">
        <is>
          <t>0</t>
        </is>
      </c>
      <c r="H113" s="8" t="inlineStr">
        <is>
          <t>1</t>
        </is>
      </c>
      <c r="I113" s="8" t="inlineStr">
        <is>
          <t>0</t>
        </is>
      </c>
      <c r="J113" s="8" t="inlineStr">
        <is>
          <t>1</t>
        </is>
      </c>
      <c r="K113" s="9" t="inlineStr">
        <is>
          <t>0</t>
        </is>
      </c>
      <c r="L113" s="9" t="inlineStr">
        <is>
          <t>0</t>
        </is>
      </c>
      <c r="M113" s="9" t="inlineStr">
        <is>
          <t>1</t>
        </is>
      </c>
      <c r="N113" s="9" t="inlineStr">
        <is>
          <t>1</t>
        </is>
      </c>
      <c r="O113" s="10" t="inlineStr">
        <is>
          <t>0</t>
        </is>
      </c>
      <c r="P113" s="10" t="inlineStr">
        <is>
          <t>0</t>
        </is>
      </c>
      <c r="Q113" s="10" t="inlineStr">
        <is>
          <t>0</t>
        </is>
      </c>
      <c r="R113" s="10" t="inlineStr">
        <is>
          <t>0</t>
        </is>
      </c>
      <c r="S113" s="10" t="inlineStr">
        <is>
          <t>1</t>
        </is>
      </c>
    </row>
    <row r="114" ht="25" customHeight="1">
      <c r="A114" s="6">
        <f>IFERROR(__xludf.DUMMYFUNCTION("""COMPUTED_VALUE"""),"The color of the light")</f>
        <v/>
      </c>
      <c r="B114" s="6">
        <f>IFERROR(__xludf.DUMMYFUNCTION("""COMPUTED_VALUE"""),"Space")</f>
        <v/>
      </c>
      <c r="C114" s="6">
        <f>IFERROR(__xludf.DUMMYFUNCTION("""COMPUTED_VALUE"""),"Introduction")</f>
        <v/>
      </c>
      <c r="D114" s="7">
        <f>IFERROR(__xludf.DUMMYFUNCTION("""COMPUTED_VALUE"""),"No task description")</f>
        <v/>
      </c>
      <c r="E114" s="7">
        <f>IFERROR(__xludf.DUMMYFUNCTION("""COMPUTED_VALUE"""),"No artifact embedded")</f>
        <v/>
      </c>
      <c r="F114" s="7" t="inlineStr">
        <is>
          <t>Students are asked to discuss Trigonometry in Item1, with no tasks in Items2 and 3. Embedded artifacts include a discussion app in Item2.</t>
        </is>
      </c>
      <c r="G114" s="8" t="inlineStr">
        <is>
          <t>0</t>
        </is>
      </c>
      <c r="H114" s="8" t="inlineStr">
        <is>
          <t>0</t>
        </is>
      </c>
      <c r="I114" s="8" t="inlineStr">
        <is>
          <t>0</t>
        </is>
      </c>
      <c r="J114" s="8" t="inlineStr">
        <is>
          <t>0</t>
        </is>
      </c>
      <c r="K114" s="9" t="inlineStr">
        <is>
          <t>0</t>
        </is>
      </c>
      <c r="L114" s="9" t="inlineStr">
        <is>
          <t>0</t>
        </is>
      </c>
      <c r="M114" s="9" t="inlineStr">
        <is>
          <t>0</t>
        </is>
      </c>
      <c r="N114" s="9" t="inlineStr">
        <is>
          <t>0</t>
        </is>
      </c>
      <c r="O114" s="10" t="inlineStr">
        <is>
          <t>0</t>
        </is>
      </c>
      <c r="P114" s="10" t="inlineStr">
        <is>
          <t>0</t>
        </is>
      </c>
      <c r="Q114" s="10" t="inlineStr">
        <is>
          <t>0</t>
        </is>
      </c>
      <c r="R114" s="10" t="inlineStr">
        <is>
          <t>0</t>
        </is>
      </c>
      <c r="S114" s="10" t="inlineStr">
        <is>
          <t>0</t>
        </is>
      </c>
    </row>
    <row r="115" ht="409.5" customHeight="1">
      <c r="A115" s="6">
        <f>IFERROR(__xludf.DUMMYFUNCTION("""COMPUTED_VALUE"""),"The color of the light")</f>
        <v/>
      </c>
      <c r="B115" s="6">
        <f>IFERROR(__xludf.DUMMYFUNCTION("""COMPUTED_VALUE"""),"Resource")</f>
        <v/>
      </c>
      <c r="C115" s="6">
        <f>IFERROR(__xludf.DUMMYFUNCTION("""COMPUTED_VALUE"""),"Intro.graasp")</f>
        <v/>
      </c>
      <c r="D115" s="7">
        <f>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
      </c>
      <c r="E115" s="7">
        <f>IFERROR(__xludf.DUMMYFUNCTION("""COMPUTED_VALUE"""),"No artifact embedded")</f>
        <v/>
      </c>
      <c r="F115" s="7" t="inlineStr">
        <is>
          <t>Students received no task descriptions for Items 1 and 2. Item 3 instructs students to learn about color vision using "The Color of Light" lab tool. Embedded artifacts include Golabz app/lab SpeakUp for Item 1.</t>
        </is>
      </c>
      <c r="G115" s="8" t="inlineStr">
        <is>
          <t>0</t>
        </is>
      </c>
      <c r="H115" s="8" t="inlineStr">
        <is>
          <t>1</t>
        </is>
      </c>
      <c r="I115" s="8" t="inlineStr">
        <is>
          <t>1</t>
        </is>
      </c>
      <c r="J115" s="8" t="inlineStr">
        <is>
          <t>1</t>
        </is>
      </c>
      <c r="K115" s="9" t="inlineStr">
        <is>
          <t>0</t>
        </is>
      </c>
      <c r="L115" s="9" t="inlineStr">
        <is>
          <t>1</t>
        </is>
      </c>
      <c r="M115" s="9" t="inlineStr">
        <is>
          <t>0</t>
        </is>
      </c>
      <c r="N115" s="9" t="inlineStr">
        <is>
          <t>0</t>
        </is>
      </c>
      <c r="O115" s="10" t="inlineStr">
        <is>
          <t>1</t>
        </is>
      </c>
      <c r="P115" s="10" t="inlineStr">
        <is>
          <t>0</t>
        </is>
      </c>
      <c r="Q115" s="10" t="inlineStr">
        <is>
          <t>1</t>
        </is>
      </c>
      <c r="R115" s="10" t="inlineStr">
        <is>
          <t>0</t>
        </is>
      </c>
      <c r="S115" s="10" t="inlineStr">
        <is>
          <t>0</t>
        </is>
      </c>
    </row>
    <row r="116" ht="25" customHeight="1">
      <c r="A116" s="6">
        <f>IFERROR(__xludf.DUMMYFUNCTION("""COMPUTED_VALUE"""),"The color of the light")</f>
        <v/>
      </c>
      <c r="B116" s="6">
        <f>IFERROR(__xludf.DUMMYFUNCTION("""COMPUTED_VALUE"""),"Space")</f>
        <v/>
      </c>
      <c r="C116" s="6">
        <f>IFERROR(__xludf.DUMMYFUNCTION("""COMPUTED_VALUE"""),"Orientation")</f>
        <v/>
      </c>
      <c r="D116" s="7">
        <f>IFERROR(__xludf.DUMMYFUNCTION("""COMPUTED_VALUE"""),"No task description")</f>
        <v/>
      </c>
      <c r="E116" s="7">
        <f>IFERROR(__xludf.DUMMYFUNCTION("""COMPUTED_VALUE"""),"No artifact embedded")</f>
        <v/>
      </c>
      <c r="F116" s="7" t="inlineStr">
        <is>
          <t>Students learn about color vision and perception, using a laboratory tool to mix RGB colors and compare virtual and real results. No artifacts are embedded in any items.</t>
        </is>
      </c>
      <c r="G116" s="8" t="inlineStr">
        <is>
          <t>0</t>
        </is>
      </c>
      <c r="H116" s="8" t="inlineStr">
        <is>
          <t>0</t>
        </is>
      </c>
      <c r="I116" s="8" t="inlineStr">
        <is>
          <t>0</t>
        </is>
      </c>
      <c r="J116" s="8" t="inlineStr">
        <is>
          <t>0</t>
        </is>
      </c>
      <c r="K116" s="9" t="inlineStr">
        <is>
          <t>0</t>
        </is>
      </c>
      <c r="L116" s="9" t="inlineStr">
        <is>
          <t>0</t>
        </is>
      </c>
      <c r="M116" s="9" t="inlineStr">
        <is>
          <t>0</t>
        </is>
      </c>
      <c r="N116" s="9" t="inlineStr">
        <is>
          <t>0</t>
        </is>
      </c>
      <c r="O116" s="10" t="inlineStr">
        <is>
          <t>0</t>
        </is>
      </c>
      <c r="P116" s="10" t="inlineStr">
        <is>
          <t>0</t>
        </is>
      </c>
      <c r="Q116" s="10" t="inlineStr">
        <is>
          <t>0</t>
        </is>
      </c>
      <c r="R116" s="10" t="inlineStr">
        <is>
          <t>0</t>
        </is>
      </c>
      <c r="S116" s="10" t="inlineStr">
        <is>
          <t>0</t>
        </is>
      </c>
    </row>
    <row r="117" ht="409.5" customHeight="1">
      <c r="A117" s="6">
        <f>IFERROR(__xludf.DUMMYFUNCTION("""COMPUTED_VALUE"""),"The color of the light")</f>
        <v/>
      </c>
      <c r="B117" s="6">
        <f>IFERROR(__xludf.DUMMYFUNCTION("""COMPUTED_VALUE"""),"Resource")</f>
        <v/>
      </c>
      <c r="C117" s="6">
        <f>IFERROR(__xludf.DUMMYFUNCTION("""COMPUTED_VALUE"""),"Before video.graasp")</f>
        <v/>
      </c>
      <c r="D117" s="7">
        <f>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
      </c>
      <c r="E117" s="7">
        <f>IFERROR(__xludf.DUMMYFUNCTION("""COMPUTED_VALUE"""),"No artifact embedded")</f>
        <v/>
      </c>
      <c r="F117" s="7" t="inlineStr">
        <is>
          <t>Students learn about color vision and perception, using interactive tools like "The color of the light" laboratory with RGB sliders.</t>
        </is>
      </c>
      <c r="G117" s="8" t="inlineStr">
        <is>
          <t>1</t>
        </is>
      </c>
      <c r="H117" s="8" t="inlineStr">
        <is>
          <t>0</t>
        </is>
      </c>
      <c r="I117" s="8" t="inlineStr">
        <is>
          <t>0</t>
        </is>
      </c>
      <c r="J117" s="8" t="inlineStr">
        <is>
          <t>0</t>
        </is>
      </c>
      <c r="K117" s="9" t="inlineStr">
        <is>
          <t>1</t>
        </is>
      </c>
      <c r="L117" s="9" t="inlineStr">
        <is>
          <t>0</t>
        </is>
      </c>
      <c r="M117" s="9" t="inlineStr">
        <is>
          <t>0</t>
        </is>
      </c>
      <c r="N117" s="9" t="inlineStr">
        <is>
          <t>0</t>
        </is>
      </c>
      <c r="O117" s="10" t="inlineStr">
        <is>
          <t>1</t>
        </is>
      </c>
      <c r="P117" s="10" t="inlineStr">
        <is>
          <t>0</t>
        </is>
      </c>
      <c r="Q117" s="10" t="inlineStr">
        <is>
          <t>0</t>
        </is>
      </c>
      <c r="R117" s="10" t="inlineStr">
        <is>
          <t>0</t>
        </is>
      </c>
      <c r="S117" s="10" t="inlineStr">
        <is>
          <t>0</t>
        </is>
      </c>
    </row>
    <row r="118" ht="121" customHeight="1">
      <c r="A118" s="6">
        <f>IFERROR(__xludf.DUMMYFUNCTION("""COMPUTED_VALUE"""),"The color of the light")</f>
        <v/>
      </c>
      <c r="B118" s="6">
        <f>IFERROR(__xludf.DUMMYFUNCTION("""COMPUTED_VALUE"""),"Resource")</f>
        <v/>
      </c>
      <c r="C118" s="6">
        <f>IFERROR(__xludf.DUMMYFUNCTION("""COMPUTED_VALUE"""),"Simply Color Mixing")</f>
        <v/>
      </c>
      <c r="D118" s="7">
        <f>IFERROR(__xludf.DUMMYFUNCTION("""COMPUTED_VALUE"""),"No task description")</f>
        <v/>
      </c>
      <c r="E118" s="7">
        <f>IFERROR(__xludf.DUMMYFUNCTION("""COMPUTED_VALUE"""),"youtube.com: A widely known video-sharing platform where users can watch videos on a vast array of topics, including educational content.")</f>
        <v/>
      </c>
      <c r="F118" s="7" t="inlineStr">
        <is>
          <t>Students were instructed to observe their surroundings and watch a color mixing video. Embedded artifacts include no items, but a YouTube link is mentioned.</t>
        </is>
      </c>
      <c r="G118" s="8" t="inlineStr">
        <is>
          <t>1</t>
        </is>
      </c>
      <c r="H118" s="8" t="inlineStr">
        <is>
          <t>0</t>
        </is>
      </c>
      <c r="I118" s="8" t="inlineStr">
        <is>
          <t>0</t>
        </is>
      </c>
      <c r="J118" s="8" t="inlineStr">
        <is>
          <t>0</t>
        </is>
      </c>
      <c r="K118" s="9" t="inlineStr">
        <is>
          <t>1</t>
        </is>
      </c>
      <c r="L118" s="9" t="inlineStr">
        <is>
          <t>0</t>
        </is>
      </c>
      <c r="M118" s="9" t="inlineStr">
        <is>
          <t>0</t>
        </is>
      </c>
      <c r="N118" s="9" t="inlineStr">
        <is>
          <t>0</t>
        </is>
      </c>
      <c r="O118" s="10" t="inlineStr">
        <is>
          <t>0</t>
        </is>
      </c>
      <c r="P118" s="10" t="inlineStr">
        <is>
          <t>0</t>
        </is>
      </c>
      <c r="Q118" s="10" t="inlineStr">
        <is>
          <t>0</t>
        </is>
      </c>
      <c r="R118" s="10" t="inlineStr">
        <is>
          <t>0</t>
        </is>
      </c>
      <c r="S118" s="10" t="inlineStr">
        <is>
          <t>0</t>
        </is>
      </c>
    </row>
    <row r="119" ht="409.5" customHeight="1">
      <c r="A119" s="6">
        <f>IFERROR(__xludf.DUMMYFUNCTION("""COMPUTED_VALUE"""),"The color of the light")</f>
        <v/>
      </c>
      <c r="B119" s="6">
        <f>IFERROR(__xludf.DUMMYFUNCTION("""COMPUTED_VALUE"""),"Resource")</f>
        <v/>
      </c>
      <c r="C119" s="6">
        <f>IFERROR(__xludf.DUMMYFUNCTION("""COMPUTED_VALUE"""),"After video.graasp")</f>
        <v/>
      </c>
      <c r="D119" s="7">
        <f>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
      </c>
      <c r="E119" s="7">
        <f>IFERROR(__xludf.DUMMYFUNCTION("""COMPUTED_VALUE"""),"No artifact embedded")</f>
        <v/>
      </c>
      <c r="F119" s="7" t="inlineStr">
        <is>
          <t>Students observe surroundings, watch a video, and explore links about color and vision. Embedded artifacts include a YouTube link and interactive input box.</t>
        </is>
      </c>
      <c r="G119" s="8" t="inlineStr">
        <is>
          <t>0</t>
        </is>
      </c>
      <c r="H119" s="8" t="inlineStr">
        <is>
          <t>1</t>
        </is>
      </c>
      <c r="I119" s="8" t="inlineStr">
        <is>
          <t>1</t>
        </is>
      </c>
      <c r="J119" s="8" t="inlineStr">
        <is>
          <t>1</t>
        </is>
      </c>
      <c r="K119" s="9" t="inlineStr">
        <is>
          <t>0</t>
        </is>
      </c>
      <c r="L119" s="9" t="inlineStr">
        <is>
          <t>1</t>
        </is>
      </c>
      <c r="M119" s="9" t="inlineStr">
        <is>
          <t>0</t>
        </is>
      </c>
      <c r="N119" s="9" t="inlineStr">
        <is>
          <t>0</t>
        </is>
      </c>
      <c r="O119" s="10" t="inlineStr">
        <is>
          <t>1</t>
        </is>
      </c>
      <c r="P119" s="10" t="inlineStr">
        <is>
          <t>1</t>
        </is>
      </c>
      <c r="Q119" s="10" t="inlineStr">
        <is>
          <t>0</t>
        </is>
      </c>
      <c r="R119" s="10" t="inlineStr">
        <is>
          <t>0</t>
        </is>
      </c>
      <c r="S119" s="10" t="inlineStr">
        <is>
          <t>0</t>
        </is>
      </c>
    </row>
    <row r="120" ht="329" customHeight="1">
      <c r="A120" s="6">
        <f>IFERROR(__xludf.DUMMYFUNCTION("""COMPUTED_VALUE"""),"The color of the light")</f>
        <v/>
      </c>
      <c r="B120" s="6">
        <f>IFERROR(__xludf.DUMMYFUNCTION("""COMPUTED_VALUE"""),"Application")</f>
        <v/>
      </c>
      <c r="C120" s="6">
        <f>IFERROR(__xludf.DUMMYFUNCTION("""COMPUTED_VALUE"""),"Input Box")</f>
        <v/>
      </c>
      <c r="D120" s="7">
        <f>IFERROR(__xludf.DUMMYFUNCTION("""COMPUTED_VALUE"""),"No task description")</f>
        <v/>
      </c>
      <c r="E1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20" s="7" t="inlineStr">
        <is>
          <t>Students were given tasks and links to learn about vision and colors, with some items having embedded artifacts like YouTube and Golabz app/lab for notes and collaboration.</t>
        </is>
      </c>
      <c r="G120" s="8" t="inlineStr">
        <is>
          <t>0</t>
        </is>
      </c>
      <c r="H120" s="8" t="inlineStr">
        <is>
          <t>1</t>
        </is>
      </c>
      <c r="I120" s="8" t="inlineStr">
        <is>
          <t>1</t>
        </is>
      </c>
      <c r="J120" s="8" t="inlineStr">
        <is>
          <t>1</t>
        </is>
      </c>
      <c r="K120" s="9" t="inlineStr">
        <is>
          <t>0</t>
        </is>
      </c>
      <c r="L120" s="9" t="inlineStr">
        <is>
          <t>1</t>
        </is>
      </c>
      <c r="M120" s="9" t="inlineStr">
        <is>
          <t>0</t>
        </is>
      </c>
      <c r="N120" s="9" t="inlineStr">
        <is>
          <t>1</t>
        </is>
      </c>
      <c r="O120" s="10" t="inlineStr">
        <is>
          <t>0</t>
        </is>
      </c>
      <c r="P120" s="10" t="inlineStr">
        <is>
          <t>0</t>
        </is>
      </c>
      <c r="Q120" s="10" t="inlineStr">
        <is>
          <t>0</t>
        </is>
      </c>
      <c r="R120" s="10" t="inlineStr">
        <is>
          <t>0</t>
        </is>
      </c>
      <c r="S120" s="10" t="inlineStr">
        <is>
          <t>1</t>
        </is>
      </c>
    </row>
    <row r="121" ht="217" customHeight="1">
      <c r="A121" s="6">
        <f>IFERROR(__xludf.DUMMYFUNCTION("""COMPUTED_VALUE"""),"The color of the light")</f>
        <v/>
      </c>
      <c r="B121" s="6">
        <f>IFERROR(__xludf.DUMMYFUNCTION("""COMPUTED_VALUE"""),"Resource")</f>
        <v/>
      </c>
      <c r="C121" s="6">
        <f>IFERROR(__xludf.DUMMYFUNCTION("""COMPUTED_VALUE"""),"Concept map.graasp")</f>
        <v/>
      </c>
      <c r="D121" s="7">
        <f>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
      </c>
      <c r="E121" s="7">
        <f>IFERROR(__xludf.DUMMYFUNCTION("""COMPUTED_VALUE"""),"No artifact embedded")</f>
        <v/>
      </c>
      <c r="F121" s="7" t="inlineStr">
        <is>
          <t>Students were instructed to write about vision-related elements and create a concept map. Embedded artifacts include an input box app for note-taking and potential collaboration tool.</t>
        </is>
      </c>
      <c r="G121" s="8" t="inlineStr">
        <is>
          <t>0</t>
        </is>
      </c>
      <c r="H121" s="8" t="inlineStr">
        <is>
          <t>0</t>
        </is>
      </c>
      <c r="I121" s="8" t="inlineStr">
        <is>
          <t>1</t>
        </is>
      </c>
      <c r="J121" s="8" t="inlineStr">
        <is>
          <t>1</t>
        </is>
      </c>
      <c r="K121" s="9" t="inlineStr">
        <is>
          <t>0</t>
        </is>
      </c>
      <c r="L121" s="9" t="inlineStr">
        <is>
          <t>1</t>
        </is>
      </c>
      <c r="M121" s="9" t="inlineStr">
        <is>
          <t>0</t>
        </is>
      </c>
      <c r="N121" s="9" t="inlineStr">
        <is>
          <t>0</t>
        </is>
      </c>
      <c r="O121" s="10" t="inlineStr">
        <is>
          <t>0</t>
        </is>
      </c>
      <c r="P121" s="10" t="inlineStr">
        <is>
          <t>1</t>
        </is>
      </c>
      <c r="Q121" s="10" t="inlineStr">
        <is>
          <t>0</t>
        </is>
      </c>
      <c r="R121" s="10" t="inlineStr">
        <is>
          <t>0</t>
        </is>
      </c>
      <c r="S121" s="10" t="inlineStr">
        <is>
          <t>0</t>
        </is>
      </c>
    </row>
    <row r="122" ht="409.5" customHeight="1">
      <c r="A122" s="6">
        <f>IFERROR(__xludf.DUMMYFUNCTION("""COMPUTED_VALUE"""),"The color of the light")</f>
        <v/>
      </c>
      <c r="B122" s="6">
        <f>IFERROR(__xludf.DUMMYFUNCTION("""COMPUTED_VALUE"""),"Resource")</f>
        <v/>
      </c>
      <c r="C122" s="6">
        <f>IFERROR(__xludf.DUMMYFUNCTION("""COMPUTED_VALUE"""),"Tips concept map.graasp")</f>
        <v/>
      </c>
      <c r="D122" s="7">
        <f>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
      </c>
      <c r="E122" s="7">
        <f>IFERROR(__xludf.DUMMYFUNCTION("""COMPUTED_VALUE"""),"No artifact embedded")</f>
        <v/>
      </c>
      <c r="F122" s="7" t="inlineStr">
        <is>
          <t>Students take notes, then create a concept map using tips provided. Two tools are used: an input box app (Golabz) and a separate concept mapping tool.</t>
        </is>
      </c>
      <c r="G122" s="8" t="inlineStr">
        <is>
          <t>1</t>
        </is>
      </c>
      <c r="H122" s="8" t="inlineStr">
        <is>
          <t>0</t>
        </is>
      </c>
      <c r="I122" s="8" t="inlineStr">
        <is>
          <t>0</t>
        </is>
      </c>
      <c r="J122" s="8" t="inlineStr">
        <is>
          <t>0</t>
        </is>
      </c>
      <c r="K122" s="9" t="inlineStr">
        <is>
          <t>0</t>
        </is>
      </c>
      <c r="L122" s="9" t="inlineStr">
        <is>
          <t>1</t>
        </is>
      </c>
      <c r="M122" s="9" t="inlineStr">
        <is>
          <t>0</t>
        </is>
      </c>
      <c r="N122" s="9" t="inlineStr">
        <is>
          <t>0</t>
        </is>
      </c>
      <c r="O122" s="10" t="inlineStr">
        <is>
          <t>1</t>
        </is>
      </c>
      <c r="P122" s="10" t="inlineStr">
        <is>
          <t>1</t>
        </is>
      </c>
      <c r="Q122" s="10" t="inlineStr">
        <is>
          <t>0</t>
        </is>
      </c>
      <c r="R122" s="10" t="inlineStr">
        <is>
          <t>0</t>
        </is>
      </c>
      <c r="S122" s="10" t="inlineStr">
        <is>
          <t>0</t>
        </is>
      </c>
    </row>
    <row r="123" ht="409.5" customHeight="1">
      <c r="A123" s="6">
        <f>IFERROR(__xludf.DUMMYFUNCTION("""COMPUTED_VALUE"""),"The color of the light")</f>
        <v/>
      </c>
      <c r="B123" s="6">
        <f>IFERROR(__xludf.DUMMYFUNCTION("""COMPUTED_VALUE"""),"Application")</f>
        <v/>
      </c>
      <c r="C123" s="6">
        <f>IFERROR(__xludf.DUMMYFUNCTION("""COMPUTED_VALUE"""),"Concept Map")</f>
        <v/>
      </c>
      <c r="D123" s="7">
        <f>IFERROR(__xludf.DUMMYFUNCTION("""COMPUTED_VALUE"""),"No task description")</f>
        <v/>
      </c>
      <c r="E123"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23" s="7" t="inlineStr">
        <is>
          <t>Students create concept maps with tips provided; no artifacts embedded in Items 1 and 2, but Item 3 has a Golabz app/lab artifact, the Concept Mapper tool.</t>
        </is>
      </c>
      <c r="G123" s="8" t="inlineStr">
        <is>
          <t>0</t>
        </is>
      </c>
      <c r="H123" s="8" t="inlineStr">
        <is>
          <t>1</t>
        </is>
      </c>
      <c r="I123" s="8" t="inlineStr">
        <is>
          <t>1</t>
        </is>
      </c>
      <c r="J123" s="8" t="inlineStr">
        <is>
          <t>0</t>
        </is>
      </c>
      <c r="K123" s="9" t="inlineStr">
        <is>
          <t>0</t>
        </is>
      </c>
      <c r="L123" s="9" t="inlineStr">
        <is>
          <t>1</t>
        </is>
      </c>
      <c r="M123" s="9" t="inlineStr">
        <is>
          <t>0</t>
        </is>
      </c>
      <c r="N123" s="9" t="inlineStr">
        <is>
          <t>0</t>
        </is>
      </c>
      <c r="O123" s="10" t="inlineStr">
        <is>
          <t>0</t>
        </is>
      </c>
      <c r="P123" s="10" t="inlineStr">
        <is>
          <t>1</t>
        </is>
      </c>
      <c r="Q123" s="10" t="inlineStr">
        <is>
          <t>0</t>
        </is>
      </c>
      <c r="R123" s="10" t="inlineStr">
        <is>
          <t>0</t>
        </is>
      </c>
      <c r="S123" s="10" t="inlineStr">
        <is>
          <t>1</t>
        </is>
      </c>
    </row>
    <row r="124" ht="85" customHeight="1">
      <c r="A124" s="6">
        <f>IFERROR(__xludf.DUMMYFUNCTION("""COMPUTED_VALUE"""),"The color of the light")</f>
        <v/>
      </c>
      <c r="B124" s="6">
        <f>IFERROR(__xludf.DUMMYFUNCTION("""COMPUTED_VALUE"""),"Resource")</f>
        <v/>
      </c>
      <c r="C124" s="6">
        <f>IFERROR(__xludf.DUMMYFUNCTION("""COMPUTED_VALUE"""),"After CM.graasp")</f>
        <v/>
      </c>
      <c r="D124" s="7">
        <f>IFERROR(__xludf.DUMMYFUNCTION("""COMPUTED_VALUE"""),"&lt;p&gt;When you have finished the concept map you can go on to the Conceptualisation. To do this press the tab.&lt;br&gt;&lt;/p&gt;")</f>
        <v/>
      </c>
      <c r="E124" s="7">
        <f>IFERROR(__xludf.DUMMYFUNCTION("""COMPUTED_VALUE"""),"No artifact embedded")</f>
        <v/>
      </c>
      <c r="F124" s="7" t="inlineStr">
        <is>
          <t>Students are instructed to create a concept map, focusing on main relations and unrelated concepts. Embedded artifacts include the Concept Mapper tool in Golabz app/lab.</t>
        </is>
      </c>
      <c r="G124" s="8" t="inlineStr">
        <is>
          <t>0</t>
        </is>
      </c>
      <c r="H124" s="8" t="inlineStr">
        <is>
          <t>0</t>
        </is>
      </c>
      <c r="I124" s="8" t="inlineStr">
        <is>
          <t>0</t>
        </is>
      </c>
      <c r="J124" s="8" t="inlineStr">
        <is>
          <t>0</t>
        </is>
      </c>
      <c r="K124" s="9" t="inlineStr">
        <is>
          <t>1</t>
        </is>
      </c>
      <c r="L124" s="9" t="inlineStr">
        <is>
          <t>0</t>
        </is>
      </c>
      <c r="M124" s="9" t="inlineStr">
        <is>
          <t>0</t>
        </is>
      </c>
      <c r="N124" s="9" t="inlineStr">
        <is>
          <t>0</t>
        </is>
      </c>
      <c r="O124" s="10" t="inlineStr">
        <is>
          <t>0</t>
        </is>
      </c>
      <c r="P124" s="10" t="inlineStr">
        <is>
          <t>0</t>
        </is>
      </c>
      <c r="Q124" s="10" t="inlineStr">
        <is>
          <t>0</t>
        </is>
      </c>
      <c r="R124" s="10" t="inlineStr">
        <is>
          <t>0</t>
        </is>
      </c>
      <c r="S124" s="10" t="inlineStr">
        <is>
          <t>0</t>
        </is>
      </c>
    </row>
    <row r="125" ht="25" customHeight="1">
      <c r="A125" s="6">
        <f>IFERROR(__xludf.DUMMYFUNCTION("""COMPUTED_VALUE"""),"The color of the light")</f>
        <v/>
      </c>
      <c r="B125" s="6">
        <f>IFERROR(__xludf.DUMMYFUNCTION("""COMPUTED_VALUE"""),"Space")</f>
        <v/>
      </c>
      <c r="C125" s="6">
        <f>IFERROR(__xludf.DUMMYFUNCTION("""COMPUTED_VALUE"""),"Conceptualisation")</f>
        <v/>
      </c>
      <c r="D125" s="7">
        <f>IFERROR(__xludf.DUMMYFUNCTION("""COMPUTED_VALUE"""),"No task description")</f>
        <v/>
      </c>
      <c r="E125" s="7">
        <f>IFERROR(__xludf.DUMMYFUNCTION("""COMPUTED_VALUE"""),"No artifact embedded")</f>
        <v/>
      </c>
      <c r="F125" s="7" t="inlineStr">
        <is>
          <t>Students use the Concept Mapper tool to create concept maps, with optional real-time feedback and collaboration mode.</t>
        </is>
      </c>
      <c r="G125" s="8" t="inlineStr">
        <is>
          <t>0</t>
        </is>
      </c>
      <c r="H125" s="8" t="inlineStr">
        <is>
          <t>0</t>
        </is>
      </c>
      <c r="I125" s="8" t="inlineStr">
        <is>
          <t>0</t>
        </is>
      </c>
      <c r="J125" s="8" t="inlineStr">
        <is>
          <t>0</t>
        </is>
      </c>
      <c r="K125" s="9" t="inlineStr">
        <is>
          <t>0</t>
        </is>
      </c>
      <c r="L125" s="9" t="inlineStr">
        <is>
          <t>0</t>
        </is>
      </c>
      <c r="M125" s="9" t="inlineStr">
        <is>
          <t>0</t>
        </is>
      </c>
      <c r="N125" s="9" t="inlineStr">
        <is>
          <t>0</t>
        </is>
      </c>
      <c r="O125" s="10" t="inlineStr">
        <is>
          <t>0</t>
        </is>
      </c>
      <c r="P125" s="10" t="inlineStr">
        <is>
          <t>0</t>
        </is>
      </c>
      <c r="Q125" s="10" t="inlineStr">
        <is>
          <t>0</t>
        </is>
      </c>
      <c r="R125" s="10" t="inlineStr">
        <is>
          <t>0</t>
        </is>
      </c>
      <c r="S125" s="10" t="inlineStr">
        <is>
          <t>0</t>
        </is>
      </c>
    </row>
    <row r="126" ht="409.5" customHeight="1">
      <c r="A126" s="6">
        <f>IFERROR(__xludf.DUMMYFUNCTION("""COMPUTED_VALUE"""),"The color of the light")</f>
        <v/>
      </c>
      <c r="B126" s="6">
        <f>IFERROR(__xludf.DUMMYFUNCTION("""COMPUTED_VALUE"""),"Resource")</f>
        <v/>
      </c>
      <c r="C126" s="6">
        <f>IFERROR(__xludf.DUMMYFUNCTION("""COMPUTED_VALUE"""),"Intro.graasp")</f>
        <v/>
      </c>
      <c r="D126" s="7">
        <f>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
      </c>
      <c r="E126" s="7">
        <f>IFERROR(__xludf.DUMMYFUNCTION("""COMPUTED_VALUE"""),"No artifact embedded")</f>
        <v/>
      </c>
      <c r="F126" s="7" t="inlineStr">
        <is>
          <t>Students are instructed on concept mapping and color physics, with no artifacts embedded in Items 1 and 2, but descriptive text and a mentioned figure in Item 3.</t>
        </is>
      </c>
      <c r="G126" s="8" t="inlineStr">
        <is>
          <t>1</t>
        </is>
      </c>
      <c r="H126" s="8" t="inlineStr">
        <is>
          <t>0</t>
        </is>
      </c>
      <c r="I126" s="8" t="inlineStr">
        <is>
          <t>0</t>
        </is>
      </c>
      <c r="J126" s="8" t="inlineStr">
        <is>
          <t>0</t>
        </is>
      </c>
      <c r="K126" s="9" t="inlineStr">
        <is>
          <t>1</t>
        </is>
      </c>
      <c r="L126" s="9" t="inlineStr">
        <is>
          <t>0</t>
        </is>
      </c>
      <c r="M126" s="9" t="inlineStr">
        <is>
          <t>0</t>
        </is>
      </c>
      <c r="N126" s="9" t="inlineStr">
        <is>
          <t>0</t>
        </is>
      </c>
      <c r="O126" s="10" t="inlineStr">
        <is>
          <t>1</t>
        </is>
      </c>
      <c r="P126" s="10" t="inlineStr">
        <is>
          <t>0</t>
        </is>
      </c>
      <c r="Q126" s="10" t="inlineStr">
        <is>
          <t>0</t>
        </is>
      </c>
      <c r="R126" s="10" t="inlineStr">
        <is>
          <t>0</t>
        </is>
      </c>
      <c r="S126" s="10" t="inlineStr">
        <is>
          <t>0</t>
        </is>
      </c>
    </row>
    <row r="127" ht="121" customHeight="1">
      <c r="A127" s="6">
        <f>IFERROR(__xludf.DUMMYFUNCTION("""COMPUTED_VALUE"""),"The color of the light")</f>
        <v/>
      </c>
      <c r="B127" s="6">
        <f>IFERROR(__xludf.DUMMYFUNCTION("""COMPUTED_VALUE"""),"Resource")</f>
        <v/>
      </c>
      <c r="C127" s="6">
        <f>IFERROR(__xludf.DUMMYFUNCTION("""COMPUTED_VALUE"""),"How the eye sees.jpg")</f>
        <v/>
      </c>
      <c r="D127" s="7">
        <f>IFERROR(__xludf.DUMMYFUNCTION("""COMPUTED_VALUE"""),"----___---__--_--~ Downioad from f' E 3174ug45 Dreamstime.com ,..mm HE [3 Peter Hermes PM N Dreamsvme mm")</f>
        <v/>
      </c>
      <c r="E127" s="7">
        <f>IFERROR(__xludf.DUMMYFUNCTION("""COMPUTED_VALUE"""),"image/jpeg – A digital photograph or web image stored in a compressed format, often used for photography and web graphics.")</f>
        <v/>
      </c>
      <c r="F127" s="7" t="inlineStr">
        <is>
          <t>Students were given task descriptions on physics of color and human vision. Embedded artifacts included an image/jpeg file, but no other artifacts were embedded in the items.</t>
        </is>
      </c>
      <c r="G127" s="8" t="inlineStr">
        <is>
          <t>1</t>
        </is>
      </c>
      <c r="H127" s="8" t="inlineStr">
        <is>
          <t>0</t>
        </is>
      </c>
      <c r="I127" s="8" t="inlineStr">
        <is>
          <t>0</t>
        </is>
      </c>
      <c r="J127" s="8" t="inlineStr">
        <is>
          <t>0</t>
        </is>
      </c>
      <c r="K127" s="9" t="inlineStr">
        <is>
          <t>1</t>
        </is>
      </c>
      <c r="L127" s="9" t="inlineStr">
        <is>
          <t>0</t>
        </is>
      </c>
      <c r="M127" s="9" t="inlineStr">
        <is>
          <t>0</t>
        </is>
      </c>
      <c r="N127" s="9" t="inlineStr">
        <is>
          <t>0</t>
        </is>
      </c>
      <c r="O127" s="10" t="inlineStr">
        <is>
          <t>0</t>
        </is>
      </c>
      <c r="P127" s="10" t="inlineStr">
        <is>
          <t>0</t>
        </is>
      </c>
      <c r="Q127" s="10" t="inlineStr">
        <is>
          <t>0</t>
        </is>
      </c>
      <c r="R127" s="10" t="inlineStr">
        <is>
          <t>0</t>
        </is>
      </c>
      <c r="S127" s="10" t="inlineStr">
        <is>
          <t>0</t>
        </is>
      </c>
    </row>
    <row r="128" ht="409.5" customHeight="1">
      <c r="A128" s="6">
        <f>IFERROR(__xludf.DUMMYFUNCTION("""COMPUTED_VALUE"""),"The color of the light")</f>
        <v/>
      </c>
      <c r="B128" s="6">
        <f>IFERROR(__xludf.DUMMYFUNCTION("""COMPUTED_VALUE"""),"Resource")</f>
        <v/>
      </c>
      <c r="C128" s="6">
        <f>IFERROR(__xludf.DUMMYFUNCTION("""COMPUTED_VALUE"""),"Second text block.graasp")</f>
        <v/>
      </c>
      <c r="D128" s="7">
        <f>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
      </c>
      <c r="E128" s="7">
        <f>IFERROR(__xludf.DUMMYFUNCTION("""COMPUTED_VALUE"""),"No artifact embedded")</f>
        <v/>
      </c>
      <c r="F128" s="7" t="inlineStr">
        <is>
          <t>Instructions: Students learn about physics of color and human vision. 
Embedded artifacts: 1 image/jpeg, no other artifacts.</t>
        </is>
      </c>
      <c r="G128" s="8" t="inlineStr">
        <is>
          <t>1</t>
        </is>
      </c>
      <c r="H128" s="8" t="inlineStr">
        <is>
          <t>0</t>
        </is>
      </c>
      <c r="I128" s="8" t="inlineStr">
        <is>
          <t>0</t>
        </is>
      </c>
      <c r="J128" s="8" t="inlineStr">
        <is>
          <t>0</t>
        </is>
      </c>
      <c r="K128" s="9" t="inlineStr">
        <is>
          <t>1</t>
        </is>
      </c>
      <c r="L128" s="9" t="inlineStr">
        <is>
          <t>0</t>
        </is>
      </c>
      <c r="M128" s="9" t="inlineStr">
        <is>
          <t>0</t>
        </is>
      </c>
      <c r="N128" s="9" t="inlineStr">
        <is>
          <t>0</t>
        </is>
      </c>
      <c r="O128" s="10" t="inlineStr">
        <is>
          <t>1</t>
        </is>
      </c>
      <c r="P128" s="10" t="inlineStr">
        <is>
          <t>1</t>
        </is>
      </c>
      <c r="Q128" s="10" t="inlineStr">
        <is>
          <t>0</t>
        </is>
      </c>
      <c r="R128" s="10" t="inlineStr">
        <is>
          <t>0</t>
        </is>
      </c>
      <c r="S128" s="10" t="inlineStr">
        <is>
          <t>0</t>
        </is>
      </c>
    </row>
    <row r="129" ht="97" customHeight="1">
      <c r="A129" s="6">
        <f>IFERROR(__xludf.DUMMYFUNCTION("""COMPUTED_VALUE"""),"The color of the light")</f>
        <v/>
      </c>
      <c r="B129" s="6">
        <f>IFERROR(__xludf.DUMMYFUNCTION("""COMPUTED_VALUE"""),"Resource")</f>
        <v/>
      </c>
      <c r="C129" s="6">
        <f>IFERROR(__xludf.DUMMYFUNCTION("""COMPUTED_VALUE"""),"The primary colors.png")</f>
        <v/>
      </c>
      <c r="D129" s="7">
        <f>IFERROR(__xludf.DUMMYFUNCTION("""COMPUTED_VALUE"""),"No task description")</f>
        <v/>
      </c>
      <c r="E129" s="7">
        <f>IFERROR(__xludf.DUMMYFUNCTION("""COMPUTED_VALUE"""),"image/png – A high-quality image with support for transparency, often used in design and web applications.")</f>
        <v/>
      </c>
      <c r="F129" s="7" t="inlineStr">
        <is>
          <t>Students are given tasks and images to complete, including a digital photograph and a high-quality PNG image.</t>
        </is>
      </c>
      <c r="G129" s="8" t="inlineStr">
        <is>
          <t>1</t>
        </is>
      </c>
      <c r="H129" s="8" t="inlineStr">
        <is>
          <t>0</t>
        </is>
      </c>
      <c r="I129" s="8" t="inlineStr">
        <is>
          <t>0</t>
        </is>
      </c>
      <c r="J129" s="8" t="inlineStr">
        <is>
          <t>0</t>
        </is>
      </c>
      <c r="K129" s="9" t="inlineStr">
        <is>
          <t>1</t>
        </is>
      </c>
      <c r="L129" s="9" t="inlineStr">
        <is>
          <t>0</t>
        </is>
      </c>
      <c r="M129" s="9" t="inlineStr">
        <is>
          <t>0</t>
        </is>
      </c>
      <c r="N129" s="9" t="inlineStr">
        <is>
          <t>0</t>
        </is>
      </c>
      <c r="O129" s="10" t="inlineStr">
        <is>
          <t>0</t>
        </is>
      </c>
      <c r="P129" s="10" t="inlineStr">
        <is>
          <t>0</t>
        </is>
      </c>
      <c r="Q129" s="10" t="inlineStr">
        <is>
          <t>0</t>
        </is>
      </c>
      <c r="R129" s="10" t="inlineStr">
        <is>
          <t>0</t>
        </is>
      </c>
      <c r="S129" s="10" t="inlineStr">
        <is>
          <t>0</t>
        </is>
      </c>
    </row>
    <row r="130" ht="241" customHeight="1">
      <c r="A130" s="6">
        <f>IFERROR(__xludf.DUMMYFUNCTION("""COMPUTED_VALUE"""),"The color of the light")</f>
        <v/>
      </c>
      <c r="B130" s="6">
        <f>IFERROR(__xludf.DUMMYFUNCTION("""COMPUTED_VALUE"""),"Resource")</f>
        <v/>
      </c>
      <c r="C130" s="6">
        <f>IFERROR(__xludf.DUMMYFUNCTION("""COMPUTED_VALUE"""),"Third text block.graasp")</f>
        <v/>
      </c>
      <c r="D130" s="7">
        <f>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
      </c>
      <c r="E130" s="7">
        <f>IFERROR(__xludf.DUMMYFUNCTION("""COMPUTED_VALUE"""),"No artifact embedded")</f>
        <v/>
      </c>
      <c r="F130" s="7" t="inlineStr">
        <is>
          <t>Students are tasked with understanding color mechanisms and formulating research questions on primary colors. Embedded artifacts include a video link and a PNG image.</t>
        </is>
      </c>
      <c r="G130" s="8" t="inlineStr">
        <is>
          <t>0</t>
        </is>
      </c>
      <c r="H130" s="8" t="inlineStr">
        <is>
          <t>1</t>
        </is>
      </c>
      <c r="I130" s="8" t="inlineStr">
        <is>
          <t>1</t>
        </is>
      </c>
      <c r="J130" s="8" t="inlineStr">
        <is>
          <t>1</t>
        </is>
      </c>
      <c r="K130" s="9" t="inlineStr">
        <is>
          <t>0</t>
        </is>
      </c>
      <c r="L130" s="9" t="inlineStr">
        <is>
          <t>1</t>
        </is>
      </c>
      <c r="M130" s="9" t="inlineStr">
        <is>
          <t>0</t>
        </is>
      </c>
      <c r="N130" s="9" t="inlineStr">
        <is>
          <t>0</t>
        </is>
      </c>
      <c r="O130" s="10" t="inlineStr">
        <is>
          <t>0</t>
        </is>
      </c>
      <c r="P130" s="10" t="inlineStr">
        <is>
          <t>1</t>
        </is>
      </c>
      <c r="Q130" s="10" t="inlineStr">
        <is>
          <t>1</t>
        </is>
      </c>
      <c r="R130" s="10" t="inlineStr">
        <is>
          <t>0</t>
        </is>
      </c>
      <c r="S130" s="10" t="inlineStr">
        <is>
          <t>0</t>
        </is>
      </c>
    </row>
    <row r="131" ht="409.5" customHeight="1">
      <c r="A131" s="6">
        <f>IFERROR(__xludf.DUMMYFUNCTION("""COMPUTED_VALUE"""),"The color of the light")</f>
        <v/>
      </c>
      <c r="B131" s="6">
        <f>IFERROR(__xludf.DUMMYFUNCTION("""COMPUTED_VALUE"""),"Application")</f>
        <v/>
      </c>
      <c r="C131" s="6">
        <f>IFERROR(__xludf.DUMMYFUNCTION("""COMPUTED_VALUE"""),"Questioning Scratchpad")</f>
        <v/>
      </c>
      <c r="D131" s="7">
        <f>IFERROR(__xludf.DUMMYFUNCTION("""COMPUTED_VALUE"""),"No task description")</f>
        <v/>
      </c>
      <c r="E131"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131" s="7" t="inlineStr">
        <is>
          <t>Students are instructed to formulate a research question and provided with an image and the Question Scratchpad tool.</t>
        </is>
      </c>
      <c r="G131" s="8" t="inlineStr">
        <is>
          <t>0</t>
        </is>
      </c>
      <c r="H131" s="8" t="inlineStr">
        <is>
          <t>1</t>
        </is>
      </c>
      <c r="I131" s="8" t="inlineStr">
        <is>
          <t>1</t>
        </is>
      </c>
      <c r="J131" s="8" t="inlineStr">
        <is>
          <t>0</t>
        </is>
      </c>
      <c r="K131" s="9" t="inlineStr">
        <is>
          <t>0</t>
        </is>
      </c>
      <c r="L131" s="9" t="inlineStr">
        <is>
          <t>1</t>
        </is>
      </c>
      <c r="M131" s="9" t="inlineStr">
        <is>
          <t>0</t>
        </is>
      </c>
      <c r="N131" s="9" t="inlineStr">
        <is>
          <t>1</t>
        </is>
      </c>
      <c r="O131" s="10" t="inlineStr">
        <is>
          <t>0</t>
        </is>
      </c>
      <c r="P131" s="10" t="inlineStr">
        <is>
          <t>1</t>
        </is>
      </c>
      <c r="Q131" s="10" t="inlineStr">
        <is>
          <t>1</t>
        </is>
      </c>
      <c r="R131" s="10" t="inlineStr">
        <is>
          <t>0</t>
        </is>
      </c>
      <c r="S131" s="10" t="inlineStr">
        <is>
          <t>0</t>
        </is>
      </c>
    </row>
    <row r="132" ht="409.5" customHeight="1">
      <c r="A132" s="6">
        <f>IFERROR(__xludf.DUMMYFUNCTION("""COMPUTED_VALUE"""),"The color of the light")</f>
        <v/>
      </c>
      <c r="B132" s="6">
        <f>IFERROR(__xludf.DUMMYFUNCTION("""COMPUTED_VALUE"""),"Space")</f>
        <v/>
      </c>
      <c r="C132" s="6">
        <f>IFERROR(__xludf.DUMMYFUNCTION("""COMPUTED_VALUE"""),"Investigation")</f>
        <v/>
      </c>
      <c r="D132" s="7">
        <f>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
      </c>
      <c r="E132" s="7">
        <f>IFERROR(__xludf.DUMMYFUNCTION("""COMPUTED_VALUE"""),"No artifact embedded")</f>
        <v/>
      </c>
      <c r="F132" s="7" t="inlineStr">
        <is>
          <t>Students form research questions using "red", "green", "blue", and "combine" with a questioning scratchpad tool, then conduct experiments on color representation.</t>
        </is>
      </c>
      <c r="G132" s="8" t="inlineStr">
        <is>
          <t>0</t>
        </is>
      </c>
      <c r="H132" s="8" t="inlineStr">
        <is>
          <t>1</t>
        </is>
      </c>
      <c r="I132" s="8" t="inlineStr">
        <is>
          <t>1</t>
        </is>
      </c>
      <c r="J132" s="8" t="inlineStr">
        <is>
          <t>1</t>
        </is>
      </c>
      <c r="K132" s="9" t="inlineStr">
        <is>
          <t>0</t>
        </is>
      </c>
      <c r="L132" s="9" t="inlineStr">
        <is>
          <t>1</t>
        </is>
      </c>
      <c r="M132" s="9" t="inlineStr">
        <is>
          <t>0</t>
        </is>
      </c>
      <c r="N132" s="9" t="inlineStr">
        <is>
          <t>0</t>
        </is>
      </c>
      <c r="O132" s="10" t="inlineStr">
        <is>
          <t>1</t>
        </is>
      </c>
      <c r="P132" s="10" t="inlineStr">
        <is>
          <t>1</t>
        </is>
      </c>
      <c r="Q132" s="10" t="inlineStr">
        <is>
          <t>1</t>
        </is>
      </c>
      <c r="R132" s="10" t="inlineStr">
        <is>
          <t>0</t>
        </is>
      </c>
      <c r="S132" s="10" t="inlineStr">
        <is>
          <t>0</t>
        </is>
      </c>
    </row>
    <row r="133" ht="409.5" customHeight="1">
      <c r="A133" s="6">
        <f>IFERROR(__xludf.DUMMYFUNCTION("""COMPUTED_VALUE"""),"The color of the light")</f>
        <v/>
      </c>
      <c r="B133" s="6">
        <f>IFERROR(__xludf.DUMMYFUNCTION("""COMPUTED_VALUE"""),"Resource")</f>
        <v/>
      </c>
      <c r="C133" s="6">
        <f>IFERROR(__xludf.DUMMYFUNCTION("""COMPUTED_VALUE"""),"Hints.graasp")</f>
        <v/>
      </c>
      <c r="D133" s="7">
        <f>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
      </c>
      <c r="E133" s="7">
        <f>IFERROR(__xludf.DUMMYFUNCTION("""COMPUTED_VALUE"""),"No artifact embedded")</f>
        <v/>
      </c>
      <c r="F133" s="7" t="inlineStr">
        <is>
          <t>Students received task descriptions and embedded artifacts for labs, including a research question tool and color experiments with virtual and remote labs.</t>
        </is>
      </c>
      <c r="G133" s="8" t="inlineStr">
        <is>
          <t>1</t>
        </is>
      </c>
      <c r="H133" s="8" t="inlineStr">
        <is>
          <t>0</t>
        </is>
      </c>
      <c r="I133" s="8" t="inlineStr">
        <is>
          <t>0</t>
        </is>
      </c>
      <c r="J133" s="8" t="inlineStr">
        <is>
          <t>0</t>
        </is>
      </c>
      <c r="K133" s="9" t="inlineStr">
        <is>
          <t>1</t>
        </is>
      </c>
      <c r="L133" s="9" t="inlineStr">
        <is>
          <t>0</t>
        </is>
      </c>
      <c r="M133" s="9" t="inlineStr">
        <is>
          <t>0</t>
        </is>
      </c>
      <c r="N133" s="9" t="inlineStr">
        <is>
          <t>0</t>
        </is>
      </c>
      <c r="O133" s="10" t="inlineStr">
        <is>
          <t>1</t>
        </is>
      </c>
      <c r="P133" s="10" t="inlineStr">
        <is>
          <t>1</t>
        </is>
      </c>
      <c r="Q133" s="10" t="inlineStr">
        <is>
          <t>1</t>
        </is>
      </c>
      <c r="R133" s="10" t="inlineStr">
        <is>
          <t>0</t>
        </is>
      </c>
      <c r="S133" s="10" t="inlineStr">
        <is>
          <t>0</t>
        </is>
      </c>
    </row>
    <row r="134" ht="109" customHeight="1">
      <c r="A134" s="6">
        <f>IFERROR(__xludf.DUMMYFUNCTION("""COMPUTED_VALUE"""),"The color of the light")</f>
        <v/>
      </c>
      <c r="B134" s="6">
        <f>IFERROR(__xludf.DUMMYFUNCTION("""COMPUTED_VALUE"""),"Resource")</f>
        <v/>
      </c>
      <c r="C134" s="6">
        <f>IFERROR(__xludf.DUMMYFUNCTION("""COMPUTED_VALUE"""),"Mixing Colors.swf")</f>
        <v/>
      </c>
      <c r="D134" s="7">
        <f>IFERROR(__xludf.DUMMYFUNCTION("""COMPUTED_VALUE"""),"No task description")</f>
        <v/>
      </c>
      <c r="E134" s="7">
        <f>IFERROR(__xludf.DUMMYFUNCTION("""COMPUTED_VALUE"""),"application/x-shockwave-flash – An interactive Flash animation or application, formerly used for web games and media (now deprecated).")</f>
        <v/>
      </c>
      <c r="F134" s="7" t="inlineStr">
        <is>
          <t>Students are instructed to conduct experiments on color representation. Embedded artifacts include virtual labs and a Flash animation.</t>
        </is>
      </c>
      <c r="G134" s="8" t="inlineStr">
        <is>
          <t>1</t>
        </is>
      </c>
      <c r="H134" s="8" t="inlineStr">
        <is>
          <t>1</t>
        </is>
      </c>
      <c r="I134" s="8" t="inlineStr">
        <is>
          <t>0</t>
        </is>
      </c>
      <c r="J134" s="8" t="inlineStr">
        <is>
          <t>0</t>
        </is>
      </c>
      <c r="K134" s="9" t="inlineStr">
        <is>
          <t>1</t>
        </is>
      </c>
      <c r="L134" s="9" t="inlineStr">
        <is>
          <t>0</t>
        </is>
      </c>
      <c r="M134" s="9" t="inlineStr">
        <is>
          <t>0</t>
        </is>
      </c>
      <c r="N134" s="9" t="inlineStr">
        <is>
          <t>0</t>
        </is>
      </c>
      <c r="O134" s="10" t="inlineStr">
        <is>
          <t>0</t>
        </is>
      </c>
      <c r="P134" s="10" t="inlineStr">
        <is>
          <t>0</t>
        </is>
      </c>
      <c r="Q134" s="10" t="inlineStr">
        <is>
          <t>0</t>
        </is>
      </c>
      <c r="R134" s="10" t="inlineStr">
        <is>
          <t>0</t>
        </is>
      </c>
      <c r="S134" s="10" t="inlineStr">
        <is>
          <t>0</t>
        </is>
      </c>
    </row>
    <row r="135" ht="395" customHeight="1">
      <c r="A135" s="6">
        <f>IFERROR(__xludf.DUMMYFUNCTION("""COMPUTED_VALUE"""),"The color of the light")</f>
        <v/>
      </c>
      <c r="B135" s="6">
        <f>IFERROR(__xludf.DUMMYFUNCTION("""COMPUTED_VALUE"""),"Application")</f>
        <v/>
      </c>
      <c r="C135" s="6">
        <f>IFERROR(__xludf.DUMMYFUNCTION("""COMPUTED_VALUE"""),"Observation Tool")</f>
        <v/>
      </c>
      <c r="D135" s="7">
        <f>IFERROR(__xludf.DUMMYFUNCTION("""COMPUTED_VALUE"""),"No task description")</f>
        <v/>
      </c>
      <c r="E13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135" s="7" t="inlineStr">
        <is>
          <t>Students are given tips on research and experiment design. Embedded artifacts include a Flash animation, an observation tool (Golabz app/lab), and an RGB LED laboratory.</t>
        </is>
      </c>
      <c r="G135" s="8" t="inlineStr">
        <is>
          <t>0</t>
        </is>
      </c>
      <c r="H135" s="8" t="inlineStr">
        <is>
          <t>1</t>
        </is>
      </c>
      <c r="I135" s="8" t="inlineStr">
        <is>
          <t>1</t>
        </is>
      </c>
      <c r="J135" s="8" t="inlineStr">
        <is>
          <t>1</t>
        </is>
      </c>
      <c r="K135" s="9" t="inlineStr">
        <is>
          <t>0</t>
        </is>
      </c>
      <c r="L135" s="9" t="inlineStr">
        <is>
          <t>1</t>
        </is>
      </c>
      <c r="M135" s="9" t="inlineStr">
        <is>
          <t>1</t>
        </is>
      </c>
      <c r="N135" s="9" t="inlineStr">
        <is>
          <t>1</t>
        </is>
      </c>
      <c r="O135" s="10" t="inlineStr">
        <is>
          <t>0</t>
        </is>
      </c>
      <c r="P135" s="10" t="inlineStr">
        <is>
          <t>0</t>
        </is>
      </c>
      <c r="Q135" s="10" t="inlineStr">
        <is>
          <t>1</t>
        </is>
      </c>
      <c r="R135" s="10" t="inlineStr">
        <is>
          <t>1</t>
        </is>
      </c>
      <c r="S135" s="10" t="inlineStr">
        <is>
          <t>1</t>
        </is>
      </c>
    </row>
    <row r="136" ht="409.5" customHeight="1">
      <c r="A136" s="6">
        <f>IFERROR(__xludf.DUMMYFUNCTION("""COMPUTED_VALUE"""),"The color of the light")</f>
        <v/>
      </c>
      <c r="B136" s="6">
        <f>IFERROR(__xludf.DUMMYFUNCTION("""COMPUTED_VALUE"""),"Application")</f>
        <v/>
      </c>
      <c r="C136" s="6">
        <f>IFERROR(__xludf.DUMMYFUNCTION("""COMPUTED_VALUE"""),"The color of the light Laboratory")</f>
        <v/>
      </c>
      <c r="D136" s="7">
        <f>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
      </c>
      <c r="E136" s="7">
        <f>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
      </c>
      <c r="F136" s="7" t="inlineStr">
        <is>
          <t>Students received no task descriptions for Items 1 and 2. Item 3 instructed them to experiment with RGB LED colors using Golabz app/lab.</t>
        </is>
      </c>
      <c r="G136" s="8" t="inlineStr">
        <is>
          <t>0</t>
        </is>
      </c>
      <c r="H136" s="8" t="inlineStr">
        <is>
          <t>1</t>
        </is>
      </c>
      <c r="I136" s="8" t="inlineStr">
        <is>
          <t>1</t>
        </is>
      </c>
      <c r="J136" s="8" t="inlineStr">
        <is>
          <t>1</t>
        </is>
      </c>
      <c r="K136" s="9" t="inlineStr">
        <is>
          <t>0</t>
        </is>
      </c>
      <c r="L136" s="9" t="inlineStr">
        <is>
          <t>0</t>
        </is>
      </c>
      <c r="M136" s="9" t="inlineStr">
        <is>
          <t>0</t>
        </is>
      </c>
      <c r="N136" s="9" t="inlineStr">
        <is>
          <t>0</t>
        </is>
      </c>
      <c r="O136" s="10" t="inlineStr">
        <is>
          <t>1</t>
        </is>
      </c>
      <c r="P136" s="10" t="inlineStr">
        <is>
          <t>1</t>
        </is>
      </c>
      <c r="Q136" s="10" t="inlineStr">
        <is>
          <t>1</t>
        </is>
      </c>
      <c r="R136" s="10" t="inlineStr">
        <is>
          <t>0</t>
        </is>
      </c>
      <c r="S136" s="10" t="inlineStr">
        <is>
          <t>0</t>
        </is>
      </c>
    </row>
    <row r="137" ht="241" customHeight="1">
      <c r="A137" s="6">
        <f>IFERROR(__xludf.DUMMYFUNCTION("""COMPUTED_VALUE"""),"The color of the light")</f>
        <v/>
      </c>
      <c r="B137" s="6">
        <f>IFERROR(__xludf.DUMMYFUNCTION("""COMPUTED_VALUE"""),"Resource")</f>
        <v/>
      </c>
      <c r="C137" s="6">
        <f>IFERROR(__xludf.DUMMYFUNCTION("""COMPUTED_VALUE"""),"End.graasp")</f>
        <v/>
      </c>
      <c r="D137" s="7">
        <f>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
      </c>
      <c r="E137" s="7">
        <f>IFERROR(__xludf.DUMMYFUNCTION("""COMPUTED_VALUE"""),"No artifact embedded")</f>
        <v/>
      </c>
      <c r="F137" s="7" t="inlineStr">
        <is>
          <t>Students are instructed to conduct experiments using Golabz app/lab, record observations, and analyze data to draw conclusions about light and colors. Embedded artifacts include interactive labs and tools for experimentation and collaboration.</t>
        </is>
      </c>
      <c r="G137" s="8" t="inlineStr">
        <is>
          <t>0</t>
        </is>
      </c>
      <c r="H137" s="8" t="inlineStr">
        <is>
          <t>0</t>
        </is>
      </c>
      <c r="I137" s="8" t="inlineStr">
        <is>
          <t>1</t>
        </is>
      </c>
      <c r="J137" s="8" t="inlineStr">
        <is>
          <t>1</t>
        </is>
      </c>
      <c r="K137" s="9" t="inlineStr">
        <is>
          <t>0</t>
        </is>
      </c>
      <c r="L137" s="9" t="inlineStr">
        <is>
          <t>1</t>
        </is>
      </c>
      <c r="M137" s="9" t="inlineStr">
        <is>
          <t>0</t>
        </is>
      </c>
      <c r="N137" s="9" t="inlineStr">
        <is>
          <t>0</t>
        </is>
      </c>
      <c r="O137" s="10" t="inlineStr">
        <is>
          <t>0</t>
        </is>
      </c>
      <c r="P137" s="10" t="inlineStr">
        <is>
          <t>1</t>
        </is>
      </c>
      <c r="Q137" s="10" t="inlineStr">
        <is>
          <t>0</t>
        </is>
      </c>
      <c r="R137" s="10" t="inlineStr">
        <is>
          <t>1</t>
        </is>
      </c>
      <c r="S137" s="10" t="inlineStr">
        <is>
          <t>1</t>
        </is>
      </c>
    </row>
    <row r="138" ht="329" customHeight="1">
      <c r="A138" s="6">
        <f>IFERROR(__xludf.DUMMYFUNCTION("""COMPUTED_VALUE"""),"The color of the light")</f>
        <v/>
      </c>
      <c r="B138" s="6">
        <f>IFERROR(__xludf.DUMMYFUNCTION("""COMPUTED_VALUE"""),"Application")</f>
        <v/>
      </c>
      <c r="C138" s="6">
        <f>IFERROR(__xludf.DUMMYFUNCTION("""COMPUTED_VALUE"""),"Input Box")</f>
        <v/>
      </c>
      <c r="D138" s="7">
        <f>IFERROR(__xludf.DUMMYFUNCTION("""COMPUTED_VALUE"""),"No task description")</f>
        <v/>
      </c>
      <c r="E1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38" s="7" t="inlineStr">
        <is>
          <t>Students experiment with RGB LED, adjusting sliders to investigate color combinations and perceive differences between reality and theory. Embedded artifacts include Golabz app/lab and input box for note-taking.</t>
        </is>
      </c>
      <c r="G138" s="8" t="inlineStr">
        <is>
          <t>0</t>
        </is>
      </c>
      <c r="H138" s="8" t="inlineStr">
        <is>
          <t>1</t>
        </is>
      </c>
      <c r="I138" s="8" t="inlineStr">
        <is>
          <t>1</t>
        </is>
      </c>
      <c r="J138" s="8" t="inlineStr">
        <is>
          <t>1</t>
        </is>
      </c>
      <c r="K138" s="9" t="inlineStr">
        <is>
          <t>0</t>
        </is>
      </c>
      <c r="L138" s="9" t="inlineStr">
        <is>
          <t>1</t>
        </is>
      </c>
      <c r="M138" s="9" t="inlineStr">
        <is>
          <t>1</t>
        </is>
      </c>
      <c r="N138" s="9" t="inlineStr">
        <is>
          <t>1</t>
        </is>
      </c>
      <c r="O138" s="10" t="inlineStr">
        <is>
          <t>0</t>
        </is>
      </c>
      <c r="P138" s="10" t="inlineStr">
        <is>
          <t>0</t>
        </is>
      </c>
      <c r="Q138" s="10" t="inlineStr">
        <is>
          <t>0</t>
        </is>
      </c>
      <c r="R138" s="10" t="inlineStr">
        <is>
          <t>0</t>
        </is>
      </c>
      <c r="S138" s="10" t="inlineStr">
        <is>
          <t>1</t>
        </is>
      </c>
    </row>
    <row r="139" ht="296" customHeight="1">
      <c r="A139" s="6">
        <f>IFERROR(__xludf.DUMMYFUNCTION("""COMPUTED_VALUE"""),"The color of the light")</f>
        <v/>
      </c>
      <c r="B139" s="6">
        <f>IFERROR(__xludf.DUMMYFUNCTION("""COMPUTED_VALUE"""),"Space")</f>
        <v/>
      </c>
      <c r="C139" s="6">
        <f>IFERROR(__xludf.DUMMYFUNCTION("""COMPUTED_VALUE"""),"Conclusion")</f>
        <v/>
      </c>
      <c r="D139" s="7">
        <f>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
      </c>
      <c r="E139" s="7">
        <f>IFERROR(__xludf.DUMMYFUNCTION("""COMPUTED_VALUE"""),"No artifact embedded")</f>
        <v/>
      </c>
      <c r="F139" s="7" t="inlineStr">
        <is>
          <t>Students answer color-mixing questions and record notes using an app, then reflect on their findings and research question.</t>
        </is>
      </c>
      <c r="G139" s="8" t="inlineStr">
        <is>
          <t>0</t>
        </is>
      </c>
      <c r="H139" s="8" t="inlineStr">
        <is>
          <t>0</t>
        </is>
      </c>
      <c r="I139" s="8" t="inlineStr">
        <is>
          <t>1</t>
        </is>
      </c>
      <c r="J139" s="8" t="inlineStr">
        <is>
          <t>1</t>
        </is>
      </c>
      <c r="K139" s="9" t="inlineStr">
        <is>
          <t>0</t>
        </is>
      </c>
      <c r="L139" s="9" t="inlineStr">
        <is>
          <t>1</t>
        </is>
      </c>
      <c r="M139" s="9" t="inlineStr">
        <is>
          <t>0</t>
        </is>
      </c>
      <c r="N139" s="9" t="inlineStr">
        <is>
          <t>0</t>
        </is>
      </c>
      <c r="O139" s="10" t="inlineStr">
        <is>
          <t>0</t>
        </is>
      </c>
      <c r="P139" s="10" t="inlineStr">
        <is>
          <t>1</t>
        </is>
      </c>
      <c r="Q139" s="10" t="inlineStr">
        <is>
          <t>0</t>
        </is>
      </c>
      <c r="R139" s="10" t="inlineStr">
        <is>
          <t>1</t>
        </is>
      </c>
      <c r="S139" s="10" t="inlineStr">
        <is>
          <t>1</t>
        </is>
      </c>
    </row>
    <row r="140" ht="409.5" customHeight="1">
      <c r="A140" s="6">
        <f>IFERROR(__xludf.DUMMYFUNCTION("""COMPUTED_VALUE"""),"The color of the light")</f>
        <v/>
      </c>
      <c r="B140" s="6">
        <f>IFERROR(__xludf.DUMMYFUNCTION("""COMPUTED_VALUE"""),"Resource")</f>
        <v/>
      </c>
      <c r="C140" s="6">
        <f>IFERROR(__xludf.DUMMYFUNCTION("""COMPUTED_VALUE"""),"Hints.graasp")</f>
        <v/>
      </c>
      <c r="D140" s="7">
        <f>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
      </c>
      <c r="E140" s="7">
        <f>IFERROR(__xludf.DUMMYFUNCTION("""COMPUTED_VALUE"""),"No artifact embedded")</f>
        <v/>
      </c>
      <c r="F140" s="7" t="inlineStr">
        <is>
          <t>Students are given tasks and tools, including the Golabz app and conclusion tool, to conduct experiments and draw conclusions.</t>
        </is>
      </c>
      <c r="G140" s="8" t="inlineStr">
        <is>
          <t>1</t>
        </is>
      </c>
      <c r="H140" s="8" t="inlineStr">
        <is>
          <t>0</t>
        </is>
      </c>
      <c r="I140" s="8" t="inlineStr">
        <is>
          <t>0</t>
        </is>
      </c>
      <c r="J140" s="8" t="inlineStr">
        <is>
          <t>0</t>
        </is>
      </c>
      <c r="K140" s="9" t="inlineStr">
        <is>
          <t>1</t>
        </is>
      </c>
      <c r="L140" s="9" t="inlineStr">
        <is>
          <t>0</t>
        </is>
      </c>
      <c r="M140" s="9" t="inlineStr">
        <is>
          <t>0</t>
        </is>
      </c>
      <c r="N140" s="9" t="inlineStr">
        <is>
          <t>0</t>
        </is>
      </c>
      <c r="O140" s="10" t="inlineStr">
        <is>
          <t>1</t>
        </is>
      </c>
      <c r="P140" s="10" t="inlineStr">
        <is>
          <t>0</t>
        </is>
      </c>
      <c r="Q140" s="10" t="inlineStr">
        <is>
          <t>0</t>
        </is>
      </c>
      <c r="R140" s="10" t="inlineStr">
        <is>
          <t>0</t>
        </is>
      </c>
      <c r="S140" s="10" t="inlineStr">
        <is>
          <t>0</t>
        </is>
      </c>
    </row>
    <row r="141" ht="409.5" customHeight="1">
      <c r="A141" s="6">
        <f>IFERROR(__xludf.DUMMYFUNCTION("""COMPUTED_VALUE"""),"The color of the light")</f>
        <v/>
      </c>
      <c r="B141" s="6">
        <f>IFERROR(__xludf.DUMMYFUNCTION("""COMPUTED_VALUE"""),"Application")</f>
        <v/>
      </c>
      <c r="C141" s="6">
        <f>IFERROR(__xludf.DUMMYFUNCTION("""COMPUTED_VALUE"""),"Conclusion Tool")</f>
        <v/>
      </c>
      <c r="D141" s="7">
        <f>IFERROR(__xludf.DUMMYFUNCTION("""COMPUTED_VALUE"""),"No task description")</f>
        <v/>
      </c>
      <c r="E14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141" s="7" t="inlineStr">
        <is>
          <t>Students: Complete experiments, record observations, and draw conclusions. 
Embedded artifacts: None, except Golabz app/lab in Item3.</t>
        </is>
      </c>
      <c r="G141" s="8" t="inlineStr">
        <is>
          <t>0</t>
        </is>
      </c>
      <c r="H141" s="8" t="inlineStr">
        <is>
          <t>1</t>
        </is>
      </c>
      <c r="I141" s="8" t="inlineStr">
        <is>
          <t>1</t>
        </is>
      </c>
      <c r="J141" s="8" t="inlineStr">
        <is>
          <t>0</t>
        </is>
      </c>
      <c r="K141" s="9" t="inlineStr">
        <is>
          <t>0</t>
        </is>
      </c>
      <c r="L141" s="9" t="inlineStr">
        <is>
          <t>1</t>
        </is>
      </c>
      <c r="M141" s="9" t="inlineStr">
        <is>
          <t>0</t>
        </is>
      </c>
      <c r="N141" s="9" t="inlineStr">
        <is>
          <t>0</t>
        </is>
      </c>
      <c r="O141" s="10" t="inlineStr">
        <is>
          <t>0</t>
        </is>
      </c>
      <c r="P141" s="10" t="inlineStr">
        <is>
          <t>1</t>
        </is>
      </c>
      <c r="Q141" s="10" t="inlineStr">
        <is>
          <t>0</t>
        </is>
      </c>
      <c r="R141" s="10" t="inlineStr">
        <is>
          <t>1</t>
        </is>
      </c>
      <c r="S141" s="10" t="inlineStr">
        <is>
          <t>1</t>
        </is>
      </c>
    </row>
    <row r="142" ht="409.5" customHeight="1">
      <c r="A142" s="6">
        <f>IFERROR(__xludf.DUMMYFUNCTION("""COMPUTED_VALUE"""),"The color of the light")</f>
        <v/>
      </c>
      <c r="B142" s="6">
        <f>IFERROR(__xludf.DUMMYFUNCTION("""COMPUTED_VALUE"""),"Resource")</f>
        <v/>
      </c>
      <c r="C142" s="6">
        <f>IFERROR(__xludf.DUMMYFUNCTION("""COMPUTED_VALUE"""),"Text block after conclusion.graasp")</f>
        <v/>
      </c>
      <c r="D142" s="7">
        <f>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
      </c>
      <c r="E142" s="7">
        <f>IFERROR(__xludf.DUMMYFUNCTION("""COMPUTED_VALUE"""),"No artifact embedded")</f>
        <v/>
      </c>
      <c r="F142" s="7" t="inlineStr">
        <is>
          <t>Students are given tips on writing conclusions and using tools to draw conclusions from experiment results. Embedded artifacts include a conclusion tool and Golabz app/lab with configurable settings.</t>
        </is>
      </c>
      <c r="G142" s="8" t="inlineStr">
        <is>
          <t>0</t>
        </is>
      </c>
      <c r="H142" s="8" t="inlineStr">
        <is>
          <t>0</t>
        </is>
      </c>
      <c r="I142" s="8" t="inlineStr">
        <is>
          <t>0</t>
        </is>
      </c>
      <c r="J142" s="8" t="inlineStr">
        <is>
          <t>1</t>
        </is>
      </c>
      <c r="K142" s="9" t="inlineStr">
        <is>
          <t>1</t>
        </is>
      </c>
      <c r="L142" s="9" t="inlineStr">
        <is>
          <t>1</t>
        </is>
      </c>
      <c r="M142" s="9" t="inlineStr">
        <is>
          <t>0</t>
        </is>
      </c>
      <c r="N142" s="9" t="inlineStr">
        <is>
          <t>0</t>
        </is>
      </c>
      <c r="O142" s="10" t="inlineStr">
        <is>
          <t>1</t>
        </is>
      </c>
      <c r="P142" s="10" t="inlineStr">
        <is>
          <t>1</t>
        </is>
      </c>
      <c r="Q142" s="10" t="inlineStr">
        <is>
          <t>1</t>
        </is>
      </c>
      <c r="R142" s="10" t="inlineStr">
        <is>
          <t>1</t>
        </is>
      </c>
      <c r="S142" s="10" t="inlineStr">
        <is>
          <t>1</t>
        </is>
      </c>
    </row>
    <row r="143" ht="25" customHeight="1">
      <c r="A143" s="6">
        <f>IFERROR(__xludf.DUMMYFUNCTION("""COMPUTED_VALUE"""),"The color of the light")</f>
        <v/>
      </c>
      <c r="B143" s="6">
        <f>IFERROR(__xludf.DUMMYFUNCTION("""COMPUTED_VALUE"""),"Space")</f>
        <v/>
      </c>
      <c r="C143" s="6">
        <f>IFERROR(__xludf.DUMMYFUNCTION("""COMPUTED_VALUE"""),"Discussion")</f>
        <v/>
      </c>
      <c r="D143" s="7">
        <f>IFERROR(__xludf.DUMMYFUNCTION("""COMPUTED_VALUE"""),"No task description")</f>
        <v/>
      </c>
      <c r="E143" s="7">
        <f>IFERROR(__xludf.DUMMYFUNCTION("""COMPUTED_VALUE"""),"No artifact embedded")</f>
        <v/>
      </c>
      <c r="F143" s="7" t="inlineStr">
        <is>
          <t>Students are given tasks and tools, including the Golabz app, to test hypotheses and answer questions with data graphs and observations.</t>
        </is>
      </c>
      <c r="G143" s="8" t="inlineStr">
        <is>
          <t>0</t>
        </is>
      </c>
      <c r="H143" s="8" t="inlineStr">
        <is>
          <t>0</t>
        </is>
      </c>
      <c r="I143" s="8" t="inlineStr">
        <is>
          <t>0</t>
        </is>
      </c>
      <c r="J143" s="8" t="inlineStr">
        <is>
          <t>0</t>
        </is>
      </c>
      <c r="K143" s="9" t="inlineStr">
        <is>
          <t>0</t>
        </is>
      </c>
      <c r="L143" s="9" t="inlineStr">
        <is>
          <t>0</t>
        </is>
      </c>
      <c r="M143" s="9" t="inlineStr">
        <is>
          <t>0</t>
        </is>
      </c>
      <c r="N143" s="9" t="inlineStr">
        <is>
          <t>0</t>
        </is>
      </c>
      <c r="O143" s="10" t="inlineStr">
        <is>
          <t>0</t>
        </is>
      </c>
      <c r="P143" s="10" t="inlineStr">
        <is>
          <t>0</t>
        </is>
      </c>
      <c r="Q143" s="10" t="inlineStr">
        <is>
          <t>0</t>
        </is>
      </c>
      <c r="R143" s="10" t="inlineStr">
        <is>
          <t>0</t>
        </is>
      </c>
      <c r="S143" s="10" t="inlineStr">
        <is>
          <t>0</t>
        </is>
      </c>
    </row>
    <row r="144" ht="409.5" customHeight="1">
      <c r="A144" s="6">
        <f>IFERROR(__xludf.DUMMYFUNCTION("""COMPUTED_VALUE"""),"The color of the light")</f>
        <v/>
      </c>
      <c r="B144" s="6">
        <f>IFERROR(__xludf.DUMMYFUNCTION("""COMPUTED_VALUE"""),"Resource")</f>
        <v/>
      </c>
      <c r="C144" s="6">
        <f>IFERROR(__xludf.DUMMYFUNCTION("""COMPUTED_VALUE"""),"Intro.graasp")</f>
        <v/>
      </c>
      <c r="D144" s="7">
        <f>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
      </c>
      <c r="E144" s="7">
        <f>IFERROR(__xludf.DUMMYFUNCTION("""COMPUTED_VALUE"""),"No artifact embedded")</f>
        <v/>
      </c>
      <c r="F144" s="7" t="inlineStr">
        <is>
          <t>Students were given tasks to reflect on their experiment results and compare with prior learning, with guiding questions to facilitate analysis. No artifacts are embedded in any items.</t>
        </is>
      </c>
      <c r="G144" s="8" t="inlineStr">
        <is>
          <t>0</t>
        </is>
      </c>
      <c r="H144" s="8" t="inlineStr">
        <is>
          <t>0</t>
        </is>
      </c>
      <c r="I144" s="8" t="inlineStr">
        <is>
          <t>1</t>
        </is>
      </c>
      <c r="J144" s="8" t="inlineStr">
        <is>
          <t>1</t>
        </is>
      </c>
      <c r="K144" s="9" t="inlineStr">
        <is>
          <t>0</t>
        </is>
      </c>
      <c r="L144" s="9" t="inlineStr">
        <is>
          <t>1</t>
        </is>
      </c>
      <c r="M144" s="9" t="inlineStr">
        <is>
          <t>0</t>
        </is>
      </c>
      <c r="N144" s="9" t="inlineStr">
        <is>
          <t>0</t>
        </is>
      </c>
      <c r="O144" s="10" t="inlineStr">
        <is>
          <t>0</t>
        </is>
      </c>
      <c r="P144" s="10" t="inlineStr">
        <is>
          <t>0</t>
        </is>
      </c>
      <c r="Q144" s="10" t="inlineStr">
        <is>
          <t>0</t>
        </is>
      </c>
      <c r="R144" s="10" t="inlineStr">
        <is>
          <t>1</t>
        </is>
      </c>
      <c r="S144" s="10" t="inlineStr">
        <is>
          <t>1</t>
        </is>
      </c>
    </row>
    <row r="145" ht="329" customHeight="1">
      <c r="A145" s="6">
        <f>IFERROR(__xludf.DUMMYFUNCTION("""COMPUTED_VALUE"""),"The color of the light")</f>
        <v/>
      </c>
      <c r="B145" s="6">
        <f>IFERROR(__xludf.DUMMYFUNCTION("""COMPUTED_VALUE"""),"Application")</f>
        <v/>
      </c>
      <c r="C145" s="6">
        <f>IFERROR(__xludf.DUMMYFUNCTION("""COMPUTED_VALUE"""),"Input Box")</f>
        <v/>
      </c>
      <c r="D145" s="7">
        <f>IFERROR(__xludf.DUMMYFUNCTION("""COMPUTED_VALUE"""),"No task description")</f>
        <v/>
      </c>
      <c r="E1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45" s="7" t="inlineStr">
        <is>
          <t>Students compare experiment results with learned concepts and reflect on differences or similarities, with no embedded artifacts provided.</t>
        </is>
      </c>
      <c r="G145" s="8" t="inlineStr">
        <is>
          <t>0</t>
        </is>
      </c>
      <c r="H145" s="8" t="inlineStr">
        <is>
          <t>1</t>
        </is>
      </c>
      <c r="I145" s="8" t="inlineStr">
        <is>
          <t>1</t>
        </is>
      </c>
      <c r="J145" s="8" t="inlineStr">
        <is>
          <t>1</t>
        </is>
      </c>
      <c r="K145" s="9" t="inlineStr">
        <is>
          <t>0</t>
        </is>
      </c>
      <c r="L145" s="9" t="inlineStr">
        <is>
          <t>1</t>
        </is>
      </c>
      <c r="M145" s="9" t="inlineStr">
        <is>
          <t>0</t>
        </is>
      </c>
      <c r="N145" s="9" t="inlineStr">
        <is>
          <t>1</t>
        </is>
      </c>
      <c r="O145" s="10" t="inlineStr">
        <is>
          <t>0</t>
        </is>
      </c>
      <c r="P145" s="10" t="inlineStr">
        <is>
          <t>0</t>
        </is>
      </c>
      <c r="Q145" s="10" t="inlineStr">
        <is>
          <t>0</t>
        </is>
      </c>
      <c r="R145" s="10" t="inlineStr">
        <is>
          <t>0</t>
        </is>
      </c>
      <c r="S145" s="10" t="inlineStr">
        <is>
          <t>1</t>
        </is>
      </c>
    </row>
    <row r="146" ht="193" customHeight="1">
      <c r="A146" s="6">
        <f>IFERROR(__xludf.DUMMYFUNCTION("""COMPUTED_VALUE"""),"The color of the light")</f>
        <v/>
      </c>
      <c r="B146" s="6">
        <f>IFERROR(__xludf.DUMMYFUNCTION("""COMPUTED_VALUE"""),"Resource")</f>
        <v/>
      </c>
      <c r="C146" s="6">
        <f>IFERROR(__xludf.DUMMYFUNCTION("""COMPUTED_VALUE"""),"Report.graasp")</f>
        <v/>
      </c>
      <c r="D146" s="7">
        <f>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
      </c>
      <c r="E146" s="7">
        <f>IFERROR(__xludf.DUMMYFUNCTION("""COMPUTED_VALUE"""),"No artifact embedded")</f>
        <v/>
      </c>
      <c r="F146" s="7" t="inlineStr">
        <is>
          <t>Students compare experiment results with prior learning, reflecting on similarities/differences, and consider improvements/next steps. Embedded artifacts include an input box app for note-taking and collaboration.</t>
        </is>
      </c>
      <c r="G146" s="8" t="inlineStr">
        <is>
          <t>1</t>
        </is>
      </c>
      <c r="H146" s="8" t="inlineStr">
        <is>
          <t>0</t>
        </is>
      </c>
      <c r="I146" s="8" t="inlineStr">
        <is>
          <t>0</t>
        </is>
      </c>
      <c r="J146" s="8" t="inlineStr">
        <is>
          <t>0</t>
        </is>
      </c>
      <c r="K146" s="9" t="inlineStr">
        <is>
          <t>1</t>
        </is>
      </c>
      <c r="L146" s="9" t="inlineStr">
        <is>
          <t>1</t>
        </is>
      </c>
      <c r="M146" s="9" t="inlineStr">
        <is>
          <t>0</t>
        </is>
      </c>
      <c r="N146" s="9" t="inlineStr">
        <is>
          <t>0</t>
        </is>
      </c>
      <c r="O146" s="10" t="inlineStr">
        <is>
          <t>0</t>
        </is>
      </c>
      <c r="P146" s="10" t="inlineStr">
        <is>
          <t>0</t>
        </is>
      </c>
      <c r="Q146" s="10" t="inlineStr">
        <is>
          <t>0</t>
        </is>
      </c>
      <c r="R146" s="10" t="inlineStr">
        <is>
          <t>0</t>
        </is>
      </c>
      <c r="S146" s="10" t="inlineStr">
        <is>
          <t>0</t>
        </is>
      </c>
    </row>
    <row r="147" ht="409.5" customHeight="1">
      <c r="A147" s="6">
        <f>IFERROR(__xludf.DUMMYFUNCTION("""COMPUTED_VALUE"""),"The color of the light")</f>
        <v/>
      </c>
      <c r="B147" s="6">
        <f>IFERROR(__xludf.DUMMYFUNCTION("""COMPUTED_VALUE"""),"Application")</f>
        <v/>
      </c>
      <c r="C147" s="6">
        <f>IFERROR(__xludf.DUMMYFUNCTION("""COMPUTED_VALUE"""),"Report tool")</f>
        <v/>
      </c>
      <c r="D147" s="7">
        <f>IFERROR(__xludf.DUMMYFUNCTION("""COMPUTED_VALUE"""),"No task description")</f>
        <v/>
      </c>
      <c r="E147"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147" s="7" t="inlineStr">
        <is>
          <t>Students received task descriptions and used Golabz apps with various tools, such as note-taking and report tools.</t>
        </is>
      </c>
      <c r="G147" s="8" t="inlineStr">
        <is>
          <t>1</t>
        </is>
      </c>
      <c r="H147" s="8" t="inlineStr">
        <is>
          <t>0</t>
        </is>
      </c>
      <c r="I147" s="8" t="inlineStr">
        <is>
          <t>1</t>
        </is>
      </c>
      <c r="J147" s="8" t="inlineStr">
        <is>
          <t>0</t>
        </is>
      </c>
      <c r="K147" s="9" t="inlineStr">
        <is>
          <t>0</t>
        </is>
      </c>
      <c r="L147" s="9" t="inlineStr">
        <is>
          <t>1</t>
        </is>
      </c>
      <c r="M147" s="9" t="inlineStr">
        <is>
          <t>0</t>
        </is>
      </c>
      <c r="N147" s="9" t="inlineStr">
        <is>
          <t>0</t>
        </is>
      </c>
      <c r="O147" s="10" t="inlineStr">
        <is>
          <t>0</t>
        </is>
      </c>
      <c r="P147" s="10" t="inlineStr">
        <is>
          <t>1</t>
        </is>
      </c>
      <c r="Q147" s="10" t="inlineStr">
        <is>
          <t>0</t>
        </is>
      </c>
      <c r="R147" s="10" t="inlineStr">
        <is>
          <t>1</t>
        </is>
      </c>
      <c r="S147" s="10" t="inlineStr">
        <is>
          <t>1</t>
        </is>
      </c>
    </row>
    <row r="148" ht="25" customHeight="1">
      <c r="A148" s="6">
        <f>IFERROR(__xludf.DUMMYFUNCTION("""COMPUTED_VALUE"""),"Refraction of light 2")</f>
        <v/>
      </c>
      <c r="B148" s="6">
        <f>IFERROR(__xludf.DUMMYFUNCTION("""COMPUTED_VALUE"""),"Space")</f>
        <v/>
      </c>
      <c r="C148" s="6">
        <f>IFERROR(__xludf.DUMMYFUNCTION("""COMPUTED_VALUE"""),"A rainbow")</f>
        <v/>
      </c>
      <c r="D148" s="7">
        <f>IFERROR(__xludf.DUMMYFUNCTION("""COMPUTED_VALUE"""),"No task description")</f>
        <v/>
      </c>
      <c r="E148" s="7">
        <f>IFERROR(__xludf.DUMMYFUNCTION("""COMPUTED_VALUE"""),"No artifact embedded")</f>
        <v/>
      </c>
      <c r="F148" s="7" t="inlineStr">
        <is>
          <t>Students were instructed to save their experiment report and celebrate. Embedded artifacts include a Golabz app/lab for creating final reports with customizable sections.</t>
        </is>
      </c>
      <c r="G148" s="8" t="inlineStr">
        <is>
          <t>0</t>
        </is>
      </c>
      <c r="H148" s="8" t="inlineStr">
        <is>
          <t>0</t>
        </is>
      </c>
      <c r="I148" s="8" t="inlineStr">
        <is>
          <t>0</t>
        </is>
      </c>
      <c r="J148" s="8" t="inlineStr">
        <is>
          <t>0</t>
        </is>
      </c>
      <c r="K148" s="9" t="inlineStr">
        <is>
          <t>0</t>
        </is>
      </c>
      <c r="L148" s="9" t="inlineStr">
        <is>
          <t>0</t>
        </is>
      </c>
      <c r="M148" s="9" t="inlineStr">
        <is>
          <t>0</t>
        </is>
      </c>
      <c r="N148" s="9" t="inlineStr">
        <is>
          <t>0</t>
        </is>
      </c>
      <c r="O148" s="10" t="inlineStr">
        <is>
          <t>0</t>
        </is>
      </c>
      <c r="P148" s="10" t="inlineStr">
        <is>
          <t>0</t>
        </is>
      </c>
      <c r="Q148" s="10" t="inlineStr">
        <is>
          <t>0</t>
        </is>
      </c>
      <c r="R148" s="10" t="inlineStr">
        <is>
          <t>0</t>
        </is>
      </c>
      <c r="S148" s="10" t="inlineStr">
        <is>
          <t>0</t>
        </is>
      </c>
    </row>
    <row r="149" ht="121" customHeight="1">
      <c r="A149" s="6">
        <f>IFERROR(__xludf.DUMMYFUNCTION("""COMPUTED_VALUE"""),"Refraction of light 2")</f>
        <v/>
      </c>
      <c r="B149" s="6">
        <f>IFERROR(__xludf.DUMMYFUNCTION("""COMPUTED_VALUE"""),"Resource")</f>
        <v/>
      </c>
      <c r="C149" s="6">
        <f>IFERROR(__xludf.DUMMYFUNCTION("""COMPUTED_VALUE"""),"rainbow.jpg")</f>
        <v/>
      </c>
      <c r="D149" s="7">
        <f>IFERROR(__xludf.DUMMYFUNCTION("""COMPUTED_VALUE"""),"No task description")</f>
        <v/>
      </c>
      <c r="E149" s="7">
        <f>IFERROR(__xludf.DUMMYFUNCTION("""COMPUTED_VALUE"""),"image/jpeg – A digital photograph or web image stored in a compressed format, often used for photography and web graphics.")</f>
        <v/>
      </c>
      <c r="F149" s="7" t="inlineStr">
        <is>
          <t>No task descriptions provided. Embedded artifacts include Golabz app/lab report tool and a JPEG image.</t>
        </is>
      </c>
      <c r="G149" s="8" t="inlineStr">
        <is>
          <t>1</t>
        </is>
      </c>
      <c r="H149" s="8" t="inlineStr">
        <is>
          <t>0</t>
        </is>
      </c>
      <c r="I149" s="8" t="inlineStr">
        <is>
          <t>0</t>
        </is>
      </c>
      <c r="J149" s="8" t="inlineStr">
        <is>
          <t>0</t>
        </is>
      </c>
      <c r="K149" s="9" t="inlineStr">
        <is>
          <t>1</t>
        </is>
      </c>
      <c r="L149" s="9" t="inlineStr">
        <is>
          <t>0</t>
        </is>
      </c>
      <c r="M149" s="9" t="inlineStr">
        <is>
          <t>0</t>
        </is>
      </c>
      <c r="N149" s="9" t="inlineStr">
        <is>
          <t>0</t>
        </is>
      </c>
      <c r="O149" s="10" t="inlineStr">
        <is>
          <t>0</t>
        </is>
      </c>
      <c r="P149" s="10" t="inlineStr">
        <is>
          <t>0</t>
        </is>
      </c>
      <c r="Q149" s="10" t="inlineStr">
        <is>
          <t>0</t>
        </is>
      </c>
      <c r="R149" s="10" t="inlineStr">
        <is>
          <t>0</t>
        </is>
      </c>
      <c r="S149" s="10" t="inlineStr">
        <is>
          <t>0</t>
        </is>
      </c>
    </row>
    <row r="150" ht="61" customHeight="1">
      <c r="A150" s="6">
        <f>IFERROR(__xludf.DUMMYFUNCTION("""COMPUTED_VALUE"""),"Refraction of light 2")</f>
        <v/>
      </c>
      <c r="B150" s="6">
        <f>IFERROR(__xludf.DUMMYFUNCTION("""COMPUTED_VALUE"""),"Resource")</f>
        <v/>
      </c>
      <c r="C150" s="6">
        <f>IFERROR(__xludf.DUMMYFUNCTION("""COMPUTED_VALUE"""),"Question.graasp")</f>
        <v/>
      </c>
      <c r="D150" s="7">
        <f>IFERROR(__xludf.DUMMYFUNCTION("""COMPUTED_VALUE"""),"&lt;p&gt;Sometimes you can see a rainbow in the sky. When does this happen?&lt;/p&gt;")</f>
        <v/>
      </c>
      <c r="E150" s="7">
        <f>IFERROR(__xludf.DUMMYFUNCTION("""COMPUTED_VALUE"""),"No artifact embedded")</f>
        <v/>
      </c>
      <c r="F150" s="7" t="inlineStr">
        <is>
          <t>Students have no task descriptions, except Item3 on rainbows. Embedded artifacts include a JPEG image in Item2.</t>
        </is>
      </c>
      <c r="G150" s="8" t="inlineStr">
        <is>
          <t>1</t>
        </is>
      </c>
      <c r="H150" s="8" t="inlineStr">
        <is>
          <t>0</t>
        </is>
      </c>
      <c r="I150" s="8" t="inlineStr">
        <is>
          <t>1</t>
        </is>
      </c>
      <c r="J150" s="8" t="inlineStr">
        <is>
          <t>1</t>
        </is>
      </c>
      <c r="K150" s="9" t="inlineStr">
        <is>
          <t>1</t>
        </is>
      </c>
      <c r="L150" s="9" t="inlineStr">
        <is>
          <t>1</t>
        </is>
      </c>
      <c r="M150" s="9" t="inlineStr">
        <is>
          <t>0</t>
        </is>
      </c>
      <c r="N150" s="9" t="inlineStr">
        <is>
          <t>0</t>
        </is>
      </c>
      <c r="O150" s="10" t="inlineStr">
        <is>
          <t>1</t>
        </is>
      </c>
      <c r="P150" s="10" t="inlineStr">
        <is>
          <t>1</t>
        </is>
      </c>
      <c r="Q150" s="10" t="inlineStr">
        <is>
          <t>0</t>
        </is>
      </c>
      <c r="R150" s="10" t="inlineStr">
        <is>
          <t>0</t>
        </is>
      </c>
      <c r="S150" s="10" t="inlineStr">
        <is>
          <t>0</t>
        </is>
      </c>
    </row>
    <row r="151" ht="329" customHeight="1">
      <c r="A151" s="6">
        <f>IFERROR(__xludf.DUMMYFUNCTION("""COMPUTED_VALUE"""),"Refraction of light 2")</f>
        <v/>
      </c>
      <c r="B151" s="6">
        <f>IFERROR(__xludf.DUMMYFUNCTION("""COMPUTED_VALUE"""),"Application")</f>
        <v/>
      </c>
      <c r="C151" s="6">
        <f>IFERROR(__xludf.DUMMYFUNCTION("""COMPUTED_VALUE"""),"Input Box")</f>
        <v/>
      </c>
      <c r="D151" s="7">
        <f>IFERROR(__xludf.DUMMYFUNCTION("""COMPUTED_VALUE"""),"No task description")</f>
        <v/>
      </c>
      <c r="E1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1" s="7" t="inlineStr">
        <is>
          <t>Students received tasks and embedded artifacts, including images, text, and interactive apps like Golabz and Input Box, with varying descriptions and functionalities.</t>
        </is>
      </c>
      <c r="G151" s="8" t="inlineStr">
        <is>
          <t>0</t>
        </is>
      </c>
      <c r="H151" s="8" t="inlineStr">
        <is>
          <t>1</t>
        </is>
      </c>
      <c r="I151" s="8" t="inlineStr">
        <is>
          <t>1</t>
        </is>
      </c>
      <c r="J151" s="8" t="inlineStr">
        <is>
          <t>1</t>
        </is>
      </c>
      <c r="K151" s="9" t="inlineStr">
        <is>
          <t>0</t>
        </is>
      </c>
      <c r="L151" s="9" t="inlineStr">
        <is>
          <t>1</t>
        </is>
      </c>
      <c r="M151" s="9" t="inlineStr">
        <is>
          <t>0</t>
        </is>
      </c>
      <c r="N151" s="9" t="inlineStr">
        <is>
          <t>0</t>
        </is>
      </c>
      <c r="O151" s="10" t="inlineStr">
        <is>
          <t>0</t>
        </is>
      </c>
      <c r="P151" s="10" t="inlineStr">
        <is>
          <t>0</t>
        </is>
      </c>
      <c r="Q151" s="10" t="inlineStr">
        <is>
          <t>0</t>
        </is>
      </c>
      <c r="R151" s="10" t="inlineStr">
        <is>
          <t>0</t>
        </is>
      </c>
      <c r="S151" s="10" t="inlineStr">
        <is>
          <t>1</t>
        </is>
      </c>
    </row>
    <row r="152" ht="49" customHeight="1">
      <c r="A152" s="6">
        <f>IFERROR(__xludf.DUMMYFUNCTION("""COMPUTED_VALUE"""),"Refraction of light 2")</f>
        <v/>
      </c>
      <c r="B152" s="6">
        <f>IFERROR(__xludf.DUMMYFUNCTION("""COMPUTED_VALUE"""),"Resource")</f>
        <v/>
      </c>
      <c r="C152" s="6">
        <f>IFERROR(__xludf.DUMMYFUNCTION("""COMPUTED_VALUE"""),"Question2.graasp")</f>
        <v/>
      </c>
      <c r="D152" s="7">
        <f>IFERROR(__xludf.DUMMYFUNCTION("""COMPUTED_VALUE"""),"&lt;p&gt;What could cause that you can see a rainbow?&lt;/p&gt;")</f>
        <v/>
      </c>
      <c r="E152" s="7">
        <f>IFERROR(__xludf.DUMMYFUNCTION("""COMPUTED_VALUE"""),"No artifact embedded")</f>
        <v/>
      </c>
      <c r="F152" s="7" t="inlineStr">
        <is>
          <t>Students are asked about rainbows. Artifacts include a note-taking app for collaboration.</t>
        </is>
      </c>
      <c r="G152" s="8" t="inlineStr">
        <is>
          <t>0</t>
        </is>
      </c>
      <c r="H152" s="8" t="inlineStr">
        <is>
          <t>0</t>
        </is>
      </c>
      <c r="I152" s="8" t="inlineStr">
        <is>
          <t>1</t>
        </is>
      </c>
      <c r="J152" s="8" t="inlineStr">
        <is>
          <t>1</t>
        </is>
      </c>
      <c r="K152" s="9" t="inlineStr">
        <is>
          <t>1</t>
        </is>
      </c>
      <c r="L152" s="9" t="inlineStr">
        <is>
          <t>1</t>
        </is>
      </c>
      <c r="M152" s="9" t="inlineStr">
        <is>
          <t>0</t>
        </is>
      </c>
      <c r="N152" s="9" t="inlineStr">
        <is>
          <t>0</t>
        </is>
      </c>
      <c r="O152" s="10" t="inlineStr">
        <is>
          <t>1</t>
        </is>
      </c>
      <c r="P152" s="10" t="inlineStr">
        <is>
          <t>1</t>
        </is>
      </c>
      <c r="Q152" s="10" t="inlineStr">
        <is>
          <t>1</t>
        </is>
      </c>
      <c r="R152" s="10" t="inlineStr">
        <is>
          <t>0</t>
        </is>
      </c>
      <c r="S152" s="10" t="inlineStr">
        <is>
          <t>0</t>
        </is>
      </c>
    </row>
    <row r="153" ht="329" customHeight="1">
      <c r="A153" s="6">
        <f>IFERROR(__xludf.DUMMYFUNCTION("""COMPUTED_VALUE"""),"Refraction of light 2")</f>
        <v/>
      </c>
      <c r="B153" s="6">
        <f>IFERROR(__xludf.DUMMYFUNCTION("""COMPUTED_VALUE"""),"Application")</f>
        <v/>
      </c>
      <c r="C153" s="6">
        <f>IFERROR(__xludf.DUMMYFUNCTION("""COMPUTED_VALUE"""),"Input Box (1)")</f>
        <v/>
      </c>
      <c r="D153" s="7">
        <f>IFERROR(__xludf.DUMMYFUNCTION("""COMPUTED_VALUE"""),"No task description")</f>
        <v/>
      </c>
      <c r="E1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3" s="7" t="inlineStr">
        <is>
          <t>Students receive task descriptions and access to Golabz apps for note-taking, with optional collaboration tools.</t>
        </is>
      </c>
      <c r="G153" s="8" t="inlineStr">
        <is>
          <t>0</t>
        </is>
      </c>
      <c r="H153" s="8" t="inlineStr">
        <is>
          <t>1</t>
        </is>
      </c>
      <c r="I153" s="8" t="inlineStr">
        <is>
          <t>1</t>
        </is>
      </c>
      <c r="J153" s="8" t="inlineStr">
        <is>
          <t>1</t>
        </is>
      </c>
      <c r="K153" s="9" t="inlineStr">
        <is>
          <t>0</t>
        </is>
      </c>
      <c r="L153" s="9" t="inlineStr">
        <is>
          <t>1</t>
        </is>
      </c>
      <c r="M153" s="9" t="inlineStr">
        <is>
          <t>0</t>
        </is>
      </c>
      <c r="N153" s="9" t="inlineStr">
        <is>
          <t>0</t>
        </is>
      </c>
      <c r="O153" s="10" t="inlineStr">
        <is>
          <t>0</t>
        </is>
      </c>
      <c r="P153" s="10" t="inlineStr">
        <is>
          <t>0</t>
        </is>
      </c>
      <c r="Q153" s="10" t="inlineStr">
        <is>
          <t>0</t>
        </is>
      </c>
      <c r="R153" s="10" t="inlineStr">
        <is>
          <t>0</t>
        </is>
      </c>
      <c r="S153" s="10" t="inlineStr">
        <is>
          <t>1</t>
        </is>
      </c>
    </row>
    <row r="154" ht="121" customHeight="1">
      <c r="A154" s="6">
        <f>IFERROR(__xludf.DUMMYFUNCTION("""COMPUTED_VALUE"""),"Refraction of light 2")</f>
        <v/>
      </c>
      <c r="B154" s="6">
        <f>IFERROR(__xludf.DUMMYFUNCTION("""COMPUTED_VALUE"""),"Resource")</f>
        <v/>
      </c>
      <c r="C154" s="6">
        <f>IFERROR(__xludf.DUMMYFUNCTION("""COMPUTED_VALUE"""),"This lesson.graasp")</f>
        <v/>
      </c>
      <c r="D154" s="7">
        <f>IFERROR(__xludf.DUMMYFUNCTION("""COMPUTED_VALUE"""),"&lt;p&gt;In this lesson you will discover more about this. You will find out whether your thoughts are correct. Press  ""The colour of light"" to go on.&lt;br&gt;&lt;/p&gt;")</f>
        <v/>
      </c>
      <c r="E154" s="7">
        <f>IFERROR(__xludf.DUMMYFUNCTION("""COMPUTED_VALUE"""),"No artifact embedded")</f>
        <v/>
      </c>
      <c r="F154" s="7" t="inlineStr">
        <is>
          <t>Students are given tasks to explore rainbows and light, with some items including interactive apps for note-taking and collaboration.</t>
        </is>
      </c>
      <c r="G154" s="8" t="inlineStr">
        <is>
          <t>1</t>
        </is>
      </c>
      <c r="H154" s="8" t="inlineStr">
        <is>
          <t>0</t>
        </is>
      </c>
      <c r="I154" s="8" t="inlineStr">
        <is>
          <t>0</t>
        </is>
      </c>
      <c r="J154" s="8" t="inlineStr">
        <is>
          <t>1</t>
        </is>
      </c>
      <c r="K154" s="9" t="inlineStr">
        <is>
          <t>1</t>
        </is>
      </c>
      <c r="L154" s="9" t="inlineStr">
        <is>
          <t>0</t>
        </is>
      </c>
      <c r="M154" s="9" t="inlineStr">
        <is>
          <t>0</t>
        </is>
      </c>
      <c r="N154" s="9" t="inlineStr">
        <is>
          <t>0</t>
        </is>
      </c>
      <c r="O154" s="10" t="inlineStr">
        <is>
          <t>1</t>
        </is>
      </c>
      <c r="P154" s="10" t="inlineStr">
        <is>
          <t>0</t>
        </is>
      </c>
      <c r="Q154" s="10" t="inlineStr">
        <is>
          <t>0</t>
        </is>
      </c>
      <c r="R154" s="10" t="inlineStr">
        <is>
          <t>0</t>
        </is>
      </c>
      <c r="S154" s="10" t="inlineStr">
        <is>
          <t>0</t>
        </is>
      </c>
    </row>
    <row r="155" ht="252" customHeight="1">
      <c r="A155" s="6">
        <f>IFERROR(__xludf.DUMMYFUNCTION("""COMPUTED_VALUE"""),"Refraction of light 2")</f>
        <v/>
      </c>
      <c r="B155" s="6">
        <f>IFERROR(__xludf.DUMMYFUNCTION("""COMPUTED_VALUE"""),"Space")</f>
        <v/>
      </c>
      <c r="C155" s="6">
        <f>IFERROR(__xludf.DUMMYFUNCTION("""COMPUTED_VALUE"""),"The colour of light")</f>
        <v/>
      </c>
      <c r="D155" s="7">
        <f>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
      </c>
      <c r="E155" s="7">
        <f>IFERROR(__xludf.DUMMYFUNCTION("""COMPUTED_VALUE"""),"No artifact embedded")</f>
        <v/>
      </c>
      <c r="F155" s="7" t="inlineStr">
        <is>
          <t>Students received tasks with varying instructions, some with embedded artifacts like the Golabz app for note-taking.</t>
        </is>
      </c>
      <c r="G155" s="8" t="inlineStr">
        <is>
          <t>1</t>
        </is>
      </c>
      <c r="H155" s="8" t="inlineStr">
        <is>
          <t>0</t>
        </is>
      </c>
      <c r="I155" s="8" t="inlineStr">
        <is>
          <t>0</t>
        </is>
      </c>
      <c r="J155" s="8" t="inlineStr">
        <is>
          <t>0</t>
        </is>
      </c>
      <c r="K155" s="9" t="inlineStr">
        <is>
          <t>1</t>
        </is>
      </c>
      <c r="L155" s="9" t="inlineStr">
        <is>
          <t>0</t>
        </is>
      </c>
      <c r="M155" s="9" t="inlineStr">
        <is>
          <t>0</t>
        </is>
      </c>
      <c r="N155" s="9" t="inlineStr">
        <is>
          <t>0</t>
        </is>
      </c>
      <c r="O155" s="10" t="inlineStr">
        <is>
          <t>1</t>
        </is>
      </c>
      <c r="P155" s="10" t="inlineStr">
        <is>
          <t>0</t>
        </is>
      </c>
      <c r="Q155" s="10" t="inlineStr">
        <is>
          <t>0</t>
        </is>
      </c>
      <c r="R155" s="10" t="inlineStr">
        <is>
          <t>0</t>
        </is>
      </c>
      <c r="S155" s="10" t="inlineStr">
        <is>
          <t>0</t>
        </is>
      </c>
    </row>
    <row r="156" ht="169" customHeight="1">
      <c r="A156" s="6">
        <f>IFERROR(__xludf.DUMMYFUNCTION("""COMPUTED_VALUE"""),"Refraction of light 2")</f>
        <v/>
      </c>
      <c r="B156" s="6">
        <f>IFERROR(__xludf.DUMMYFUNCTION("""COMPUTED_VALUE"""),"Resource")</f>
        <v/>
      </c>
      <c r="C156" s="6">
        <f>IFERROR(__xludf.DUMMYFUNCTION("""COMPUTED_VALUE"""),"Question LB2 en.PNG")</f>
        <v/>
      </c>
      <c r="D156" s="7">
        <f>IFERROR(__xludf.DUMMYFUNCTION("""COMPUTED_VALUE"""),"n another lesson you learned something about light that shines through transparent materials? Do you remember? What will happen with the light ray if you turn on the light? Type your answer below the pictures")</f>
        <v/>
      </c>
      <c r="E156" s="7">
        <f>IFERROR(__xludf.DUMMYFUNCTION("""COMPUTED_VALUE"""),"image/png – A high-quality image with support for transparency, often used in design and web applications.")</f>
        <v/>
      </c>
      <c r="F156" s="7" t="inlineStr">
        <is>
          <t>Students are given tasks to recall lessons about light. Items 1 and 2 have no artifacts, while Item 3 includes a PNG image.</t>
        </is>
      </c>
      <c r="G156" s="8" t="inlineStr">
        <is>
          <t>0</t>
        </is>
      </c>
      <c r="H156" s="8" t="inlineStr">
        <is>
          <t>0</t>
        </is>
      </c>
      <c r="I156" s="8" t="inlineStr">
        <is>
          <t>1</t>
        </is>
      </c>
      <c r="J156" s="8" t="inlineStr">
        <is>
          <t>1</t>
        </is>
      </c>
      <c r="K156" s="9" t="inlineStr">
        <is>
          <t>0</t>
        </is>
      </c>
      <c r="L156" s="9" t="inlineStr">
        <is>
          <t>1</t>
        </is>
      </c>
      <c r="M156" s="9" t="inlineStr">
        <is>
          <t>0</t>
        </is>
      </c>
      <c r="N156" s="9" t="inlineStr">
        <is>
          <t>0</t>
        </is>
      </c>
      <c r="O156" s="10" t="inlineStr">
        <is>
          <t>1</t>
        </is>
      </c>
      <c r="P156" s="10" t="inlineStr">
        <is>
          <t>0</t>
        </is>
      </c>
      <c r="Q156" s="10" t="inlineStr">
        <is>
          <t>0</t>
        </is>
      </c>
      <c r="R156" s="10" t="inlineStr">
        <is>
          <t>0</t>
        </is>
      </c>
      <c r="S156" s="10" t="inlineStr">
        <is>
          <t>0</t>
        </is>
      </c>
    </row>
    <row r="157" ht="329" customHeight="1">
      <c r="A157" s="6">
        <f>IFERROR(__xludf.DUMMYFUNCTION("""COMPUTED_VALUE"""),"Refraction of light 2")</f>
        <v/>
      </c>
      <c r="B157" s="6">
        <f>IFERROR(__xludf.DUMMYFUNCTION("""COMPUTED_VALUE"""),"Application")</f>
        <v/>
      </c>
      <c r="C157" s="6">
        <f>IFERROR(__xludf.DUMMYFUNCTION("""COMPUTED_VALUE"""),"Input Box")</f>
        <v/>
      </c>
      <c r="D157" s="7">
        <f>IFERROR(__xludf.DUMMYFUNCTION("""COMPUTED_VALUE"""),"No task description")</f>
        <v/>
      </c>
      <c r="E1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7" s="7" t="inlineStr">
        <is>
          <t>Students recall lessons on light, colors, and waves, with tasks and embedded artifacts including images and interactive apps.</t>
        </is>
      </c>
      <c r="G157" s="8" t="inlineStr">
        <is>
          <t>0</t>
        </is>
      </c>
      <c r="H157" s="8" t="inlineStr">
        <is>
          <t>1</t>
        </is>
      </c>
      <c r="I157" s="8" t="inlineStr">
        <is>
          <t>1</t>
        </is>
      </c>
      <c r="J157" s="8" t="inlineStr">
        <is>
          <t>1</t>
        </is>
      </c>
      <c r="K157" s="9" t="inlineStr">
        <is>
          <t>0</t>
        </is>
      </c>
      <c r="L157" s="9" t="inlineStr">
        <is>
          <t>1</t>
        </is>
      </c>
      <c r="M157" s="9" t="inlineStr">
        <is>
          <t>0</t>
        </is>
      </c>
      <c r="N157" s="9" t="inlineStr">
        <is>
          <t>1</t>
        </is>
      </c>
      <c r="O157" s="10" t="inlineStr">
        <is>
          <t>0</t>
        </is>
      </c>
      <c r="P157" s="10" t="inlineStr">
        <is>
          <t>0</t>
        </is>
      </c>
      <c r="Q157" s="10" t="inlineStr">
        <is>
          <t>0</t>
        </is>
      </c>
      <c r="R157" s="10" t="inlineStr">
        <is>
          <t>0</t>
        </is>
      </c>
      <c r="S157" s="10" t="inlineStr">
        <is>
          <t>1</t>
        </is>
      </c>
    </row>
    <row r="158" ht="296" customHeight="1">
      <c r="A158" s="6">
        <f>IFERROR(__xludf.DUMMYFUNCTION("""COMPUTED_VALUE"""),"Refraction of light 2")</f>
        <v/>
      </c>
      <c r="B158" s="6">
        <f>IFERROR(__xludf.DUMMYFUNCTION("""COMPUTED_VALUE"""),"Space")</f>
        <v/>
      </c>
      <c r="C158" s="6">
        <f>IFERROR(__xludf.DUMMYFUNCTION("""COMPUTED_VALUE"""),"Doing research - step 1")</f>
        <v/>
      </c>
      <c r="D158" s="7">
        <f>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
      </c>
      <c r="E158" s="7">
        <f>IFERROR(__xludf.DUMMYFUNCTION("""COMPUTED_VALUE"""),"No artifact embedded")</f>
        <v/>
      </c>
      <c r="F158" s="7" t="inlineStr">
        <is>
          <t>Students are given tasks with interactive artifacts, including images and apps, to explore concepts like light refraction and collaboration tools.</t>
        </is>
      </c>
      <c r="G158" s="8" t="inlineStr">
        <is>
          <t>0</t>
        </is>
      </c>
      <c r="H158" s="8" t="inlineStr">
        <is>
          <t>1</t>
        </is>
      </c>
      <c r="I158" s="8" t="inlineStr">
        <is>
          <t>0</t>
        </is>
      </c>
      <c r="J158" s="8" t="inlineStr">
        <is>
          <t>1</t>
        </is>
      </c>
      <c r="K158" s="9" t="inlineStr">
        <is>
          <t>1</t>
        </is>
      </c>
      <c r="L158" s="9" t="inlineStr">
        <is>
          <t>0</t>
        </is>
      </c>
      <c r="M158" s="9" t="inlineStr">
        <is>
          <t>0</t>
        </is>
      </c>
      <c r="N158" s="9" t="inlineStr">
        <is>
          <t>0</t>
        </is>
      </c>
      <c r="O158" s="10" t="inlineStr">
        <is>
          <t>0</t>
        </is>
      </c>
      <c r="P158" s="10" t="inlineStr">
        <is>
          <t>0</t>
        </is>
      </c>
      <c r="Q158" s="10" t="inlineStr">
        <is>
          <t>1</t>
        </is>
      </c>
      <c r="R158" s="10" t="inlineStr">
        <is>
          <t>0</t>
        </is>
      </c>
      <c r="S158" s="10" t="inlineStr">
        <is>
          <t>0</t>
        </is>
      </c>
    </row>
    <row r="159" ht="205" customHeight="1">
      <c r="A159" s="6">
        <f>IFERROR(__xludf.DUMMYFUNCTION("""COMPUTED_VALUE"""),"Refraction of light 2")</f>
        <v/>
      </c>
      <c r="B159" s="6">
        <f>IFERROR(__xludf.DUMMYFUNCTION("""COMPUTED_VALUE"""),"Application")</f>
        <v/>
      </c>
      <c r="C159" s="6">
        <f>IFERROR(__xludf.DUMMYFUNCTION("""COMPUTED_VALUE"""),"Bending Light")</f>
        <v/>
      </c>
      <c r="D159" s="7">
        <f>IFERROR(__xludf.DUMMYFUNCTION("""COMPUTED_VALUE"""),"No task description")</f>
        <v/>
      </c>
      <c r="E159"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59" s="7" t="inlineStr">
        <is>
          <t>Students received task descriptions and used embedded artifacts like Golabz apps for note-taking, collaboration, and interactive simulations on light refraction.</t>
        </is>
      </c>
      <c r="G159" s="8" t="inlineStr">
        <is>
          <t>0</t>
        </is>
      </c>
      <c r="H159" s="8" t="inlineStr">
        <is>
          <t>1</t>
        </is>
      </c>
      <c r="I159" s="8" t="inlineStr">
        <is>
          <t>0</t>
        </is>
      </c>
      <c r="J159" s="8" t="inlineStr">
        <is>
          <t>1</t>
        </is>
      </c>
      <c r="K159" s="9" t="inlineStr">
        <is>
          <t>1</t>
        </is>
      </c>
      <c r="L159" s="9" t="inlineStr">
        <is>
          <t>0</t>
        </is>
      </c>
      <c r="M159" s="9" t="inlineStr">
        <is>
          <t>0</t>
        </is>
      </c>
      <c r="N159" s="9" t="inlineStr">
        <is>
          <t>0</t>
        </is>
      </c>
      <c r="O159" s="10" t="inlineStr">
        <is>
          <t>1</t>
        </is>
      </c>
      <c r="P159" s="10" t="inlineStr">
        <is>
          <t>0</t>
        </is>
      </c>
      <c r="Q159" s="10" t="inlineStr">
        <is>
          <t>1</t>
        </is>
      </c>
      <c r="R159" s="10" t="inlineStr">
        <is>
          <t>0</t>
        </is>
      </c>
      <c r="S159" s="10" t="inlineStr">
        <is>
          <t>0</t>
        </is>
      </c>
    </row>
    <row r="160" ht="169" customHeight="1">
      <c r="A160" s="6">
        <f>IFERROR(__xludf.DUMMYFUNCTION("""COMPUTED_VALUE"""),"Refraction of light 2")</f>
        <v/>
      </c>
      <c r="B160" s="6">
        <f>IFERROR(__xludf.DUMMYFUNCTION("""COMPUTED_VALUE"""),"Resource")</f>
        <v/>
      </c>
      <c r="C160" s="6">
        <f>IFERROR(__xludf.DUMMYFUNCTION("""COMPUTED_VALUE"""),"Opdrachten.graasp")</f>
        <v/>
      </c>
      <c r="D160" s="7">
        <f>IFERROR(__xludf.DUMMYFUNCTION("""COMPUTED_VALUE"""),"&lt;p&gt;Now change the colour of the light by moving the red box below the multi-coloured bar. What strikes you? Write your answer below and after that click on ""&lt;strong&gt;Doing research - step 2&lt;/strong&gt;"".&lt;/p&gt;")</f>
        <v/>
      </c>
      <c r="E160" s="7">
        <f>IFERROR(__xludf.DUMMYFUNCTION("""COMPUTED_VALUE"""),"No artifact embedded")</f>
        <v/>
      </c>
      <c r="F160" s="7" t="inlineStr">
        <is>
          <t>Students interact with a program, dragging triangles and switching lights, then explore light refraction using the Golabz app, and finally change light colors and record observations.</t>
        </is>
      </c>
      <c r="G160" s="8" t="inlineStr">
        <is>
          <t>0</t>
        </is>
      </c>
      <c r="H160" s="8" t="inlineStr">
        <is>
          <t>1</t>
        </is>
      </c>
      <c r="I160" s="8" t="inlineStr">
        <is>
          <t>1</t>
        </is>
      </c>
      <c r="J160" s="8" t="inlineStr">
        <is>
          <t>1</t>
        </is>
      </c>
      <c r="K160" s="9" t="inlineStr">
        <is>
          <t>0</t>
        </is>
      </c>
      <c r="L160" s="9" t="inlineStr">
        <is>
          <t>1</t>
        </is>
      </c>
      <c r="M160" s="9" t="inlineStr">
        <is>
          <t>0</t>
        </is>
      </c>
      <c r="N160" s="9" t="inlineStr">
        <is>
          <t>0</t>
        </is>
      </c>
      <c r="O160" s="10" t="inlineStr">
        <is>
          <t>0</t>
        </is>
      </c>
      <c r="P160" s="10" t="inlineStr">
        <is>
          <t>0</t>
        </is>
      </c>
      <c r="Q160" s="10" t="inlineStr">
        <is>
          <t>1</t>
        </is>
      </c>
      <c r="R160" s="10" t="inlineStr">
        <is>
          <t>0</t>
        </is>
      </c>
      <c r="S160" s="10" t="inlineStr">
        <is>
          <t>0</t>
        </is>
      </c>
    </row>
    <row r="161" ht="329" customHeight="1">
      <c r="A161" s="6">
        <f>IFERROR(__xludf.DUMMYFUNCTION("""COMPUTED_VALUE"""),"Refraction of light 2")</f>
        <v/>
      </c>
      <c r="B161" s="6">
        <f>IFERROR(__xludf.DUMMYFUNCTION("""COMPUTED_VALUE"""),"Application")</f>
        <v/>
      </c>
      <c r="C161" s="6">
        <f>IFERROR(__xludf.DUMMYFUNCTION("""COMPUTED_VALUE"""),"Input Box")</f>
        <v/>
      </c>
      <c r="D161" s="7">
        <f>IFERROR(__xludf.DUMMYFUNCTION("""COMPUTED_VALUE"""),"No task description")</f>
        <v/>
      </c>
      <c r="E16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1" s="7" t="inlineStr">
        <is>
          <t>Students explore light refraction and color change using Golabz apps, take notes, and collaborate.</t>
        </is>
      </c>
      <c r="G161" s="8" t="inlineStr">
        <is>
          <t>0</t>
        </is>
      </c>
      <c r="H161" s="8" t="inlineStr">
        <is>
          <t>1</t>
        </is>
      </c>
      <c r="I161" s="8" t="inlineStr">
        <is>
          <t>1</t>
        </is>
      </c>
      <c r="J161" s="8" t="inlineStr">
        <is>
          <t>1</t>
        </is>
      </c>
      <c r="K161" s="9" t="inlineStr">
        <is>
          <t>0</t>
        </is>
      </c>
      <c r="L161" s="9" t="inlineStr">
        <is>
          <t>1</t>
        </is>
      </c>
      <c r="M161" s="9" t="inlineStr">
        <is>
          <t>0</t>
        </is>
      </c>
      <c r="N161" s="9" t="inlineStr">
        <is>
          <t>1</t>
        </is>
      </c>
      <c r="O161" s="10" t="inlineStr">
        <is>
          <t>0</t>
        </is>
      </c>
      <c r="P161" s="10" t="inlineStr">
        <is>
          <t>0</t>
        </is>
      </c>
      <c r="Q161" s="10" t="inlineStr">
        <is>
          <t>0</t>
        </is>
      </c>
      <c r="R161" s="10" t="inlineStr">
        <is>
          <t>0</t>
        </is>
      </c>
      <c r="S161" s="10" t="inlineStr">
        <is>
          <t>1</t>
        </is>
      </c>
    </row>
    <row r="162" ht="25" customHeight="1">
      <c r="A162" s="6">
        <f>IFERROR(__xludf.DUMMYFUNCTION("""COMPUTED_VALUE"""),"Refraction of light 2")</f>
        <v/>
      </c>
      <c r="B162" s="6">
        <f>IFERROR(__xludf.DUMMYFUNCTION("""COMPUTED_VALUE"""),"Space")</f>
        <v/>
      </c>
      <c r="C162" s="6">
        <f>IFERROR(__xludf.DUMMYFUNCTION("""COMPUTED_VALUE"""),"Doing research - step 2")</f>
        <v/>
      </c>
      <c r="D162" s="7">
        <f>IFERROR(__xludf.DUMMYFUNCTION("""COMPUTED_VALUE"""),"No task description")</f>
        <v/>
      </c>
      <c r="E162" s="7">
        <f>IFERROR(__xludf.DUMMYFUNCTION("""COMPUTED_VALUE"""),"No artifact embedded")</f>
        <v/>
      </c>
      <c r="F162" s="7" t="inlineStr">
        <is>
          <t>Students are instructed to change a light's color and write observations. Embedded artifacts include a note-taking app with potential collaboration features.</t>
        </is>
      </c>
      <c r="G162" s="8" t="inlineStr">
        <is>
          <t>0</t>
        </is>
      </c>
      <c r="H162" s="8" t="inlineStr">
        <is>
          <t>0</t>
        </is>
      </c>
      <c r="I162" s="8" t="inlineStr">
        <is>
          <t>0</t>
        </is>
      </c>
      <c r="J162" s="8" t="inlineStr">
        <is>
          <t>0</t>
        </is>
      </c>
      <c r="K162" s="9" t="inlineStr">
        <is>
          <t>0</t>
        </is>
      </c>
      <c r="L162" s="9" t="inlineStr">
        <is>
          <t>0</t>
        </is>
      </c>
      <c r="M162" s="9" t="inlineStr">
        <is>
          <t>0</t>
        </is>
      </c>
      <c r="N162" s="9" t="inlineStr">
        <is>
          <t>0</t>
        </is>
      </c>
      <c r="O162" s="10" t="inlineStr">
        <is>
          <t>0</t>
        </is>
      </c>
      <c r="P162" s="10" t="inlineStr">
        <is>
          <t>0</t>
        </is>
      </c>
      <c r="Q162" s="10" t="inlineStr">
        <is>
          <t>0</t>
        </is>
      </c>
      <c r="R162" s="10" t="inlineStr">
        <is>
          <t>0</t>
        </is>
      </c>
      <c r="S162" s="10" t="inlineStr">
        <is>
          <t>0</t>
        </is>
      </c>
    </row>
    <row r="163" ht="205" customHeight="1">
      <c r="A163" s="6">
        <f>IFERROR(__xludf.DUMMYFUNCTION("""COMPUTED_VALUE"""),"Refraction of light 2")</f>
        <v/>
      </c>
      <c r="B163" s="6">
        <f>IFERROR(__xludf.DUMMYFUNCTION("""COMPUTED_VALUE"""),"Resource")</f>
        <v/>
      </c>
      <c r="C163" s="6">
        <f>IFERROR(__xludf.DUMMYFUNCTION("""COMPUTED_VALUE"""),"Assignment LB2.PNG")</f>
        <v/>
      </c>
      <c r="D163" s="7">
        <f>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
      </c>
      <c r="E163" s="7">
        <f>IFERROR(__xludf.DUMMYFUNCTION("""COMPUTED_VALUE"""),"image/png – A high-quality image with support for transparency, often used in design and web applications.")</f>
        <v/>
      </c>
      <c r="F163" s="7" t="inlineStr">
        <is>
          <t>Students were given tasks with embedded artifacts, including interactive apps and images, to complete specific instructions, such as note-taking and collaborating.</t>
        </is>
      </c>
      <c r="G163" s="8" t="inlineStr">
        <is>
          <t>0</t>
        </is>
      </c>
      <c r="H163" s="8" t="inlineStr">
        <is>
          <t>1</t>
        </is>
      </c>
      <c r="I163" s="8" t="inlineStr">
        <is>
          <t>1</t>
        </is>
      </c>
      <c r="J163" s="8" t="inlineStr">
        <is>
          <t>1</t>
        </is>
      </c>
      <c r="K163" s="9" t="inlineStr">
        <is>
          <t>0</t>
        </is>
      </c>
      <c r="L163" s="9" t="inlineStr">
        <is>
          <t>1</t>
        </is>
      </c>
      <c r="M163" s="9" t="inlineStr">
        <is>
          <t>0</t>
        </is>
      </c>
      <c r="N163" s="9" t="inlineStr">
        <is>
          <t>0</t>
        </is>
      </c>
      <c r="O163" s="10" t="inlineStr">
        <is>
          <t>0</t>
        </is>
      </c>
      <c r="P163" s="10" t="inlineStr">
        <is>
          <t>0</t>
        </is>
      </c>
      <c r="Q163" s="10" t="inlineStr">
        <is>
          <t>1</t>
        </is>
      </c>
      <c r="R163" s="10" t="inlineStr">
        <is>
          <t>0</t>
        </is>
      </c>
      <c r="S163" s="10" t="inlineStr">
        <is>
          <t>0</t>
        </is>
      </c>
    </row>
    <row r="164" ht="329" customHeight="1">
      <c r="A164" s="6">
        <f>IFERROR(__xludf.DUMMYFUNCTION("""COMPUTED_VALUE"""),"Refraction of light 2")</f>
        <v/>
      </c>
      <c r="B164" s="6">
        <f>IFERROR(__xludf.DUMMYFUNCTION("""COMPUTED_VALUE"""),"Application")</f>
        <v/>
      </c>
      <c r="C164" s="6">
        <f>IFERROR(__xludf.DUMMYFUNCTION("""COMPUTED_VALUE"""),"Input Box")</f>
        <v/>
      </c>
      <c r="D164" s="7">
        <f>IFERROR(__xludf.DUMMYFUNCTION("""COMPUTED_VALUE"""),"No task description")</f>
        <v/>
      </c>
      <c r="E16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4" s="7" t="inlineStr">
        <is>
          <t>Students are given tasks and artifacts. Item2's task involves interacting with a program and describing observations, accompanied by a PNG image artifact.</t>
        </is>
      </c>
      <c r="G164" s="8" t="inlineStr">
        <is>
          <t>0</t>
        </is>
      </c>
      <c r="H164" s="8" t="inlineStr">
        <is>
          <t>1</t>
        </is>
      </c>
      <c r="I164" s="8" t="inlineStr">
        <is>
          <t>1</t>
        </is>
      </c>
      <c r="J164" s="8" t="inlineStr">
        <is>
          <t>1</t>
        </is>
      </c>
      <c r="K164" s="9" t="inlineStr">
        <is>
          <t>0</t>
        </is>
      </c>
      <c r="L164" s="9" t="inlineStr">
        <is>
          <t>1</t>
        </is>
      </c>
      <c r="M164" s="9" t="inlineStr">
        <is>
          <t>0</t>
        </is>
      </c>
      <c r="N164" s="9" t="inlineStr">
        <is>
          <t>1</t>
        </is>
      </c>
      <c r="O164" s="10" t="inlineStr">
        <is>
          <t>0</t>
        </is>
      </c>
      <c r="P164" s="10" t="inlineStr">
        <is>
          <t>0</t>
        </is>
      </c>
      <c r="Q164" s="10" t="inlineStr">
        <is>
          <t>0</t>
        </is>
      </c>
      <c r="R164" s="10" t="inlineStr">
        <is>
          <t>0</t>
        </is>
      </c>
      <c r="S164" s="10" t="inlineStr">
        <is>
          <t>1</t>
        </is>
      </c>
    </row>
    <row r="165" ht="205" customHeight="1">
      <c r="A165" s="6">
        <f>IFERROR(__xludf.DUMMYFUNCTION("""COMPUTED_VALUE"""),"Refraction of light 2")</f>
        <v/>
      </c>
      <c r="B165" s="6">
        <f>IFERROR(__xludf.DUMMYFUNCTION("""COMPUTED_VALUE"""),"Application")</f>
        <v/>
      </c>
      <c r="C165" s="6">
        <f>IFERROR(__xludf.DUMMYFUNCTION("""COMPUTED_VALUE"""),"Bending Light")</f>
        <v/>
      </c>
      <c r="D165" s="7">
        <f>IFERROR(__xludf.DUMMYFUNCTION("""COMPUTED_VALUE"""),"No task description")</f>
        <v/>
      </c>
      <c r="E165"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65" s="7" t="inlineStr">
        <is>
          <t>Students are instructed to interact with a program, pressing buttons, dragging shapes, and observing results, with embedded artifacts including images and interactive apps.</t>
        </is>
      </c>
      <c r="G165" s="8" t="inlineStr">
        <is>
          <t>0</t>
        </is>
      </c>
      <c r="H165" s="8" t="inlineStr">
        <is>
          <t>1</t>
        </is>
      </c>
      <c r="I165" s="8" t="inlineStr">
        <is>
          <t>0</t>
        </is>
      </c>
      <c r="J165" s="8" t="inlineStr">
        <is>
          <t>1</t>
        </is>
      </c>
      <c r="K165" s="9" t="inlineStr">
        <is>
          <t>1</t>
        </is>
      </c>
      <c r="L165" s="9" t="inlineStr">
        <is>
          <t>0</t>
        </is>
      </c>
      <c r="M165" s="9" t="inlineStr">
        <is>
          <t>0</t>
        </is>
      </c>
      <c r="N165" s="9" t="inlineStr">
        <is>
          <t>0</t>
        </is>
      </c>
      <c r="O165" s="10" t="inlineStr">
        <is>
          <t>1</t>
        </is>
      </c>
      <c r="P165" s="10" t="inlineStr">
        <is>
          <t>0</t>
        </is>
      </c>
      <c r="Q165" s="10" t="inlineStr">
        <is>
          <t>1</t>
        </is>
      </c>
      <c r="R165" s="10" t="inlineStr">
        <is>
          <t>0</t>
        </is>
      </c>
      <c r="S165" s="10" t="inlineStr">
        <is>
          <t>0</t>
        </is>
      </c>
    </row>
    <row r="166" ht="121" customHeight="1">
      <c r="A166" s="6">
        <f>IFERROR(__xludf.DUMMYFUNCTION("""COMPUTED_VALUE"""),"Refraction of light 2")</f>
        <v/>
      </c>
      <c r="B166" s="6">
        <f>IFERROR(__xludf.DUMMYFUNCTION("""COMPUTED_VALUE"""),"Resource")</f>
        <v/>
      </c>
      <c r="C166" s="6">
        <f>IFERROR(__xludf.DUMMYFUNCTION("""COMPUTED_VALUE"""),"Assignment.graasp")</f>
        <v/>
      </c>
      <c r="D166" s="7">
        <f>IFERROR(__xludf.DUMMYFUNCTION("""COMPUTED_VALUE"""),"&lt;p&gt;Make further explorations by changing things in the program above. If you're done press ""&lt;strong&gt;What did you discover?&lt;/strong&gt;""&lt;br&gt;&lt;/p&gt;")</f>
        <v/>
      </c>
      <c r="E166" s="7">
        <f>IFERROR(__xludf.DUMMYFUNCTION("""COMPUTED_VALUE"""),"No artifact embedded")</f>
        <v/>
      </c>
      <c r="F166" s="7" t="inlineStr">
        <is>
          <t>Students use Golabz apps to take notes, collaborate, and explore light refraction, with some tasks requiring further exploration and discovery.</t>
        </is>
      </c>
      <c r="G166" s="8" t="inlineStr">
        <is>
          <t>0</t>
        </is>
      </c>
      <c r="H166" s="8" t="inlineStr">
        <is>
          <t>1</t>
        </is>
      </c>
      <c r="I166" s="8" t="inlineStr">
        <is>
          <t>1</t>
        </is>
      </c>
      <c r="J166" s="8" t="inlineStr">
        <is>
          <t>1</t>
        </is>
      </c>
      <c r="K166" s="9" t="inlineStr">
        <is>
          <t>0</t>
        </is>
      </c>
      <c r="L166" s="9" t="inlineStr">
        <is>
          <t>1</t>
        </is>
      </c>
      <c r="M166" s="9" t="inlineStr">
        <is>
          <t>0</t>
        </is>
      </c>
      <c r="N166" s="9" t="inlineStr">
        <is>
          <t>0</t>
        </is>
      </c>
      <c r="O166" s="10" t="inlineStr">
        <is>
          <t>0</t>
        </is>
      </c>
      <c r="P166" s="10" t="inlineStr">
        <is>
          <t>0</t>
        </is>
      </c>
      <c r="Q166" s="10" t="inlineStr">
        <is>
          <t>1</t>
        </is>
      </c>
      <c r="R166" s="10" t="inlineStr">
        <is>
          <t>0</t>
        </is>
      </c>
      <c r="S166" s="10" t="inlineStr">
        <is>
          <t>0</t>
        </is>
      </c>
    </row>
    <row r="167" ht="263" customHeight="1">
      <c r="A167" s="6">
        <f>IFERROR(__xludf.DUMMYFUNCTION("""COMPUTED_VALUE"""),"Refraction of light 2")</f>
        <v/>
      </c>
      <c r="B167" s="6">
        <f>IFERROR(__xludf.DUMMYFUNCTION("""COMPUTED_VALUE"""),"Space")</f>
        <v/>
      </c>
      <c r="C167" s="6">
        <f>IFERROR(__xludf.DUMMYFUNCTION("""COMPUTED_VALUE"""),"What did you discover?")</f>
        <v/>
      </c>
      <c r="D167" s="7">
        <f>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
      </c>
      <c r="E167" s="7">
        <f>IFERROR(__xludf.DUMMYFUNCTION("""COMPUTED_VALUE"""),"No artifact embedded")</f>
        <v/>
      </c>
      <c r="F167" s="7" t="inlineStr">
        <is>
          <t>Students explore light refraction using Golabz app, then make further discoveries and analyze wavelength refraction effects on white light.</t>
        </is>
      </c>
      <c r="G167" s="8" t="inlineStr">
        <is>
          <t>1</t>
        </is>
      </c>
      <c r="H167" s="8" t="inlineStr">
        <is>
          <t>0</t>
        </is>
      </c>
      <c r="I167" s="8" t="inlineStr">
        <is>
          <t>0</t>
        </is>
      </c>
      <c r="J167" s="8" t="inlineStr">
        <is>
          <t>0</t>
        </is>
      </c>
      <c r="K167" s="9" t="inlineStr">
        <is>
          <t>1</t>
        </is>
      </c>
      <c r="L167" s="9" t="inlineStr">
        <is>
          <t>0</t>
        </is>
      </c>
      <c r="M167" s="9" t="inlineStr">
        <is>
          <t>0</t>
        </is>
      </c>
      <c r="N167" s="9" t="inlineStr">
        <is>
          <t>0</t>
        </is>
      </c>
      <c r="O167" s="10" t="inlineStr">
        <is>
          <t>1</t>
        </is>
      </c>
      <c r="P167" s="10" t="inlineStr">
        <is>
          <t>0</t>
        </is>
      </c>
      <c r="Q167" s="10" t="inlineStr">
        <is>
          <t>0</t>
        </is>
      </c>
      <c r="R167" s="10" t="inlineStr">
        <is>
          <t>0</t>
        </is>
      </c>
      <c r="S167" s="10" t="inlineStr">
        <is>
          <t>0</t>
        </is>
      </c>
    </row>
    <row r="168" ht="97" customHeight="1">
      <c r="A168" s="6">
        <f>IFERROR(__xludf.DUMMYFUNCTION("""COMPUTED_VALUE"""),"Refraction of light 2")</f>
        <v/>
      </c>
      <c r="B168" s="6">
        <f>IFERROR(__xludf.DUMMYFUNCTION("""COMPUTED_VALUE"""),"Resource")</f>
        <v/>
      </c>
      <c r="C168" s="6">
        <f>IFERROR(__xludf.DUMMYFUNCTION("""COMPUTED_VALUE"""),"Lightwaves.PNG")</f>
        <v/>
      </c>
      <c r="D168" s="7">
        <f>IFERROR(__xludf.DUMMYFUNCTION("""COMPUTED_VALUE"""),"No task description")</f>
        <v/>
      </c>
      <c r="E168" s="7">
        <f>IFERROR(__xludf.DUMMYFUNCTION("""COMPUTED_VALUE"""),"image/png – A high-quality image with support for transparency, often used in design and web applications.")</f>
        <v/>
      </c>
      <c r="F168" s="7" t="inlineStr">
        <is>
          <t>Students are instructed to explore programs and discover refraction of light. Embedded artifacts include no items in Items 1 and 2, but an image in Item 3.</t>
        </is>
      </c>
      <c r="G168" s="8" t="inlineStr">
        <is>
          <t>1</t>
        </is>
      </c>
      <c r="H168" s="8" t="inlineStr">
        <is>
          <t>0</t>
        </is>
      </c>
      <c r="I168" s="8" t="inlineStr">
        <is>
          <t>0</t>
        </is>
      </c>
      <c r="J168" s="8" t="inlineStr">
        <is>
          <t>0</t>
        </is>
      </c>
      <c r="K168" s="9" t="inlineStr">
        <is>
          <t>1</t>
        </is>
      </c>
      <c r="L168" s="9" t="inlineStr">
        <is>
          <t>0</t>
        </is>
      </c>
      <c r="M168" s="9" t="inlineStr">
        <is>
          <t>0</t>
        </is>
      </c>
      <c r="N168" s="9" t="inlineStr">
        <is>
          <t>0</t>
        </is>
      </c>
      <c r="O168" s="10" t="inlineStr">
        <is>
          <t>0</t>
        </is>
      </c>
      <c r="P168" s="10" t="inlineStr">
        <is>
          <t>0</t>
        </is>
      </c>
      <c r="Q168" s="10" t="inlineStr">
        <is>
          <t>0</t>
        </is>
      </c>
      <c r="R168" s="10" t="inlineStr">
        <is>
          <t>0</t>
        </is>
      </c>
      <c r="S168" s="10" t="inlineStr">
        <is>
          <t>0</t>
        </is>
      </c>
    </row>
    <row r="169" ht="121" customHeight="1">
      <c r="A169" s="6">
        <f>IFERROR(__xludf.DUMMYFUNCTION("""COMPUTED_VALUE"""),"Refraction of light 2")</f>
        <v/>
      </c>
      <c r="B169" s="6">
        <f>IFERROR(__xludf.DUMMYFUNCTION("""COMPUTED_VALUE"""),"Resource")</f>
        <v/>
      </c>
      <c r="C169" s="6">
        <f>IFERROR(__xludf.DUMMYFUNCTION("""COMPUTED_VALUE"""),"Rainbows and refraction")</f>
        <v/>
      </c>
      <c r="D169" s="7">
        <f>IFERROR(__xludf.DUMMYFUNCTION("""COMPUTED_VALUE"""),"No task description")</f>
        <v/>
      </c>
      <c r="E169" s="7">
        <f>IFERROR(__xludf.DUMMYFUNCTION("""COMPUTED_VALUE"""),"youtube.com: A widely known video-sharing platform where users can watch videos on a vast array of topics, including educational content.")</f>
        <v/>
      </c>
      <c r="F169" s="7" t="inlineStr">
        <is>
          <t>Students were instructed about light refraction. Embedded artifacts include an image and a YouTube video.</t>
        </is>
      </c>
      <c r="G169" s="8" t="inlineStr">
        <is>
          <t>1</t>
        </is>
      </c>
      <c r="H169" s="8" t="inlineStr">
        <is>
          <t>0</t>
        </is>
      </c>
      <c r="I169" s="8" t="inlineStr">
        <is>
          <t>0</t>
        </is>
      </c>
      <c r="J169" s="8" t="inlineStr">
        <is>
          <t>0</t>
        </is>
      </c>
      <c r="K169" s="9" t="inlineStr">
        <is>
          <t>1</t>
        </is>
      </c>
      <c r="L169" s="9" t="inlineStr">
        <is>
          <t>0</t>
        </is>
      </c>
      <c r="M169" s="9" t="inlineStr">
        <is>
          <t>0</t>
        </is>
      </c>
      <c r="N169" s="9" t="inlineStr">
        <is>
          <t>0</t>
        </is>
      </c>
      <c r="O169" s="10" t="inlineStr">
        <is>
          <t>0</t>
        </is>
      </c>
      <c r="P169" s="10" t="inlineStr">
        <is>
          <t>0</t>
        </is>
      </c>
      <c r="Q169" s="10" t="inlineStr">
        <is>
          <t>0</t>
        </is>
      </c>
      <c r="R169" s="10" t="inlineStr">
        <is>
          <t>0</t>
        </is>
      </c>
      <c r="S169" s="10" t="inlineStr">
        <is>
          <t>0</t>
        </is>
      </c>
    </row>
    <row r="170" ht="133" customHeight="1">
      <c r="A170" s="6">
        <f>IFERROR(__xludf.DUMMYFUNCTION("""COMPUTED_VALUE"""),"Refraction of light 2")</f>
        <v/>
      </c>
      <c r="B170" s="6">
        <f>IFERROR(__xludf.DUMMYFUNCTION("""COMPUTED_VALUE"""),"Resource")</f>
        <v/>
      </c>
      <c r="C170" s="6">
        <f>IFERROR(__xludf.DUMMYFUNCTION("""COMPUTED_VALUE"""),"How are rainbows formed?")</f>
        <v/>
      </c>
      <c r="D170" s="7">
        <f>IFERROR(__xludf.DUMMYFUNCTION("""COMPUTED_VALUE"""),"The properties and behaviour of light, and how it interacts with droplets of water, give rise to one of nature's most colourful meteorological events - the rainbow.")</f>
        <v/>
      </c>
      <c r="E170" s="7">
        <f>IFERROR(__xludf.DUMMYFUNCTION("""COMPUTED_VALUE"""),"metoffice.gov.uk: The UK's Met Office provides information on weather phenomena, including explanations of how rainbows are formed.")</f>
        <v/>
      </c>
      <c r="F170" s="7" t="inlineStr">
        <is>
          <t>No task descriptions for Items 1 and 2. Item 3 describes rainbows. Embedded artifacts include a PNG image, YouTube, and the Met Office website.</t>
        </is>
      </c>
      <c r="G170" s="8" t="inlineStr">
        <is>
          <t>1</t>
        </is>
      </c>
      <c r="H170" s="8" t="inlineStr">
        <is>
          <t>0</t>
        </is>
      </c>
      <c r="I170" s="8" t="inlineStr">
        <is>
          <t>0</t>
        </is>
      </c>
      <c r="J170" s="8" t="inlineStr">
        <is>
          <t>0</t>
        </is>
      </c>
      <c r="K170" s="9" t="inlineStr">
        <is>
          <t>1</t>
        </is>
      </c>
      <c r="L170" s="9" t="inlineStr">
        <is>
          <t>0</t>
        </is>
      </c>
      <c r="M170" s="9" t="inlineStr">
        <is>
          <t>0</t>
        </is>
      </c>
      <c r="N170" s="9" t="inlineStr">
        <is>
          <t>0</t>
        </is>
      </c>
      <c r="O170" s="10" t="inlineStr">
        <is>
          <t>1</t>
        </is>
      </c>
      <c r="P170" s="10" t="inlineStr">
        <is>
          <t>0</t>
        </is>
      </c>
      <c r="Q170" s="10" t="inlineStr">
        <is>
          <t>0</t>
        </is>
      </c>
      <c r="R170" s="10" t="inlineStr">
        <is>
          <t>0</t>
        </is>
      </c>
      <c r="S170" s="10" t="inlineStr">
        <is>
          <t>0</t>
        </is>
      </c>
    </row>
    <row r="171" ht="296" customHeight="1">
      <c r="A171" s="6">
        <f>IFERROR(__xludf.DUMMYFUNCTION("""COMPUTED_VALUE"""),"Refraction of light 2")</f>
        <v/>
      </c>
      <c r="B171" s="6">
        <f>IFERROR(__xludf.DUMMYFUNCTION("""COMPUTED_VALUE"""),"Application")</f>
        <v/>
      </c>
      <c r="C171" s="6">
        <f>IFERROR(__xludf.DUMMYFUNCTION("""COMPUTED_VALUE"""),"Quiz Tool")</f>
        <v/>
      </c>
      <c r="D171" s="7">
        <f>IFERROR(__xludf.DUMMYFUNCTION("""COMPUTED_VALUE"""),"No task description")</f>
        <v/>
      </c>
      <c r="E17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71" s="7" t="inlineStr">
        <is>
          <t>Students were given tasks with embedded artifacts from websites like YouTube, Met Office, and Golabz app/lab, providing educational content on topics like rainbows and quizzes.</t>
        </is>
      </c>
      <c r="G171" s="8" t="inlineStr">
        <is>
          <t>0</t>
        </is>
      </c>
      <c r="H171" s="8" t="inlineStr">
        <is>
          <t>1</t>
        </is>
      </c>
      <c r="I171" s="8" t="inlineStr">
        <is>
          <t>1</t>
        </is>
      </c>
      <c r="J171" s="8" t="inlineStr">
        <is>
          <t>1</t>
        </is>
      </c>
      <c r="K171" s="9" t="inlineStr">
        <is>
          <t>1</t>
        </is>
      </c>
      <c r="L171" s="9" t="inlineStr">
        <is>
          <t>1</t>
        </is>
      </c>
      <c r="M171" s="9" t="inlineStr">
        <is>
          <t>0</t>
        </is>
      </c>
      <c r="N171" s="9" t="inlineStr">
        <is>
          <t>0</t>
        </is>
      </c>
      <c r="O171" s="10" t="inlineStr">
        <is>
          <t>0</t>
        </is>
      </c>
      <c r="P171" s="10" t="inlineStr">
        <is>
          <t>0</t>
        </is>
      </c>
      <c r="Q171" s="10" t="inlineStr">
        <is>
          <t>0</t>
        </is>
      </c>
      <c r="R171" s="10" t="inlineStr">
        <is>
          <t>0</t>
        </is>
      </c>
      <c r="S171" s="10" t="inlineStr">
        <is>
          <t>1</t>
        </is>
      </c>
    </row>
    <row r="172" ht="25" customHeight="1">
      <c r="A172" s="6">
        <f>IFERROR(__xludf.DUMMYFUNCTION("""COMPUTED_VALUE"""),"Refraction of light 2")</f>
        <v/>
      </c>
      <c r="B172" s="6">
        <f>IFERROR(__xludf.DUMMYFUNCTION("""COMPUTED_VALUE"""),"Space")</f>
        <v/>
      </c>
      <c r="C172" s="6">
        <f>IFERROR(__xludf.DUMMYFUNCTION("""COMPUTED_VALUE"""),"Student Dashboard")</f>
        <v/>
      </c>
      <c r="D172" s="7">
        <f>IFERROR(__xludf.DUMMYFUNCTION("""COMPUTED_VALUE"""),"No task description")</f>
        <v/>
      </c>
      <c r="E172" s="7">
        <f>IFERROR(__xludf.DUMMYFUNCTION("""COMPUTED_VALUE"""),"No artifact embedded")</f>
        <v/>
      </c>
      <c r="F172" s="7" t="inlineStr">
        <is>
          <t>Students are given tasks with descriptions and access to external resources like metoffice.gov.uk and Golabz app/lab for interactive learning.</t>
        </is>
      </c>
      <c r="G172" s="8" t="inlineStr">
        <is>
          <t>0</t>
        </is>
      </c>
      <c r="H172" s="8" t="inlineStr">
        <is>
          <t>0</t>
        </is>
      </c>
      <c r="I172" s="8" t="inlineStr">
        <is>
          <t>0</t>
        </is>
      </c>
      <c r="J172" s="8" t="inlineStr">
        <is>
          <t>0</t>
        </is>
      </c>
      <c r="K172" s="9" t="inlineStr">
        <is>
          <t>0</t>
        </is>
      </c>
      <c r="L172" s="9" t="inlineStr">
        <is>
          <t>0</t>
        </is>
      </c>
      <c r="M172" s="9" t="inlineStr">
        <is>
          <t>0</t>
        </is>
      </c>
      <c r="N172" s="9" t="inlineStr">
        <is>
          <t>0</t>
        </is>
      </c>
      <c r="O172" s="10" t="inlineStr">
        <is>
          <t>0</t>
        </is>
      </c>
      <c r="P172" s="10" t="inlineStr">
        <is>
          <t>0</t>
        </is>
      </c>
      <c r="Q172" s="10" t="inlineStr">
        <is>
          <t>0</t>
        </is>
      </c>
      <c r="R172" s="10" t="inlineStr">
        <is>
          <t>0</t>
        </is>
      </c>
      <c r="S172" s="10" t="inlineStr">
        <is>
          <t>0</t>
        </is>
      </c>
    </row>
    <row r="173" ht="49" customHeight="1">
      <c r="A173" s="6">
        <f>IFERROR(__xludf.DUMMYFUNCTION("""COMPUTED_VALUE"""),"ILS test")</f>
        <v/>
      </c>
      <c r="B173" s="6">
        <f>IFERROR(__xludf.DUMMYFUNCTION("""COMPUTED_VALUE"""),"Space")</f>
        <v/>
      </c>
      <c r="C173" s="6">
        <f>IFERROR(__xludf.DUMMYFUNCTION("""COMPUTED_VALUE"""),"phase 1")</f>
        <v/>
      </c>
      <c r="D173" s="7">
        <f>IFERROR(__xludf.DUMMYFUNCTION("""COMPUTED_VALUE"""),"&lt;p&gt;This is a description for the orientation.&lt;/p&gt;")</f>
        <v/>
      </c>
      <c r="E173" s="7">
        <f>IFERROR(__xludf.DUMMYFUNCTION("""COMPUTED_VALUE"""),"No artifact embedded")</f>
        <v/>
      </c>
      <c r="F173" s="7" t="inlineStr">
        <is>
          <t>No task descriptions were provided, except for Item3. Only Item1 has an embedded artifact, describing the Golabz app/lab quiz features.</t>
        </is>
      </c>
      <c r="G173" s="8" t="inlineStr">
        <is>
          <t>0</t>
        </is>
      </c>
      <c r="H173" s="8" t="inlineStr">
        <is>
          <t>0</t>
        </is>
      </c>
      <c r="I173" s="8" t="inlineStr">
        <is>
          <t>0</t>
        </is>
      </c>
      <c r="J173" s="8" t="inlineStr">
        <is>
          <t>0</t>
        </is>
      </c>
      <c r="K173" s="9" t="inlineStr">
        <is>
          <t>1</t>
        </is>
      </c>
      <c r="L173" s="9" t="inlineStr">
        <is>
          <t>0</t>
        </is>
      </c>
      <c r="M173" s="9" t="inlineStr">
        <is>
          <t>0</t>
        </is>
      </c>
      <c r="N173" s="9" t="inlineStr">
        <is>
          <t>0</t>
        </is>
      </c>
      <c r="O173" s="10" t="inlineStr">
        <is>
          <t>0</t>
        </is>
      </c>
      <c r="P173" s="10" t="inlineStr">
        <is>
          <t>0</t>
        </is>
      </c>
      <c r="Q173" s="10" t="inlineStr">
        <is>
          <t>0</t>
        </is>
      </c>
      <c r="R173" s="10" t="inlineStr">
        <is>
          <t>0</t>
        </is>
      </c>
      <c r="S173" s="10" t="inlineStr">
        <is>
          <t>0</t>
        </is>
      </c>
    </row>
    <row r="174" ht="409.5" customHeight="1">
      <c r="A174" s="6">
        <f>IFERROR(__xludf.DUMMYFUNCTION("""COMPUTED_VALUE"""),"ILS test")</f>
        <v/>
      </c>
      <c r="B174" s="6">
        <f>IFERROR(__xludf.DUMMYFUNCTION("""COMPUTED_VALUE"""),"Application")</f>
        <v/>
      </c>
      <c r="C174" s="6">
        <f>IFERROR(__xludf.DUMMYFUNCTION("""COMPUTED_VALUE"""),"Bond app")</f>
        <v/>
      </c>
      <c r="D174" s="7">
        <f>IFERROR(__xludf.DUMMYFUNCTION("""COMPUTED_VALUE"""),"No task description")</f>
        <v/>
      </c>
      <c r="E174" s="7">
        <f>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
      </c>
      <c r="F174" s="7" t="inlineStr">
        <is>
          <t>Students receive task descriptions and access embedded artifacts, including the Golabz app "Bond" for learning chemistry concepts like solubility and precipitation.</t>
        </is>
      </c>
      <c r="G174" s="8" t="inlineStr">
        <is>
          <t>0</t>
        </is>
      </c>
      <c r="H174" s="8" t="inlineStr">
        <is>
          <t>1</t>
        </is>
      </c>
      <c r="I174" s="8" t="inlineStr">
        <is>
          <t>1</t>
        </is>
      </c>
      <c r="J174" s="8" t="inlineStr">
        <is>
          <t>1</t>
        </is>
      </c>
      <c r="K174" s="9" t="inlineStr">
        <is>
          <t>1</t>
        </is>
      </c>
      <c r="L174" s="9" t="inlineStr">
        <is>
          <t>1</t>
        </is>
      </c>
      <c r="M174" s="9" t="inlineStr">
        <is>
          <t>0</t>
        </is>
      </c>
      <c r="N174" s="9" t="inlineStr">
        <is>
          <t>0</t>
        </is>
      </c>
      <c r="O174" s="10" t="inlineStr">
        <is>
          <t>1</t>
        </is>
      </c>
      <c r="P174" s="10" t="inlineStr">
        <is>
          <t>0</t>
        </is>
      </c>
      <c r="Q174" s="10" t="inlineStr">
        <is>
          <t>1</t>
        </is>
      </c>
      <c r="R174" s="10" t="inlineStr">
        <is>
          <t>0</t>
        </is>
      </c>
      <c r="S174" s="10" t="inlineStr">
        <is>
          <t>0</t>
        </is>
      </c>
    </row>
    <row r="175" ht="157" customHeight="1">
      <c r="A175" s="6">
        <f>IFERROR(__xludf.DUMMYFUNCTION("""COMPUTED_VALUE"""),"ILS test")</f>
        <v/>
      </c>
      <c r="B175" s="6">
        <f>IFERROR(__xludf.DUMMYFUNCTION("""COMPUTED_VALUE"""),"Resource")</f>
        <v/>
      </c>
      <c r="C175" s="6">
        <f>IFERROR(__xludf.DUMMYFUNCTION("""COMPUTED_VALUE"""),"This is a doc test for the ils.docx")</f>
        <v/>
      </c>
      <c r="D175" s="7">
        <f>IFERROR(__xludf.DUMMYFUNCTION("""COMPUTED_VALUE"""),"This is a doc test for the ils !")</f>
        <v/>
      </c>
      <c r="E175" s="7">
        <f>IFERROR(__xludf.DUMMYFUNCTION("""COMPUTED_VALUE"""),"application/vnd.openxmlformats-officedocument.wordprocessingml.document – A Microsoft Word document (DOCX), typically containing formatted text, images, and tables.")</f>
        <v/>
      </c>
      <c r="F175" s="7" t="inlineStr">
        <is>
          <t>Students received task descriptions and interacted with artifacts like Golabz app/lab and a Microsoft Word document.</t>
        </is>
      </c>
      <c r="G175" s="8" t="inlineStr">
        <is>
          <t>1</t>
        </is>
      </c>
      <c r="H175" s="8" t="inlineStr">
        <is>
          <t>0</t>
        </is>
      </c>
      <c r="I175" s="8" t="inlineStr">
        <is>
          <t>0</t>
        </is>
      </c>
      <c r="J175" s="8" t="inlineStr">
        <is>
          <t>0</t>
        </is>
      </c>
      <c r="K175" s="9" t="inlineStr">
        <is>
          <t>1</t>
        </is>
      </c>
      <c r="L175" s="9" t="inlineStr">
        <is>
          <t>1</t>
        </is>
      </c>
      <c r="M175" s="9" t="inlineStr">
        <is>
          <t>0</t>
        </is>
      </c>
      <c r="N175" s="9" t="inlineStr">
        <is>
          <t>0</t>
        </is>
      </c>
      <c r="O175" s="10" t="inlineStr">
        <is>
          <t>0</t>
        </is>
      </c>
      <c r="P175" s="10" t="inlineStr">
        <is>
          <t>0</t>
        </is>
      </c>
      <c r="Q175" s="10" t="inlineStr">
        <is>
          <t>0</t>
        </is>
      </c>
      <c r="R175" s="10" t="inlineStr">
        <is>
          <t>0</t>
        </is>
      </c>
      <c r="S175" s="10" t="inlineStr">
        <is>
          <t>0</t>
        </is>
      </c>
    </row>
    <row r="176" ht="145" customHeight="1">
      <c r="A176" s="6">
        <f>IFERROR(__xludf.DUMMYFUNCTION("""COMPUTED_VALUE"""),"ILS test")</f>
        <v/>
      </c>
      <c r="B176" s="6">
        <f>IFERROR(__xludf.DUMMYFUNCTION("""COMPUTED_VALUE"""),"Resource")</f>
        <v/>
      </c>
      <c r="C176" s="6">
        <f>IFERROR(__xludf.DUMMYFUNCTION("""COMPUTED_VALUE"""),"graasp doc test.graasp")</f>
        <v/>
      </c>
      <c r="D176" s="7">
        <f>IFERROR(__xludf.DUMMYFUNCTION("""COMPUTED_VALUE"""),"&lt;p&gt;This is a &lt;a href=""http://grassp.eu"" target=""_blank""&gt;Graasp&lt;/a&gt; document where one can have words in &lt;strong&gt;bold&lt;/strong&gt; and &lt;em&gt;italics&lt;/em&gt;.&lt;br&gt;&lt;/p&gt;")</f>
        <v/>
      </c>
      <c r="E176" s="7">
        <f>IFERROR(__xludf.DUMMYFUNCTION("""COMPUTED_VALUE"""),"No artifact embedded")</f>
        <v/>
      </c>
      <c r="F176" s="7" t="inlineStr">
        <is>
          <t>Students received task descriptions with embedded artifacts, including a chemistry lab app and Microsoft Word document.</t>
        </is>
      </c>
      <c r="G176" s="8" t="inlineStr">
        <is>
          <t>1</t>
        </is>
      </c>
      <c r="H176" s="8" t="inlineStr">
        <is>
          <t>0</t>
        </is>
      </c>
      <c r="I176" s="8" t="inlineStr">
        <is>
          <t>0</t>
        </is>
      </c>
      <c r="J176" s="8" t="inlineStr">
        <is>
          <t>0</t>
        </is>
      </c>
      <c r="K176" s="9" t="inlineStr">
        <is>
          <t>0</t>
        </is>
      </c>
      <c r="L176" s="9" t="inlineStr">
        <is>
          <t>0</t>
        </is>
      </c>
      <c r="M176" s="9" t="inlineStr">
        <is>
          <t>0</t>
        </is>
      </c>
      <c r="N176" s="9" t="inlineStr">
        <is>
          <t>0</t>
        </is>
      </c>
      <c r="O176" s="10" t="inlineStr">
        <is>
          <t>0</t>
        </is>
      </c>
      <c r="P176" s="10" t="inlineStr">
        <is>
          <t>0</t>
        </is>
      </c>
      <c r="Q176" s="10" t="inlineStr">
        <is>
          <t>0</t>
        </is>
      </c>
      <c r="R176" s="10" t="inlineStr">
        <is>
          <t>0</t>
        </is>
      </c>
      <c r="S176" s="10" t="inlineStr">
        <is>
          <t>0</t>
        </is>
      </c>
    </row>
    <row r="177" ht="409.5" customHeight="1">
      <c r="A177" s="6">
        <f>IFERROR(__xludf.DUMMYFUNCTION("""COMPUTED_VALUE"""),"ILS test")</f>
        <v/>
      </c>
      <c r="B177" s="6">
        <f>IFERROR(__xludf.DUMMYFUNCTION("""COMPUTED_VALUE"""),"Application")</f>
        <v/>
      </c>
      <c r="C177" s="6">
        <f>IFERROR(__xludf.DUMMYFUNCTION("""COMPUTED_VALUE"""),"Hypothesis Scratchpad")</f>
        <v/>
      </c>
      <c r="D177" s="7">
        <f>IFERROR(__xludf.DUMMYFUNCTION("""COMPUTED_VALUE"""),"No task description")</f>
        <v/>
      </c>
      <c r="E177"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77" s="7" t="inlineStr">
        <is>
          <t>Students were given task descriptions with embedded artifacts, including Word documents and interactive tools like Hypothesis Scratchpad.</t>
        </is>
      </c>
      <c r="G177" s="8" t="inlineStr">
        <is>
          <t>0</t>
        </is>
      </c>
      <c r="H177" s="8" t="inlineStr">
        <is>
          <t>1</t>
        </is>
      </c>
      <c r="I177" s="8" t="inlineStr">
        <is>
          <t>1</t>
        </is>
      </c>
      <c r="J177" s="8" t="inlineStr">
        <is>
          <t>0</t>
        </is>
      </c>
      <c r="K177" s="9" t="inlineStr">
        <is>
          <t>0</t>
        </is>
      </c>
      <c r="L177" s="9" t="inlineStr">
        <is>
          <t>1</t>
        </is>
      </c>
      <c r="M177" s="9" t="inlineStr">
        <is>
          <t>0</t>
        </is>
      </c>
      <c r="N177" s="9" t="inlineStr">
        <is>
          <t>1</t>
        </is>
      </c>
      <c r="O177" s="10" t="inlineStr">
        <is>
          <t>0</t>
        </is>
      </c>
      <c r="P177" s="10" t="inlineStr">
        <is>
          <t>1</t>
        </is>
      </c>
      <c r="Q177" s="10" t="inlineStr">
        <is>
          <t>1</t>
        </is>
      </c>
      <c r="R177" s="10" t="inlineStr">
        <is>
          <t>0</t>
        </is>
      </c>
      <c r="S177" s="10" t="inlineStr">
        <is>
          <t>0</t>
        </is>
      </c>
    </row>
    <row r="178" ht="109" customHeight="1">
      <c r="A178" s="6">
        <f>IFERROR(__xludf.DUMMYFUNCTION("""COMPUTED_VALUE"""),"ILS test")</f>
        <v/>
      </c>
      <c r="B178" s="6">
        <f>IFERROR(__xludf.DUMMYFUNCTION("""COMPUTED_VALUE"""),"Topic")</f>
        <v/>
      </c>
      <c r="C178" s="6">
        <f>IFERROR(__xludf.DUMMYFUNCTION("""COMPUTED_VALUE"""),"discussion test")</f>
        <v/>
      </c>
      <c r="D178" s="7">
        <f>IFERROR(__xludf.DUMMYFUNCTION("""COMPUTED_VALUE"""),"No task description")</f>
        <v/>
      </c>
      <c r="E178" s="7">
        <f>IFERROR(__xludf.DUMMYFUNCTION("""COMPUTED_VALUE"""),"text/html – A webpage or web document that contains structured text, images, and links, designed for display in a web browser.")</f>
        <v/>
      </c>
      <c r="F178" s="7" t="inlineStr">
        <is>
          <t>Students are given tasks with embedded artifacts, including a Graasp document, Golabz app, and HTML webpage.</t>
        </is>
      </c>
      <c r="G178" s="8" t="inlineStr">
        <is>
          <t>1</t>
        </is>
      </c>
      <c r="H178" s="8" t="inlineStr">
        <is>
          <t>0</t>
        </is>
      </c>
      <c r="I178" s="8" t="inlineStr">
        <is>
          <t>0</t>
        </is>
      </c>
      <c r="J178" s="8" t="inlineStr">
        <is>
          <t>0</t>
        </is>
      </c>
      <c r="K178" s="9" t="inlineStr">
        <is>
          <t>1</t>
        </is>
      </c>
      <c r="L178" s="9" t="inlineStr">
        <is>
          <t>0</t>
        </is>
      </c>
      <c r="M178" s="9" t="inlineStr">
        <is>
          <t>0</t>
        </is>
      </c>
      <c r="N178" s="9" t="inlineStr">
        <is>
          <t>0</t>
        </is>
      </c>
      <c r="O178" s="10" t="inlineStr">
        <is>
          <t>0</t>
        </is>
      </c>
      <c r="P178" s="10" t="inlineStr">
        <is>
          <t>0</t>
        </is>
      </c>
      <c r="Q178" s="10" t="inlineStr">
        <is>
          <t>0</t>
        </is>
      </c>
      <c r="R178" s="10" t="inlineStr">
        <is>
          <t>0</t>
        </is>
      </c>
      <c r="S178" s="10" t="inlineStr">
        <is>
          <t>0</t>
        </is>
      </c>
    </row>
    <row r="179" ht="85" customHeight="1">
      <c r="A179" s="6">
        <f>IFERROR(__xludf.DUMMYFUNCTION("""COMPUTED_VALUE"""),"ILS test")</f>
        <v/>
      </c>
      <c r="B179" s="6">
        <f>IFERROR(__xludf.DUMMYFUNCTION("""COMPUTED_VALUE"""),"Resource")</f>
        <v/>
      </c>
      <c r="C179" s="6">
        <f>IFERROR(__xludf.DUMMYFUNCTION("""COMPUTED_VALUE"""),"Home | Golabz")</f>
        <v/>
      </c>
      <c r="D179" s="7">
        <f>IFERROR(__xludf.DUMMYFUNCTION("""COMPUTED_VALUE"""),"No task description")</f>
        <v/>
      </c>
      <c r="E179" s="7">
        <f>IFERROR(__xludf.DUMMYFUNCTION("""COMPUTED_VALUE"""),"golabz.eu: A platform for finding and sharing online labs and inquiry learning applications.")</f>
        <v/>
      </c>
      <c r="F179" s="7" t="inlineStr">
        <is>
          <t>No instructions provided; embedded artifacts include Golabz app, HTML webpage, and golabz.eu platform.</t>
        </is>
      </c>
      <c r="G179" s="8" t="inlineStr">
        <is>
          <t>1</t>
        </is>
      </c>
      <c r="H179" s="8" t="inlineStr">
        <is>
          <t>0</t>
        </is>
      </c>
      <c r="I179" s="8" t="inlineStr">
        <is>
          <t>0</t>
        </is>
      </c>
      <c r="J179" s="8" t="inlineStr">
        <is>
          <t>0</t>
        </is>
      </c>
      <c r="K179" s="9" t="inlineStr">
        <is>
          <t>1</t>
        </is>
      </c>
      <c r="L179" s="9" t="inlineStr">
        <is>
          <t>0</t>
        </is>
      </c>
      <c r="M179" s="9" t="inlineStr">
        <is>
          <t>0</t>
        </is>
      </c>
      <c r="N179" s="9" t="inlineStr">
        <is>
          <t>0</t>
        </is>
      </c>
      <c r="O179" s="10" t="inlineStr">
        <is>
          <t>0</t>
        </is>
      </c>
      <c r="P179" s="10" t="inlineStr">
        <is>
          <t>0</t>
        </is>
      </c>
      <c r="Q179" s="10" t="inlineStr">
        <is>
          <t>0</t>
        </is>
      </c>
      <c r="R179" s="10" t="inlineStr">
        <is>
          <t>0</t>
        </is>
      </c>
      <c r="S179" s="10" t="inlineStr">
        <is>
          <t>0</t>
        </is>
      </c>
    </row>
    <row r="180" ht="25" customHeight="1">
      <c r="A180" s="6">
        <f>IFERROR(__xludf.DUMMYFUNCTION("""COMPUTED_VALUE"""),"ILS test")</f>
        <v/>
      </c>
      <c r="B180" s="6">
        <f>IFERROR(__xludf.DUMMYFUNCTION("""COMPUTED_VALUE"""),"Space")</f>
        <v/>
      </c>
      <c r="C180" s="6">
        <f>IFERROR(__xludf.DUMMYFUNCTION("""COMPUTED_VALUE"""),"phase2")</f>
        <v/>
      </c>
      <c r="D180" s="7">
        <f>IFERROR(__xludf.DUMMYFUNCTION("""COMPUTED_VALUE"""),"No task description")</f>
        <v/>
      </c>
      <c r="E180" s="7">
        <f>IFERROR(__xludf.DUMMYFUNCTION("""COMPUTED_VALUE"""),"No artifact embedded")</f>
        <v/>
      </c>
      <c r="F180" s="7" t="inlineStr">
        <is>
          <t>No instructions are provided; artifacts include HTML webpages, a lab-sharing platform (golabz.eu), and no artifact in the third item.</t>
        </is>
      </c>
      <c r="G180" s="8" t="inlineStr">
        <is>
          <t>0</t>
        </is>
      </c>
      <c r="H180" s="8" t="inlineStr">
        <is>
          <t>0</t>
        </is>
      </c>
      <c r="I180" s="8" t="inlineStr">
        <is>
          <t>0</t>
        </is>
      </c>
      <c r="J180" s="8" t="inlineStr">
        <is>
          <t>0</t>
        </is>
      </c>
      <c r="K180" s="9" t="inlineStr">
        <is>
          <t>0</t>
        </is>
      </c>
      <c r="L180" s="9" t="inlineStr">
        <is>
          <t>0</t>
        </is>
      </c>
      <c r="M180" s="9" t="inlineStr">
        <is>
          <t>0</t>
        </is>
      </c>
      <c r="N180" s="9" t="inlineStr">
        <is>
          <t>0</t>
        </is>
      </c>
      <c r="O180" s="10" t="inlineStr">
        <is>
          <t>0</t>
        </is>
      </c>
      <c r="P180" s="10" t="inlineStr">
        <is>
          <t>0</t>
        </is>
      </c>
      <c r="Q180" s="10" t="inlineStr">
        <is>
          <t>0</t>
        </is>
      </c>
      <c r="R180" s="10" t="inlineStr">
        <is>
          <t>0</t>
        </is>
      </c>
      <c r="S180" s="10" t="inlineStr">
        <is>
          <t>0</t>
        </is>
      </c>
    </row>
    <row r="181" ht="329" customHeight="1">
      <c r="A181" s="6">
        <f>IFERROR(__xludf.DUMMYFUNCTION("""COMPUTED_VALUE"""),"ILS test")</f>
        <v/>
      </c>
      <c r="B181" s="6">
        <f>IFERROR(__xludf.DUMMYFUNCTION("""COMPUTED_VALUE"""),"Application")</f>
        <v/>
      </c>
      <c r="C181" s="6">
        <f>IFERROR(__xludf.DUMMYFUNCTION("""COMPUTED_VALUE"""),"Input Box")</f>
        <v/>
      </c>
      <c r="D181" s="7">
        <f>IFERROR(__xludf.DUMMYFUNCTION("""COMPUTED_VALUE"""),"No task description")</f>
        <v/>
      </c>
      <c r="E1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1" s="7" t="inlineStr">
        <is>
          <t>No task descriptions provided; artifacts include Golabz platform and a note-taking app with optional collaboration mode.</t>
        </is>
      </c>
      <c r="G181" s="8" t="inlineStr">
        <is>
          <t>0</t>
        </is>
      </c>
      <c r="H181" s="8" t="inlineStr">
        <is>
          <t>1</t>
        </is>
      </c>
      <c r="I181" s="8" t="inlineStr">
        <is>
          <t>1</t>
        </is>
      </c>
      <c r="J181" s="8" t="inlineStr">
        <is>
          <t>1</t>
        </is>
      </c>
      <c r="K181" s="9" t="inlineStr">
        <is>
          <t>0</t>
        </is>
      </c>
      <c r="L181" s="9" t="inlineStr">
        <is>
          <t>1</t>
        </is>
      </c>
      <c r="M181" s="9" t="inlineStr">
        <is>
          <t>0</t>
        </is>
      </c>
      <c r="N181" s="9" t="inlineStr">
        <is>
          <t>0</t>
        </is>
      </c>
      <c r="O181" s="10" t="inlineStr">
        <is>
          <t>0</t>
        </is>
      </c>
      <c r="P181" s="10" t="inlineStr">
        <is>
          <t>0</t>
        </is>
      </c>
      <c r="Q181" s="10" t="inlineStr">
        <is>
          <t>0</t>
        </is>
      </c>
      <c r="R181" s="10" t="inlineStr">
        <is>
          <t>0</t>
        </is>
      </c>
      <c r="S181" s="10" t="inlineStr">
        <is>
          <t>1</t>
        </is>
      </c>
    </row>
    <row r="182" ht="241" customHeight="1">
      <c r="A182" s="6">
        <f>IFERROR(__xludf.DUMMYFUNCTION("""COMPUTED_VALUE"""),"ILS test")</f>
        <v/>
      </c>
      <c r="B182" s="6">
        <f>IFERROR(__xludf.DUMMYFUNCTION("""COMPUTED_VALUE"""),"Application")</f>
        <v/>
      </c>
      <c r="C182" s="6">
        <f>IFERROR(__xludf.DUMMYFUNCTION("""COMPUTED_VALUE"""),"Quest")</f>
        <v/>
      </c>
      <c r="D182" s="7">
        <f>IFERROR(__xludf.DUMMYFUNCTION("""COMPUTED_VALUE"""),"No task description")</f>
        <v/>
      </c>
      <c r="E182"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182" s="7" t="inlineStr">
        <is>
          <t>No task descriptions are provided, but artifacts include Golabz apps for note-taking and creating surveys.</t>
        </is>
      </c>
      <c r="G182" s="8" t="inlineStr">
        <is>
          <t>1</t>
        </is>
      </c>
      <c r="H182" s="8" t="inlineStr">
        <is>
          <t>1</t>
        </is>
      </c>
      <c r="I182" s="8" t="inlineStr">
        <is>
          <t>1</t>
        </is>
      </c>
      <c r="J182" s="8" t="inlineStr">
        <is>
          <t>0</t>
        </is>
      </c>
      <c r="K182" s="9" t="inlineStr">
        <is>
          <t>0</t>
        </is>
      </c>
      <c r="L182" s="9" t="inlineStr">
        <is>
          <t>1</t>
        </is>
      </c>
      <c r="M182" s="9" t="inlineStr">
        <is>
          <t>0</t>
        </is>
      </c>
      <c r="N182" s="9" t="inlineStr">
        <is>
          <t>0</t>
        </is>
      </c>
      <c r="O182" s="10" t="inlineStr">
        <is>
          <t>0</t>
        </is>
      </c>
      <c r="P182" s="10" t="inlineStr">
        <is>
          <t>1</t>
        </is>
      </c>
      <c r="Q182" s="10" t="inlineStr">
        <is>
          <t>0</t>
        </is>
      </c>
      <c r="R182" s="10" t="inlineStr">
        <is>
          <t>0</t>
        </is>
      </c>
      <c r="S182" s="10" t="inlineStr">
        <is>
          <t>1</t>
        </is>
      </c>
    </row>
    <row r="183" ht="329" customHeight="1">
      <c r="A183" s="6">
        <f>IFERROR(__xludf.DUMMYFUNCTION("""COMPUTED_VALUE"""),"ILS test")</f>
        <v/>
      </c>
      <c r="B183" s="6">
        <f>IFERROR(__xludf.DUMMYFUNCTION("""COMPUTED_VALUE"""),"Application")</f>
        <v/>
      </c>
      <c r="C183" s="6">
        <f>IFERROR(__xludf.DUMMYFUNCTION("""COMPUTED_VALUE"""),"Input Box (1)")</f>
        <v/>
      </c>
      <c r="D183" s="7">
        <f>IFERROR(__xludf.DUMMYFUNCTION("""COMPUTED_VALUE"""),"&lt;p&gt;&lt;em&gt;Merci &lt;/em&gt;d'&lt;strong&gt;écrire un commentaire ;-)&lt;/strong&gt;&lt;/p&gt;")</f>
        <v/>
      </c>
      <c r="E18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3" s="7" t="inlineStr">
        <is>
          <t>Students have no task descriptions, but use Golabz apps like Input Box and Quest for note-taking and surveys.</t>
        </is>
      </c>
      <c r="G183" s="8" t="inlineStr">
        <is>
          <t>0</t>
        </is>
      </c>
      <c r="H183" s="8" t="inlineStr">
        <is>
          <t>1</t>
        </is>
      </c>
      <c r="I183" s="8" t="inlineStr">
        <is>
          <t>1</t>
        </is>
      </c>
      <c r="J183" s="8" t="inlineStr">
        <is>
          <t>0</t>
        </is>
      </c>
      <c r="K183" s="9" t="inlineStr">
        <is>
          <t>0</t>
        </is>
      </c>
      <c r="L183" s="9" t="inlineStr">
        <is>
          <t>1</t>
        </is>
      </c>
      <c r="M183" s="9" t="inlineStr">
        <is>
          <t>0</t>
        </is>
      </c>
      <c r="N183" s="9" t="inlineStr">
        <is>
          <t>0</t>
        </is>
      </c>
      <c r="O183" s="10" t="inlineStr">
        <is>
          <t>0</t>
        </is>
      </c>
      <c r="P183" s="10" t="inlineStr">
        <is>
          <t>0</t>
        </is>
      </c>
      <c r="Q183" s="10" t="inlineStr">
        <is>
          <t>0</t>
        </is>
      </c>
      <c r="R183" s="10" t="inlineStr">
        <is>
          <t>0</t>
        </is>
      </c>
      <c r="S183" s="10" t="inlineStr">
        <is>
          <t>1</t>
        </is>
      </c>
    </row>
    <row r="184" ht="409.5" customHeight="1">
      <c r="A184" s="6">
        <f>IFERROR(__xludf.DUMMYFUNCTION("""COMPUTED_VALUE"""),"ILS test")</f>
        <v/>
      </c>
      <c r="B184" s="6">
        <f>IFERROR(__xludf.DUMMYFUNCTION("""COMPUTED_VALUE"""),"Application")</f>
        <v/>
      </c>
      <c r="C184" s="6">
        <f>IFERROR(__xludf.DUMMYFUNCTION("""COMPUTED_VALUE"""),"Hypothesis Scratchpad")</f>
        <v/>
      </c>
      <c r="D184" s="7">
        <f>IFERROR(__xludf.DUMMYFUNCTION("""COMPUTED_VALUE"""),"&lt;p&gt;Create your hypothesis&lt;/p&gt;")</f>
        <v/>
      </c>
      <c r="E184"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84" s="7" t="inlineStr">
        <is>
          <t>Students are given tasks with Golabz app/lab tools: Quest, Input Box, and Hypothesis Scratchpad for surveys, note-taking, and hypothesis formulation.</t>
        </is>
      </c>
      <c r="G184" s="8" t="inlineStr">
        <is>
          <t>0</t>
        </is>
      </c>
      <c r="H184" s="8" t="inlineStr">
        <is>
          <t>1</t>
        </is>
      </c>
      <c r="I184" s="8" t="inlineStr">
        <is>
          <t>1</t>
        </is>
      </c>
      <c r="J184" s="8" t="inlineStr">
        <is>
          <t>1</t>
        </is>
      </c>
      <c r="K184" s="9" t="inlineStr">
        <is>
          <t>0</t>
        </is>
      </c>
      <c r="L184" s="9" t="inlineStr">
        <is>
          <t>1</t>
        </is>
      </c>
      <c r="M184" s="9" t="inlineStr">
        <is>
          <t>0</t>
        </is>
      </c>
      <c r="N184" s="9" t="inlineStr">
        <is>
          <t>0</t>
        </is>
      </c>
      <c r="O184" s="10" t="inlineStr">
        <is>
          <t>0</t>
        </is>
      </c>
      <c r="P184" s="10" t="inlineStr">
        <is>
          <t>1</t>
        </is>
      </c>
      <c r="Q184" s="10" t="inlineStr">
        <is>
          <t>1</t>
        </is>
      </c>
      <c r="R184" s="10" t="inlineStr">
        <is>
          <t>0</t>
        </is>
      </c>
      <c r="S184" s="10" t="inlineStr">
        <is>
          <t>0</t>
        </is>
      </c>
    </row>
    <row r="185" ht="409.5" customHeight="1">
      <c r="A185" s="6">
        <f>IFERROR(__xludf.DUMMYFUNCTION("""COMPUTED_VALUE"""),"ILS test")</f>
        <v/>
      </c>
      <c r="B185" s="6">
        <f>IFERROR(__xludf.DUMMYFUNCTION("""COMPUTED_VALUE"""),"Application")</f>
        <v/>
      </c>
      <c r="C185" s="6">
        <f>IFERROR(__xludf.DUMMYFUNCTION("""COMPUTED_VALUE"""),"Create a concept mapper")</f>
        <v/>
      </c>
      <c r="D185" s="7">
        <f>IFERROR(__xludf.DUMMYFUNCTION("""COMPUTED_VALUE"""),"No task description")</f>
        <v/>
      </c>
      <c r="E185"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85" s="7" t="inlineStr">
        <is>
          <t>Students are instructed to write comments, create hypotheses, and no task is described for Item3. Embedded artifacts include note-taking, hypothesis-forming, and concept-mapping apps.</t>
        </is>
      </c>
      <c r="G185" s="8" t="inlineStr">
        <is>
          <t>0</t>
        </is>
      </c>
      <c r="H185" s="8" t="inlineStr">
        <is>
          <t>1</t>
        </is>
      </c>
      <c r="I185" s="8" t="inlineStr">
        <is>
          <t>1</t>
        </is>
      </c>
      <c r="J185" s="8" t="inlineStr">
        <is>
          <t>0</t>
        </is>
      </c>
      <c r="K185" s="9" t="inlineStr">
        <is>
          <t>0</t>
        </is>
      </c>
      <c r="L185" s="9" t="inlineStr">
        <is>
          <t>1</t>
        </is>
      </c>
      <c r="M185" s="9" t="inlineStr">
        <is>
          <t>0</t>
        </is>
      </c>
      <c r="N185" s="9" t="inlineStr">
        <is>
          <t>0</t>
        </is>
      </c>
      <c r="O185" s="10" t="inlineStr">
        <is>
          <t>0</t>
        </is>
      </c>
      <c r="P185" s="10" t="inlineStr">
        <is>
          <t>1</t>
        </is>
      </c>
      <c r="Q185" s="10" t="inlineStr">
        <is>
          <t>0</t>
        </is>
      </c>
      <c r="R185" s="10" t="inlineStr">
        <is>
          <t>0</t>
        </is>
      </c>
      <c r="S185" s="10" t="inlineStr">
        <is>
          <t>1</t>
        </is>
      </c>
    </row>
    <row r="186" ht="409.5" customHeight="1">
      <c r="A186" s="6">
        <f>IFERROR(__xludf.DUMMYFUNCTION("""COMPUTED_VALUE"""),"ILS test")</f>
        <v/>
      </c>
      <c r="B186" s="6">
        <f>IFERROR(__xludf.DUMMYFUNCTION("""COMPUTED_VALUE"""),"Application")</f>
        <v/>
      </c>
      <c r="C186" s="6">
        <f>IFERROR(__xludf.DUMMYFUNCTION("""COMPUTED_VALUE"""),"Table Tool")</f>
        <v/>
      </c>
      <c r="D186" s="7">
        <f>IFERROR(__xludf.DUMMYFUNCTION("""COMPUTED_VALUE"""),"No task description")</f>
        <v/>
      </c>
      <c r="E18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86" s="7" t="inlineStr">
        <is>
          <t>Students create hypotheses and concept maps using Golabz apps with drag-and-drop features.</t>
        </is>
      </c>
      <c r="G186" s="8" t="inlineStr">
        <is>
          <t>0</t>
        </is>
      </c>
      <c r="H186" s="8" t="inlineStr">
        <is>
          <t>1</t>
        </is>
      </c>
      <c r="I186" s="8" t="inlineStr">
        <is>
          <t>1</t>
        </is>
      </c>
      <c r="J186" s="8" t="inlineStr">
        <is>
          <t>0</t>
        </is>
      </c>
      <c r="K186" s="9" t="inlineStr">
        <is>
          <t>0</t>
        </is>
      </c>
      <c r="L186" s="9" t="inlineStr">
        <is>
          <t>1</t>
        </is>
      </c>
      <c r="M186" s="9" t="inlineStr">
        <is>
          <t>1</t>
        </is>
      </c>
      <c r="N186" s="9" t="inlineStr">
        <is>
          <t>1</t>
        </is>
      </c>
      <c r="O186" s="10" t="inlineStr">
        <is>
          <t>0</t>
        </is>
      </c>
      <c r="P186" s="10" t="inlineStr">
        <is>
          <t>0</t>
        </is>
      </c>
      <c r="Q186" s="10" t="inlineStr">
        <is>
          <t>0</t>
        </is>
      </c>
      <c r="R186" s="10" t="inlineStr">
        <is>
          <t>0</t>
        </is>
      </c>
      <c r="S186" s="10" t="inlineStr">
        <is>
          <t>1</t>
        </is>
      </c>
    </row>
    <row r="187" ht="409.5" customHeight="1">
      <c r="A187" s="6">
        <f>IFERROR(__xludf.DUMMYFUNCTION("""COMPUTED_VALUE"""),"ILS test")</f>
        <v/>
      </c>
      <c r="B187" s="6">
        <f>IFERROR(__xludf.DUMMYFUNCTION("""COMPUTED_VALUE"""),"Application")</f>
        <v/>
      </c>
      <c r="C187" s="6">
        <f>IFERROR(__xludf.DUMMYFUNCTION("""COMPUTED_VALUE"""),"data viewer graphique de courses")</f>
        <v/>
      </c>
      <c r="D187" s="7">
        <f>IFERROR(__xludf.DUMMYFUNCTION("""COMPUTED_VALUE"""),"&lt;p&gt;Q&lt;/p&gt;")</f>
        <v/>
      </c>
      <c r="E187"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187" s="7" t="inlineStr">
        <is>
          <t>No task descriptions are provided; embedded artifacts include Golabz tools: Concept Mapper, Table, and Data Viewer.</t>
        </is>
      </c>
      <c r="G187" s="8" t="inlineStr">
        <is>
          <t>1</t>
        </is>
      </c>
      <c r="H187" s="8" t="inlineStr">
        <is>
          <t>1</t>
        </is>
      </c>
      <c r="I187" s="8" t="inlineStr">
        <is>
          <t>0</t>
        </is>
      </c>
      <c r="J187" s="8" t="inlineStr">
        <is>
          <t>0</t>
        </is>
      </c>
      <c r="K187" s="9" t="inlineStr">
        <is>
          <t>1</t>
        </is>
      </c>
      <c r="L187" s="9" t="inlineStr">
        <is>
          <t>0</t>
        </is>
      </c>
      <c r="M187" s="9" t="inlineStr">
        <is>
          <t>0</t>
        </is>
      </c>
      <c r="N187" s="9" t="inlineStr">
        <is>
          <t>1</t>
        </is>
      </c>
      <c r="O187" s="10" t="inlineStr">
        <is>
          <t>0</t>
        </is>
      </c>
      <c r="P187" s="10" t="inlineStr">
        <is>
          <t>0</t>
        </is>
      </c>
      <c r="Q187" s="10" t="inlineStr">
        <is>
          <t>1</t>
        </is>
      </c>
      <c r="R187" s="10" t="inlineStr">
        <is>
          <t>0</t>
        </is>
      </c>
      <c r="S187" s="10" t="inlineStr">
        <is>
          <t>0</t>
        </is>
      </c>
    </row>
    <row r="188" ht="25" customHeight="1">
      <c r="A188" s="6">
        <f>IFERROR(__xludf.DUMMYFUNCTION("""COMPUTED_VALUE"""),"ILS test")</f>
        <v/>
      </c>
      <c r="B188" s="6">
        <f>IFERROR(__xludf.DUMMYFUNCTION("""COMPUTED_VALUE"""),"Space")</f>
        <v/>
      </c>
      <c r="C188" s="6">
        <f>IFERROR(__xludf.DUMMYFUNCTION("""COMPUTED_VALUE"""),"Conclusion")</f>
        <v/>
      </c>
      <c r="D188" s="7">
        <f>IFERROR(__xludf.DUMMYFUNCTION("""COMPUTED_VALUE"""),"No task description")</f>
        <v/>
      </c>
      <c r="E188" s="7">
        <f>IFERROR(__xludf.DUMMYFUNCTION("""COMPUTED_VALUE"""),"No artifact embedded")</f>
        <v/>
      </c>
      <c r="F188" s="7" t="inlineStr">
        <is>
          <t>Students receive no task descriptions. Embedded artifacts include Golabz apps for table and data visualization tools with configuration instructions.</t>
        </is>
      </c>
      <c r="G188" s="8" t="inlineStr">
        <is>
          <t>0</t>
        </is>
      </c>
      <c r="H188" s="8" t="inlineStr">
        <is>
          <t>0</t>
        </is>
      </c>
      <c r="I188" s="8" t="inlineStr">
        <is>
          <t>0</t>
        </is>
      </c>
      <c r="J188" s="8" t="inlineStr">
        <is>
          <t>0</t>
        </is>
      </c>
      <c r="K188" s="9" t="inlineStr">
        <is>
          <t>0</t>
        </is>
      </c>
      <c r="L188" s="9" t="inlineStr">
        <is>
          <t>0</t>
        </is>
      </c>
      <c r="M188" s="9" t="inlineStr">
        <is>
          <t>0</t>
        </is>
      </c>
      <c r="N188" s="9" t="inlineStr">
        <is>
          <t>0</t>
        </is>
      </c>
      <c r="O188" s="10" t="inlineStr">
        <is>
          <t>0</t>
        </is>
      </c>
      <c r="P188" s="10" t="inlineStr">
        <is>
          <t>0</t>
        </is>
      </c>
      <c r="Q188" s="10" t="inlineStr">
        <is>
          <t>0</t>
        </is>
      </c>
      <c r="R188" s="10" t="inlineStr">
        <is>
          <t>0</t>
        </is>
      </c>
      <c r="S188" s="10" t="inlineStr">
        <is>
          <t>0</t>
        </is>
      </c>
    </row>
    <row r="189" ht="25" customHeight="1">
      <c r="A189" s="6">
        <f>IFERROR(__xludf.DUMMYFUNCTION("""COMPUTED_VALUE"""),"ILS test")</f>
        <v/>
      </c>
      <c r="B189" s="6">
        <f>IFERROR(__xludf.DUMMYFUNCTION("""COMPUTED_VALUE"""),"Space")</f>
        <v/>
      </c>
      <c r="C189" s="6">
        <f>IFERROR(__xludf.DUMMYFUNCTION("""COMPUTED_VALUE"""),"Discussion")</f>
        <v/>
      </c>
      <c r="D189" s="7">
        <f>IFERROR(__xludf.DUMMYFUNCTION("""COMPUTED_VALUE"""),"No task description")</f>
        <v/>
      </c>
      <c r="E189" s="7">
        <f>IFERROR(__xludf.DUMMYFUNCTION("""COMPUTED_VALUE"""),"No artifact embedded")</f>
        <v/>
      </c>
      <c r="F189" s="7" t="inlineStr">
        <is>
          <t>Students were given a task with an embedded Golabz app/lab, "Data Viewer", to visualize data from experiments.</t>
        </is>
      </c>
      <c r="G189" s="8" t="inlineStr">
        <is>
          <t>0</t>
        </is>
      </c>
      <c r="H189" s="8" t="inlineStr">
        <is>
          <t>0</t>
        </is>
      </c>
      <c r="I189" s="8" t="inlineStr">
        <is>
          <t>0</t>
        </is>
      </c>
      <c r="J189" s="8" t="inlineStr">
        <is>
          <t>0</t>
        </is>
      </c>
      <c r="K189" s="9" t="inlineStr">
        <is>
          <t>0</t>
        </is>
      </c>
      <c r="L189" s="9" t="inlineStr">
        <is>
          <t>0</t>
        </is>
      </c>
      <c r="M189" s="9" t="inlineStr">
        <is>
          <t>0</t>
        </is>
      </c>
      <c r="N189" s="9" t="inlineStr">
        <is>
          <t>0</t>
        </is>
      </c>
      <c r="O189" s="10" t="inlineStr">
        <is>
          <t>0</t>
        </is>
      </c>
      <c r="P189" s="10" t="inlineStr">
        <is>
          <t>0</t>
        </is>
      </c>
      <c r="Q189" s="10" t="inlineStr">
        <is>
          <t>0</t>
        </is>
      </c>
      <c r="R189" s="10" t="inlineStr">
        <is>
          <t>0</t>
        </is>
      </c>
      <c r="S189" s="10" t="inlineStr">
        <is>
          <t>0</t>
        </is>
      </c>
    </row>
    <row r="190" ht="25" customHeight="1">
      <c r="A190" s="6">
        <f>IFERROR(__xludf.DUMMYFUNCTION("""COMPUTED_VALUE"""),"EPFL: Ecole Polytechnique de Lausanne")</f>
        <v/>
      </c>
      <c r="B190" s="6">
        <f>IFERROR(__xludf.DUMMYFUNCTION("""COMPUTED_VALUE"""),"Space")</f>
        <v/>
      </c>
      <c r="C190" s="6">
        <f>IFERROR(__xludf.DUMMYFUNCTION("""COMPUTED_VALUE"""),"Introduction")</f>
        <v/>
      </c>
      <c r="D190" s="7">
        <f>IFERROR(__xludf.DUMMYFUNCTION("""COMPUTED_VALUE"""),"No task description")</f>
        <v/>
      </c>
      <c r="E190" s="7">
        <f>IFERROR(__xludf.DUMMYFUNCTION("""COMPUTED_VALUE"""),"No artifact embedded")</f>
        <v/>
      </c>
      <c r="F190" s="7" t="inlineStr">
        <is>
          <t>No instructions or artifacts are provided for Items 1, 2, and 3.</t>
        </is>
      </c>
      <c r="G190" s="8" t="inlineStr">
        <is>
          <t>0</t>
        </is>
      </c>
      <c r="H190" s="8" t="inlineStr">
        <is>
          <t>0</t>
        </is>
      </c>
      <c r="I190" s="8" t="inlineStr">
        <is>
          <t>0</t>
        </is>
      </c>
      <c r="J190" s="8" t="inlineStr">
        <is>
          <t>0</t>
        </is>
      </c>
      <c r="K190" s="9" t="inlineStr">
        <is>
          <t>0</t>
        </is>
      </c>
      <c r="L190" s="9" t="inlineStr">
        <is>
          <t>0</t>
        </is>
      </c>
      <c r="M190" s="9" t="inlineStr">
        <is>
          <t>0</t>
        </is>
      </c>
      <c r="N190" s="9" t="inlineStr">
        <is>
          <t>0</t>
        </is>
      </c>
      <c r="O190" s="10" t="inlineStr">
        <is>
          <t>0</t>
        </is>
      </c>
      <c r="P190" s="10" t="inlineStr">
        <is>
          <t>0</t>
        </is>
      </c>
      <c r="Q190" s="10" t="inlineStr">
        <is>
          <t>0</t>
        </is>
      </c>
      <c r="R190" s="10" t="inlineStr">
        <is>
          <t>0</t>
        </is>
      </c>
      <c r="S190" s="10" t="inlineStr">
        <is>
          <t>0</t>
        </is>
      </c>
    </row>
    <row r="191" ht="307" customHeight="1">
      <c r="A191" s="6">
        <f>IFERROR(__xludf.DUMMYFUNCTION("""COMPUTED_VALUE"""),"EPFL: Ecole Polytechnique de Lausanne")</f>
        <v/>
      </c>
      <c r="B191" s="6">
        <f>IFERROR(__xludf.DUMMYFUNCTION("""COMPUTED_VALUE"""),"Resource")</f>
        <v/>
      </c>
      <c r="C191" s="6">
        <f>IFERROR(__xludf.DUMMYFUNCTION("""COMPUTED_VALUE"""),"intro.graasp")</f>
        <v/>
      </c>
      <c r="D191" s="7">
        <f>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
      </c>
      <c r="E191" s="7">
        <f>IFERROR(__xludf.DUMMYFUNCTION("""COMPUTED_VALUE"""),"No artifact embedded")</f>
        <v/>
      </c>
      <c r="F191" s="7" t="inlineStr">
        <is>
          <t>No task descriptions or artifacts are provided for Items 1 and 2. Item 3 describes EPFL university.</t>
        </is>
      </c>
      <c r="G191" s="8" t="inlineStr">
        <is>
          <t>1</t>
        </is>
      </c>
      <c r="H191" s="8" t="inlineStr">
        <is>
          <t>0</t>
        </is>
      </c>
      <c r="I191" s="8" t="inlineStr">
        <is>
          <t>0</t>
        </is>
      </c>
      <c r="J191" s="8" t="inlineStr">
        <is>
          <t>0</t>
        </is>
      </c>
      <c r="K191" s="9" t="inlineStr">
        <is>
          <t>1</t>
        </is>
      </c>
      <c r="L191" s="9" t="inlineStr">
        <is>
          <t>0</t>
        </is>
      </c>
      <c r="M191" s="9" t="inlineStr">
        <is>
          <t>0</t>
        </is>
      </c>
      <c r="N191" s="9" t="inlineStr">
        <is>
          <t>0</t>
        </is>
      </c>
      <c r="O191" s="10" t="inlineStr">
        <is>
          <t>0</t>
        </is>
      </c>
      <c r="P191" s="10" t="inlineStr">
        <is>
          <t>0</t>
        </is>
      </c>
      <c r="Q191" s="10" t="inlineStr">
        <is>
          <t>0</t>
        </is>
      </c>
      <c r="R191" s="10" t="inlineStr">
        <is>
          <t>0</t>
        </is>
      </c>
      <c r="S191" s="10" t="inlineStr">
        <is>
          <t>0</t>
        </is>
      </c>
    </row>
    <row r="192" ht="121" customHeight="1">
      <c r="A192" s="6">
        <f>IFERROR(__xludf.DUMMYFUNCTION("""COMPUTED_VALUE"""),"EPFL: Ecole Polytechnique de Lausanne")</f>
        <v/>
      </c>
      <c r="B192" s="6">
        <f>IFERROR(__xludf.DUMMYFUNCTION("""COMPUTED_VALUE"""),"Resource")</f>
        <v/>
      </c>
      <c r="C192" s="6">
        <f>IFERROR(__xludf.DUMMYFUNCTION("""COMPUTED_VALUE"""),"Welcome To EPFL - 2018")</f>
        <v/>
      </c>
      <c r="D192" s="7">
        <f>IFERROR(__xludf.DUMMYFUNCTION("""COMPUTED_VALUE"""),"No task description")</f>
        <v/>
      </c>
      <c r="E192" s="7">
        <f>IFERROR(__xludf.DUMMYFUNCTION("""COMPUTED_VALUE"""),"youtube.com: A widely known video-sharing platform where users can watch videos on a vast array of topics, including educational content.")</f>
        <v/>
      </c>
      <c r="F192" s="7" t="inlineStr">
        <is>
          <t>Students received tasks with varying levels of detail and artifacts. Items 1 and 3 lacked descriptions, while Item 2 described EPFL. Only Item 3 had an embedded artifact description, referencing youtube.com.</t>
        </is>
      </c>
      <c r="G192" s="8" t="inlineStr">
        <is>
          <t>1</t>
        </is>
      </c>
      <c r="H192" s="8" t="inlineStr">
        <is>
          <t>0</t>
        </is>
      </c>
      <c r="I192" s="8" t="inlineStr">
        <is>
          <t>0</t>
        </is>
      </c>
      <c r="J192" s="8" t="inlineStr">
        <is>
          <t>0</t>
        </is>
      </c>
      <c r="K192" s="9" t="inlineStr">
        <is>
          <t>1</t>
        </is>
      </c>
      <c r="L192" s="9" t="inlineStr">
        <is>
          <t>0</t>
        </is>
      </c>
      <c r="M192" s="9" t="inlineStr">
        <is>
          <t>0</t>
        </is>
      </c>
      <c r="N192" s="9" t="inlineStr">
        <is>
          <t>0</t>
        </is>
      </c>
      <c r="O192" s="10" t="inlineStr">
        <is>
          <t>0</t>
        </is>
      </c>
      <c r="P192" s="10" t="inlineStr">
        <is>
          <t>0</t>
        </is>
      </c>
      <c r="Q192" s="10" t="inlineStr">
        <is>
          <t>0</t>
        </is>
      </c>
      <c r="R192" s="10" t="inlineStr">
        <is>
          <t>0</t>
        </is>
      </c>
      <c r="S192" s="10" t="inlineStr">
        <is>
          <t>0</t>
        </is>
      </c>
    </row>
    <row r="193" ht="25" customHeight="1">
      <c r="A193" s="6">
        <f>IFERROR(__xludf.DUMMYFUNCTION("""COMPUTED_VALUE"""),"EPFL: Ecole Polytechnique de Lausanne")</f>
        <v/>
      </c>
      <c r="B193" s="6">
        <f>IFERROR(__xludf.DUMMYFUNCTION("""COMPUTED_VALUE"""),"Space")</f>
        <v/>
      </c>
      <c r="C193" s="6">
        <f>IFERROR(__xludf.DUMMYFUNCTION("""COMPUTED_VALUE"""),"Histoire")</f>
        <v/>
      </c>
      <c r="D193" s="7">
        <f>IFERROR(__xludf.DUMMYFUNCTION("""COMPUTED_VALUE"""),"&lt;p&gt;This is a chapter&lt;/p&gt;")</f>
        <v/>
      </c>
      <c r="E193" s="7">
        <f>IFERROR(__xludf.DUMMYFUNCTION("""COMPUTED_VALUE"""),"No artifact embedded")</f>
        <v/>
      </c>
      <c r="F193" s="7" t="inlineStr">
        <is>
          <t>Students were given task descriptions and embedded artifacts, including text and YouTube links, for Items 1-3.</t>
        </is>
      </c>
      <c r="G193" s="8" t="inlineStr">
        <is>
          <t>0</t>
        </is>
      </c>
      <c r="H193" s="8" t="inlineStr">
        <is>
          <t>0</t>
        </is>
      </c>
      <c r="I193" s="8" t="inlineStr">
        <is>
          <t>0</t>
        </is>
      </c>
      <c r="J193" s="8" t="inlineStr">
        <is>
          <t>0</t>
        </is>
      </c>
      <c r="K193" s="9" t="inlineStr">
        <is>
          <t>0</t>
        </is>
      </c>
      <c r="L193" s="9" t="inlineStr">
        <is>
          <t>0</t>
        </is>
      </c>
      <c r="M193" s="9" t="inlineStr">
        <is>
          <t>0</t>
        </is>
      </c>
      <c r="N193" s="9" t="inlineStr">
        <is>
          <t>0</t>
        </is>
      </c>
      <c r="O193" s="10" t="inlineStr">
        <is>
          <t>0</t>
        </is>
      </c>
      <c r="P193" s="10" t="inlineStr">
        <is>
          <t>0</t>
        </is>
      </c>
      <c r="Q193" s="10" t="inlineStr">
        <is>
          <t>0</t>
        </is>
      </c>
      <c r="R193" s="10" t="inlineStr">
        <is>
          <t>0</t>
        </is>
      </c>
      <c r="S193" s="10" t="inlineStr">
        <is>
          <t>0</t>
        </is>
      </c>
    </row>
    <row r="194" ht="409.5" customHeight="1">
      <c r="A194" s="6">
        <f>IFERROR(__xludf.DUMMYFUNCTION("""COMPUTED_VALUE"""),"EPFL: Ecole Polytechnique de Lausanne")</f>
        <v/>
      </c>
      <c r="B194" s="6">
        <f>IFERROR(__xludf.DUMMYFUNCTION("""COMPUTED_VALUE"""),"Resource")</f>
        <v/>
      </c>
      <c r="C194" s="6">
        <f>IFERROR(__xludf.DUMMYFUNCTION("""COMPUTED_VALUE"""),"history.graasp")</f>
        <v/>
      </c>
      <c r="D194" s="7">
        <f>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
      </c>
      <c r="E194" s="7">
        <f>IFERROR(__xludf.DUMMYFUNCTION("""COMPUTED_VALUE"""),"No artifact embedded")</f>
        <v/>
      </c>
      <c r="F194" s="7" t="inlineStr">
        <is>
          <t>Students were given varying tasks with some having no description or embedded artifacts. Item1 had a YouTube link, while Items 2 and 3 had text descriptions only.</t>
        </is>
      </c>
      <c r="G194" s="8" t="inlineStr">
        <is>
          <t>1</t>
        </is>
      </c>
      <c r="H194" s="8" t="inlineStr">
        <is>
          <t>0</t>
        </is>
      </c>
      <c r="I194" s="8" t="inlineStr">
        <is>
          <t>0</t>
        </is>
      </c>
      <c r="J194" s="8" t="inlineStr">
        <is>
          <t>0</t>
        </is>
      </c>
      <c r="K194" s="9" t="inlineStr">
        <is>
          <t>1</t>
        </is>
      </c>
      <c r="L194" s="9" t="inlineStr">
        <is>
          <t>0</t>
        </is>
      </c>
      <c r="M194" s="9" t="inlineStr">
        <is>
          <t>0</t>
        </is>
      </c>
      <c r="N194" s="9" t="inlineStr">
        <is>
          <t>0</t>
        </is>
      </c>
      <c r="O194" s="10" t="inlineStr">
        <is>
          <t>0</t>
        </is>
      </c>
      <c r="P194" s="10" t="inlineStr">
        <is>
          <t>0</t>
        </is>
      </c>
      <c r="Q194" s="10" t="inlineStr">
        <is>
          <t>0</t>
        </is>
      </c>
      <c r="R194" s="10" t="inlineStr">
        <is>
          <t>0</t>
        </is>
      </c>
      <c r="S194" s="10" t="inlineStr">
        <is>
          <t>0</t>
        </is>
      </c>
    </row>
    <row r="195" ht="121" customHeight="1">
      <c r="A195" s="6">
        <f>IFERROR(__xludf.DUMMYFUNCTION("""COMPUTED_VALUE"""),"EPFL: Ecole Polytechnique de Lausanne")</f>
        <v/>
      </c>
      <c r="B195" s="6">
        <f>IFERROR(__xludf.DUMMYFUNCTION("""COMPUTED_VALUE"""),"Resource")</f>
        <v/>
      </c>
      <c r="C195" s="6">
        <f>IFERROR(__xludf.DUMMYFUNCTION("""COMPUTED_VALUE"""),"Ecole_spéciale_de_Lausanne_1857.jpg")</f>
        <v/>
      </c>
      <c r="D195" s="7">
        <f>IFERROR(__xludf.DUMMYFUNCTION("""COMPUTED_VALUE"""),"&lt;p&gt;École spéciale de Lausanne 1857&lt;/p&gt;")</f>
        <v/>
      </c>
      <c r="E195" s="7">
        <f>IFERROR(__xludf.DUMMYFUNCTION("""COMPUTED_VALUE"""),"image/jpeg – A digital photograph or web image stored in a compressed format, often used for photography and web graphics.")</f>
        <v/>
      </c>
      <c r="F195" s="7" t="inlineStr">
        <is>
          <t>Students received task descriptions with no artifacts embedded, except Item 3, which included a JPEG image.</t>
        </is>
      </c>
      <c r="G195" s="8" t="inlineStr">
        <is>
          <t>1</t>
        </is>
      </c>
      <c r="H195" s="8" t="inlineStr">
        <is>
          <t>0</t>
        </is>
      </c>
      <c r="I195" s="8" t="inlineStr">
        <is>
          <t>0</t>
        </is>
      </c>
      <c r="J195" s="8" t="inlineStr">
        <is>
          <t>0</t>
        </is>
      </c>
      <c r="K195" s="9" t="inlineStr">
        <is>
          <t>1</t>
        </is>
      </c>
      <c r="L195" s="9" t="inlineStr">
        <is>
          <t>0</t>
        </is>
      </c>
      <c r="M195" s="9" t="inlineStr">
        <is>
          <t>0</t>
        </is>
      </c>
      <c r="N195" s="9" t="inlineStr">
        <is>
          <t>0</t>
        </is>
      </c>
      <c r="O195" s="10" t="inlineStr">
        <is>
          <t>0</t>
        </is>
      </c>
      <c r="P195" s="10" t="inlineStr">
        <is>
          <t>0</t>
        </is>
      </c>
      <c r="Q195" s="10" t="inlineStr">
        <is>
          <t>0</t>
        </is>
      </c>
      <c r="R195" s="10" t="inlineStr">
        <is>
          <t>0</t>
        </is>
      </c>
      <c r="S195" s="10" t="inlineStr">
        <is>
          <t>0</t>
        </is>
      </c>
    </row>
    <row r="196" ht="409.5" customHeight="1">
      <c r="A196" s="6">
        <f>IFERROR(__xludf.DUMMYFUNCTION("""COMPUTED_VALUE"""),"EPFL: Ecole Polytechnique de Lausanne")</f>
        <v/>
      </c>
      <c r="B196" s="6">
        <f>IFERROR(__xludf.DUMMYFUNCTION("""COMPUTED_VALUE"""),"Resource")</f>
        <v/>
      </c>
      <c r="C196" s="6">
        <f>IFERROR(__xludf.DUMMYFUNCTION("""COMPUTED_VALUE"""),"histoire_1.graasp")</f>
        <v/>
      </c>
      <c r="D196" s="7">
        <f>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
      </c>
      <c r="E196" s="7">
        <f>IFERROR(__xludf.DUMMYFUNCTION("""COMPUTED_VALUE"""),"No artifact embedded")</f>
        <v/>
      </c>
      <c r="F196" s="7" t="inlineStr">
        <is>
          <t>No instructions are provided to students; only task descriptions of EPFL's history with some items having image artifacts embedded.</t>
        </is>
      </c>
      <c r="G196" s="8" t="inlineStr">
        <is>
          <t>1</t>
        </is>
      </c>
      <c r="H196" s="8" t="inlineStr">
        <is>
          <t>0</t>
        </is>
      </c>
      <c r="I196" s="8" t="inlineStr">
        <is>
          <t>0</t>
        </is>
      </c>
      <c r="J196" s="8" t="inlineStr">
        <is>
          <t>0</t>
        </is>
      </c>
      <c r="K196" s="9" t="inlineStr">
        <is>
          <t>1</t>
        </is>
      </c>
      <c r="L196" s="9" t="inlineStr">
        <is>
          <t>0</t>
        </is>
      </c>
      <c r="M196" s="9" t="inlineStr">
        <is>
          <t>0</t>
        </is>
      </c>
      <c r="N196" s="9" t="inlineStr">
        <is>
          <t>0</t>
        </is>
      </c>
      <c r="O196" s="10" t="inlineStr">
        <is>
          <t>0</t>
        </is>
      </c>
      <c r="P196" s="10" t="inlineStr">
        <is>
          <t>0</t>
        </is>
      </c>
      <c r="Q196" s="10" t="inlineStr">
        <is>
          <t>0</t>
        </is>
      </c>
      <c r="R196" s="10" t="inlineStr">
        <is>
          <t>0</t>
        </is>
      </c>
      <c r="S196" s="10" t="inlineStr">
        <is>
          <t>0</t>
        </is>
      </c>
    </row>
    <row r="197" ht="25" customHeight="1">
      <c r="A197" s="6">
        <f>IFERROR(__xludf.DUMMYFUNCTION("""COMPUTED_VALUE"""),"EPFL: Ecole Polytechnique de Lausanne")</f>
        <v/>
      </c>
      <c r="B197" s="6">
        <f>IFERROR(__xludf.DUMMYFUNCTION("""COMPUTED_VALUE"""),"Space")</f>
        <v/>
      </c>
      <c r="C197" s="6">
        <f>IFERROR(__xludf.DUMMYFUNCTION("""COMPUTED_VALUE"""),"Admission and education")</f>
        <v/>
      </c>
      <c r="D197" s="7">
        <f>IFERROR(__xludf.DUMMYFUNCTION("""COMPUTED_VALUE"""),"&lt;p&gt;This is a chapter&lt;/p&gt;")</f>
        <v/>
      </c>
      <c r="E197" s="7">
        <f>IFERROR(__xludf.DUMMYFUNCTION("""COMPUTED_VALUE"""),"No artifact embedded")</f>
        <v/>
      </c>
      <c r="F197" s="7" t="inlineStr">
        <is>
          <t>Students received task descriptions with optional image/jpeg artifacts.</t>
        </is>
      </c>
      <c r="G197" s="8" t="inlineStr">
        <is>
          <t>1</t>
        </is>
      </c>
      <c r="H197" s="8" t="inlineStr">
        <is>
          <t>0</t>
        </is>
      </c>
      <c r="I197" s="8" t="inlineStr">
        <is>
          <t>0</t>
        </is>
      </c>
      <c r="J197" s="8" t="inlineStr">
        <is>
          <t>0</t>
        </is>
      </c>
      <c r="K197" s="9" t="inlineStr">
        <is>
          <t>1</t>
        </is>
      </c>
      <c r="L197" s="9" t="inlineStr">
        <is>
          <t>0</t>
        </is>
      </c>
      <c r="M197" s="9" t="inlineStr">
        <is>
          <t>0</t>
        </is>
      </c>
      <c r="N197" s="9" t="inlineStr">
        <is>
          <t>0</t>
        </is>
      </c>
      <c r="O197" s="10" t="inlineStr">
        <is>
          <t>0</t>
        </is>
      </c>
      <c r="P197" s="10" t="inlineStr">
        <is>
          <t>0</t>
        </is>
      </c>
      <c r="Q197" s="10" t="inlineStr">
        <is>
          <t>0</t>
        </is>
      </c>
      <c r="R197" s="10" t="inlineStr">
        <is>
          <t>0</t>
        </is>
      </c>
      <c r="S197" s="10" t="inlineStr">
        <is>
          <t>0</t>
        </is>
      </c>
    </row>
    <row r="198" ht="409.5" customHeight="1">
      <c r="A198" s="6">
        <f>IFERROR(__xludf.DUMMYFUNCTION("""COMPUTED_VALUE"""),"EPFL: Ecole Polytechnique de Lausanne")</f>
        <v/>
      </c>
      <c r="B198" s="6">
        <f>IFERROR(__xludf.DUMMYFUNCTION("""COMPUTED_VALUE"""),"Resource")</f>
        <v/>
      </c>
      <c r="C198" s="6">
        <f>IFERROR(__xludf.DUMMYFUNCTION("""COMPUTED_VALUE"""),"epfl.txt")</f>
        <v/>
      </c>
      <c r="D198" s="7">
        <f>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
      </c>
      <c r="E198" s="7">
        <f>IFERROR(__xludf.DUMMYFUNCTION("""COMPUTED_VALUE"""),"text/plain – A simple text file containing unformatted text, often used for notes, logs, or source code.")</f>
        <v/>
      </c>
      <c r="F198" s="7" t="inlineStr">
        <is>
          <t>No instructions are provided to students. Embedded artifacts include no files in Items 1 and 2, and a plain text file in Item 3.</t>
        </is>
      </c>
      <c r="G198" s="8" t="inlineStr">
        <is>
          <t>1</t>
        </is>
      </c>
      <c r="H198" s="8" t="inlineStr">
        <is>
          <t>0</t>
        </is>
      </c>
      <c r="I198" s="8" t="inlineStr">
        <is>
          <t>0</t>
        </is>
      </c>
      <c r="J198" s="8" t="inlineStr">
        <is>
          <t>0</t>
        </is>
      </c>
      <c r="K198" s="9" t="inlineStr">
        <is>
          <t>1</t>
        </is>
      </c>
      <c r="L198" s="9" t="inlineStr">
        <is>
          <t>0</t>
        </is>
      </c>
      <c r="M198" s="9" t="inlineStr">
        <is>
          <t>0</t>
        </is>
      </c>
      <c r="N198" s="9" t="inlineStr">
        <is>
          <t>0</t>
        </is>
      </c>
      <c r="O198" s="10" t="inlineStr">
        <is>
          <t>0</t>
        </is>
      </c>
      <c r="P198" s="10" t="inlineStr">
        <is>
          <t>0</t>
        </is>
      </c>
      <c r="Q198" s="10" t="inlineStr">
        <is>
          <t>0</t>
        </is>
      </c>
      <c r="R198" s="10" t="inlineStr">
        <is>
          <t>0</t>
        </is>
      </c>
      <c r="S198" s="10" t="inlineStr">
        <is>
          <t>0</t>
        </is>
      </c>
    </row>
    <row r="199" ht="109" customHeight="1">
      <c r="A199" s="6">
        <f>IFERROR(__xludf.DUMMYFUNCTION("""COMPUTED_VALUE"""),"EPFL: Ecole Polytechnique de Lausanne")</f>
        <v/>
      </c>
      <c r="B199" s="6">
        <f>IFERROR(__xludf.DUMMYFUNCTION("""COMPUTED_VALUE"""),"Resource")</f>
        <v/>
      </c>
      <c r="C199" s="6">
        <f>IFERROR(__xludf.DUMMYFUNCTION("""COMPUTED_VALUE"""),"table.html")</f>
        <v/>
      </c>
      <c r="D199" s="7">
        <f>IFERROR(__xludf.DUMMYFUNCTION("""COMPUTED_VALUE"""),"&lt;p&gt;Une desc qui casse tout ?&lt;/p&gt;")</f>
        <v/>
      </c>
      <c r="E199" s="7">
        <f>IFERROR(__xludf.DUMMYFUNCTION("""COMPUTED_VALUE"""),"text/html – A webpage or web document that contains structured text, images, and links, designed for display in a web browser.")</f>
        <v/>
      </c>
      <c r="F199" s="7" t="inlineStr">
        <is>
          <t>No instructions are provided; embedded artifacts include text/plain and text/html files.</t>
        </is>
      </c>
      <c r="G199" s="8" t="inlineStr">
        <is>
          <t>1</t>
        </is>
      </c>
      <c r="H199" s="8" t="inlineStr">
        <is>
          <t>0</t>
        </is>
      </c>
      <c r="I199" s="8" t="inlineStr">
        <is>
          <t>0</t>
        </is>
      </c>
      <c r="J199" s="8" t="inlineStr">
        <is>
          <t>0</t>
        </is>
      </c>
      <c r="K199" s="9" t="inlineStr">
        <is>
          <t>1</t>
        </is>
      </c>
      <c r="L199" s="9" t="inlineStr">
        <is>
          <t>0</t>
        </is>
      </c>
      <c r="M199" s="9" t="inlineStr">
        <is>
          <t>0</t>
        </is>
      </c>
      <c r="N199" s="9" t="inlineStr">
        <is>
          <t>0</t>
        </is>
      </c>
      <c r="O199" s="10" t="inlineStr">
        <is>
          <t>0</t>
        </is>
      </c>
      <c r="P199" s="10" t="inlineStr">
        <is>
          <t>0</t>
        </is>
      </c>
      <c r="Q199" s="10" t="inlineStr">
        <is>
          <t>0</t>
        </is>
      </c>
      <c r="R199" s="10" t="inlineStr">
        <is>
          <t>0</t>
        </is>
      </c>
      <c r="S199" s="10" t="inlineStr">
        <is>
          <t>0</t>
        </is>
      </c>
    </row>
    <row r="200" ht="25" customHeight="1">
      <c r="A200" s="6">
        <f>IFERROR(__xludf.DUMMYFUNCTION("""COMPUTED_VALUE"""),"EPFL: Ecole Polytechnique de Lausanne")</f>
        <v/>
      </c>
      <c r="B200" s="6">
        <f>IFERROR(__xludf.DUMMYFUNCTION("""COMPUTED_VALUE"""),"Space")</f>
        <v/>
      </c>
      <c r="C200" s="6">
        <f>IFERROR(__xludf.DUMMYFUNCTION("""COMPUTED_VALUE"""),"Rankings")</f>
        <v/>
      </c>
      <c r="D200" s="7">
        <f>IFERROR(__xludf.DUMMYFUNCTION("""COMPUTED_VALUE"""),"&lt;p&gt;This is a chapter&lt;/p&gt;")</f>
        <v/>
      </c>
      <c r="E200" s="7">
        <f>IFERROR(__xludf.DUMMYFUNCTION("""COMPUTED_VALUE"""),"No artifact embedded")</f>
        <v/>
      </c>
      <c r="F200" s="7" t="inlineStr">
        <is>
          <t>Students are given instructions with varying embedded artifacts: text/plain, text/html, and none.</t>
        </is>
      </c>
      <c r="G200" s="8" t="inlineStr">
        <is>
          <t>1</t>
        </is>
      </c>
      <c r="H200" s="8" t="inlineStr">
        <is>
          <t>0</t>
        </is>
      </c>
      <c r="I200" s="8" t="inlineStr">
        <is>
          <t>0</t>
        </is>
      </c>
      <c r="J200" s="8" t="inlineStr">
        <is>
          <t>0</t>
        </is>
      </c>
      <c r="K200" s="9" t="inlineStr">
        <is>
          <t>0</t>
        </is>
      </c>
      <c r="L200" s="9" t="inlineStr">
        <is>
          <t>0</t>
        </is>
      </c>
      <c r="M200" s="9" t="inlineStr">
        <is>
          <t>0</t>
        </is>
      </c>
      <c r="N200" s="9" t="inlineStr">
        <is>
          <t>0</t>
        </is>
      </c>
      <c r="O200" s="10" t="inlineStr">
        <is>
          <t>0</t>
        </is>
      </c>
      <c r="P200" s="10" t="inlineStr">
        <is>
          <t>0</t>
        </is>
      </c>
      <c r="Q200" s="10" t="inlineStr">
        <is>
          <t>0</t>
        </is>
      </c>
      <c r="R200" s="10" t="inlineStr">
        <is>
          <t>0</t>
        </is>
      </c>
      <c r="S200" s="10" t="inlineStr">
        <is>
          <t>0</t>
        </is>
      </c>
    </row>
    <row r="201" ht="409.5" customHeight="1">
      <c r="A201" s="6">
        <f>IFERROR(__xludf.DUMMYFUNCTION("""COMPUTED_VALUE"""),"EPFL: Ecole Polytechnique de Lausanne")</f>
        <v/>
      </c>
      <c r="B201" s="6">
        <f>IFERROR(__xludf.DUMMYFUNCTION("""COMPUTED_VALUE"""),"Resource")</f>
        <v/>
      </c>
      <c r="C201" s="6">
        <f>IFERROR(__xludf.DUMMYFUNCTION("""COMPUTED_VALUE"""),"rankings.graasp")</f>
        <v/>
      </c>
      <c r="D201" s="7">
        <f>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
      </c>
      <c r="E201" s="7">
        <f>IFERROR(__xludf.DUMMYFUNCTION("""COMPUTED_VALUE"""),"No artifact embedded")</f>
        <v/>
      </c>
      <c r="F201" s="7" t="inlineStr">
        <is>
          <t>Students received task descriptions with optional HTML webpage artifacts.</t>
        </is>
      </c>
      <c r="G201" s="8" t="inlineStr">
        <is>
          <t>1</t>
        </is>
      </c>
      <c r="H201" s="8" t="inlineStr">
        <is>
          <t>0</t>
        </is>
      </c>
      <c r="I201" s="8" t="inlineStr">
        <is>
          <t>0</t>
        </is>
      </c>
      <c r="J201" s="8" t="inlineStr">
        <is>
          <t>0</t>
        </is>
      </c>
      <c r="K201" s="9" t="inlineStr">
        <is>
          <t>1</t>
        </is>
      </c>
      <c r="L201" s="9" t="inlineStr">
        <is>
          <t>0</t>
        </is>
      </c>
      <c r="M201" s="9" t="inlineStr">
        <is>
          <t>0</t>
        </is>
      </c>
      <c r="N201" s="9" t="inlineStr">
        <is>
          <t>0</t>
        </is>
      </c>
      <c r="O201" s="10" t="inlineStr">
        <is>
          <t>0</t>
        </is>
      </c>
      <c r="P201" s="10" t="inlineStr">
        <is>
          <t>0</t>
        </is>
      </c>
      <c r="Q201" s="10" t="inlineStr">
        <is>
          <t>0</t>
        </is>
      </c>
      <c r="R201" s="10" t="inlineStr">
        <is>
          <t>0</t>
        </is>
      </c>
      <c r="S201" s="10" t="inlineStr">
        <is>
          <t>0</t>
        </is>
      </c>
    </row>
    <row r="202" ht="193" customHeight="1">
      <c r="A202" s="6">
        <f>IFERROR(__xludf.DUMMYFUNCTION("""COMPUTED_VALUE"""),"EPFL: Ecole Polytechnique de Lausanne")</f>
        <v/>
      </c>
      <c r="B202" s="6">
        <f>IFERROR(__xludf.DUMMYFUNCTION("""COMPUTED_VALUE"""),"Resource")</f>
        <v/>
      </c>
      <c r="C202" s="6">
        <f>IFERROR(__xludf.DUMMYFUNCTION("""COMPUTED_VALUE"""),"Engineering and Technology")</f>
        <v/>
      </c>
      <c r="D202" s="7">
        <f>IFERROR(__xludf.DUMMYFUNCTION("""COMPUTED_VALUE"""),"As well as this broad subject area ranking, rankings are also available for the following individual Engineering &amp; Technology subjects: Computer Science &amp; Information Systems Chemical Engineering")</f>
        <v/>
      </c>
      <c r="E202" s="7">
        <f>IFERROR(__xludf.DUMMYFUNCTION("""COMPUTED_VALUE"""),"topuniversities.com: Provides university rankings and information on higher education institutions.")</f>
        <v/>
      </c>
      <c r="F202" s="7" t="inlineStr">
        <is>
          <t>No instructions provided; embedded artifacts include university rankings websites.</t>
        </is>
      </c>
      <c r="G202" s="8" t="inlineStr">
        <is>
          <t>1</t>
        </is>
      </c>
      <c r="H202" s="8" t="inlineStr">
        <is>
          <t>0</t>
        </is>
      </c>
      <c r="I202" s="8" t="inlineStr">
        <is>
          <t>0</t>
        </is>
      </c>
      <c r="J202" s="8" t="inlineStr">
        <is>
          <t>0</t>
        </is>
      </c>
      <c r="K202" s="9" t="inlineStr">
        <is>
          <t>1</t>
        </is>
      </c>
      <c r="L202" s="9" t="inlineStr">
        <is>
          <t>0</t>
        </is>
      </c>
      <c r="M202" s="9" t="inlineStr">
        <is>
          <t>0</t>
        </is>
      </c>
      <c r="N202" s="9" t="inlineStr">
        <is>
          <t>0</t>
        </is>
      </c>
      <c r="O202" s="10" t="inlineStr">
        <is>
          <t>0</t>
        </is>
      </c>
      <c r="P202" s="10" t="inlineStr">
        <is>
          <t>0</t>
        </is>
      </c>
      <c r="Q202" s="10" t="inlineStr">
        <is>
          <t>0</t>
        </is>
      </c>
      <c r="R202" s="10" t="inlineStr">
        <is>
          <t>0</t>
        </is>
      </c>
      <c r="S202" s="10" t="inlineStr">
        <is>
          <t>0</t>
        </is>
      </c>
    </row>
    <row r="203" ht="193" customHeight="1">
      <c r="A203" s="6">
        <f>IFERROR(__xludf.DUMMYFUNCTION("""COMPUTED_VALUE"""),"EPFL: Ecole Polytechnique de Lausanne")</f>
        <v/>
      </c>
      <c r="B203" s="6">
        <f>IFERROR(__xludf.DUMMYFUNCTION("""COMPUTED_VALUE"""),"Resource")</f>
        <v/>
      </c>
      <c r="C203" s="6">
        <f>IFERROR(__xludf.DUMMYFUNCTION("""COMPUTED_VALUE"""),"Engineering and Technology (1)")</f>
        <v/>
      </c>
      <c r="D203" s="7">
        <f>IFERROR(__xludf.DUMMYFUNCTION("""COMPUTED_VALUE"""),"As well as this broad subject area ranking, rankings are also available for the following individual Engineering &amp; Technology subjects: Computer Science &amp; Information Systems Chemical Engineering")</f>
        <v/>
      </c>
      <c r="E203" s="7">
        <f>IFERROR(__xludf.DUMMYFUNCTION("""COMPUTED_VALUE"""),"topuniversities.com: Provides university rankings and information on higher education institutions.")</f>
        <v/>
      </c>
      <c r="F203" s="7" t="inlineStr">
        <is>
          <t>No instructions provided; embedded artifacts include university rankings websites (topuniversities.com).</t>
        </is>
      </c>
      <c r="G203" s="8" t="inlineStr">
        <is>
          <t>1</t>
        </is>
      </c>
      <c r="H203" s="8" t="inlineStr">
        <is>
          <t>0</t>
        </is>
      </c>
      <c r="I203" s="8" t="inlineStr">
        <is>
          <t>0</t>
        </is>
      </c>
      <c r="J203" s="8" t="inlineStr">
        <is>
          <t>0</t>
        </is>
      </c>
      <c r="K203" s="9" t="inlineStr">
        <is>
          <t>0</t>
        </is>
      </c>
      <c r="L203" s="9" t="inlineStr">
        <is>
          <t>0</t>
        </is>
      </c>
      <c r="M203" s="9" t="inlineStr">
        <is>
          <t>0</t>
        </is>
      </c>
      <c r="N203" s="9" t="inlineStr">
        <is>
          <t>0</t>
        </is>
      </c>
      <c r="O203" s="10" t="inlineStr">
        <is>
          <t>0</t>
        </is>
      </c>
      <c r="P203" s="10" t="inlineStr">
        <is>
          <t>0</t>
        </is>
      </c>
      <c r="Q203" s="10" t="inlineStr">
        <is>
          <t>0</t>
        </is>
      </c>
      <c r="R203" s="10" t="inlineStr">
        <is>
          <t>0</t>
        </is>
      </c>
      <c r="S203" s="10" t="inlineStr">
        <is>
          <t>0</t>
        </is>
      </c>
    </row>
    <row r="204" ht="25" customHeight="1">
      <c r="A204" s="6">
        <f>IFERROR(__xludf.DUMMYFUNCTION("""COMPUTED_VALUE"""),"EPFL: Ecole Polytechnique de Lausanne")</f>
        <v/>
      </c>
      <c r="B204" s="6">
        <f>IFERROR(__xludf.DUMMYFUNCTION("""COMPUTED_VALUE"""),"Space")</f>
        <v/>
      </c>
      <c r="C204" s="6">
        <f>IFERROR(__xludf.DUMMYFUNCTION("""COMPUTED_VALUE"""),"A lab")</f>
        <v/>
      </c>
      <c r="D204" s="7">
        <f>IFERROR(__xludf.DUMMYFUNCTION("""COMPUTED_VALUE"""),"&lt;p&gt;This is a chapter&lt;/p&gt;")</f>
        <v/>
      </c>
      <c r="E204" s="7">
        <f>IFERROR(__xludf.DUMMYFUNCTION("""COMPUTED_VALUE"""),"No artifact embedded")</f>
        <v/>
      </c>
      <c r="F204" s="7" t="inlineStr">
        <is>
          <t>Students are tasked with ranking engineering subjects, with artifacts from topuniversities.com providing university rankings information.</t>
        </is>
      </c>
      <c r="G204" s="8" t="inlineStr">
        <is>
          <t>1</t>
        </is>
      </c>
      <c r="H204" s="8" t="inlineStr">
        <is>
          <t>0</t>
        </is>
      </c>
      <c r="I204" s="8" t="inlineStr">
        <is>
          <t>0</t>
        </is>
      </c>
      <c r="J204" s="8" t="inlineStr">
        <is>
          <t>0</t>
        </is>
      </c>
      <c r="K204" s="9" t="inlineStr">
        <is>
          <t>1</t>
        </is>
      </c>
      <c r="L204" s="9" t="inlineStr">
        <is>
          <t>0</t>
        </is>
      </c>
      <c r="M204" s="9" t="inlineStr">
        <is>
          <t>0</t>
        </is>
      </c>
      <c r="N204" s="9" t="inlineStr">
        <is>
          <t>0</t>
        </is>
      </c>
      <c r="O204" s="10" t="inlineStr">
        <is>
          <t>0</t>
        </is>
      </c>
      <c r="P204" s="10" t="inlineStr">
        <is>
          <t>0</t>
        </is>
      </c>
      <c r="Q204" s="10" t="inlineStr">
        <is>
          <t>0</t>
        </is>
      </c>
      <c r="R204" s="10" t="inlineStr">
        <is>
          <t>0</t>
        </is>
      </c>
      <c r="S204" s="10" t="inlineStr">
        <is>
          <t>0</t>
        </is>
      </c>
    </row>
    <row r="205" ht="409.5" customHeight="1">
      <c r="A205" s="6">
        <f>IFERROR(__xludf.DUMMYFUNCTION("""COMPUTED_VALUE"""),"EPFL: Ecole Polytechnique de Lausanne")</f>
        <v/>
      </c>
      <c r="B205" s="6">
        <f>IFERROR(__xludf.DUMMYFUNCTION("""COMPUTED_VALUE"""),"Application")</f>
        <v/>
      </c>
      <c r="C205" s="6">
        <f>IFERROR(__xludf.DUMMYFUNCTION("""COMPUTED_VALUE"""),"Pile Attraction")</f>
        <v/>
      </c>
      <c r="D205" s="7">
        <f>IFERROR(__xludf.DUMMYFUNCTION("""COMPUTED_VALUE"""),"No task description")</f>
        <v/>
      </c>
      <c r="E205" s="7">
        <f>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
      </c>
      <c r="F205" s="7" t="inlineStr">
        <is>
          <t>Students were given tasks with descriptions and embedded artifacts, including university rankings and interactive simulations.</t>
        </is>
      </c>
      <c r="G205" s="8" t="inlineStr">
        <is>
          <t>0</t>
        </is>
      </c>
      <c r="H205" s="8" t="inlineStr">
        <is>
          <t>1</t>
        </is>
      </c>
      <c r="I205" s="8" t="inlineStr">
        <is>
          <t>0</t>
        </is>
      </c>
      <c r="J205" s="8" t="inlineStr">
        <is>
          <t>1</t>
        </is>
      </c>
      <c r="K205" s="9" t="inlineStr">
        <is>
          <t>1</t>
        </is>
      </c>
      <c r="L205" s="9" t="inlineStr">
        <is>
          <t>0</t>
        </is>
      </c>
      <c r="M205" s="9" t="inlineStr">
        <is>
          <t>0</t>
        </is>
      </c>
      <c r="N205" s="9" t="inlineStr">
        <is>
          <t>0</t>
        </is>
      </c>
      <c r="O205" s="10" t="inlineStr">
        <is>
          <t>1</t>
        </is>
      </c>
      <c r="P205" s="10" t="inlineStr">
        <is>
          <t>1</t>
        </is>
      </c>
      <c r="Q205" s="10" t="inlineStr">
        <is>
          <t>1</t>
        </is>
      </c>
      <c r="R205" s="10" t="inlineStr">
        <is>
          <t>0</t>
        </is>
      </c>
      <c r="S205" s="10" t="inlineStr">
        <is>
          <t>0</t>
        </is>
      </c>
    </row>
    <row r="206" ht="25" customHeight="1">
      <c r="A206" s="6">
        <f>IFERROR(__xludf.DUMMYFUNCTION("""COMPUTED_VALUE"""),"EPFL: Ecole Polytechnique de Lausanne")</f>
        <v/>
      </c>
      <c r="B206" s="6">
        <f>IFERROR(__xludf.DUMMYFUNCTION("""COMPUTED_VALUE"""),"Space")</f>
        <v/>
      </c>
      <c r="C206" s="6">
        <f>IFERROR(__xludf.DUMMYFUNCTION("""COMPUTED_VALUE"""),"Chapter 5")</f>
        <v/>
      </c>
      <c r="D206" s="7">
        <f>IFERROR(__xludf.DUMMYFUNCTION("""COMPUTED_VALUE"""),"&lt;p&gt;This is a chapter&lt;/p&gt;")</f>
        <v/>
      </c>
      <c r="E206" s="7">
        <f>IFERROR(__xludf.DUMMYFUNCTION("""COMPUTED_VALUE"""),"No artifact embedded")</f>
        <v/>
      </c>
      <c r="F206" s="7" t="inlineStr">
        <is>
          <t>Students received task descriptions with some having interactive simulations, like Golabz app/lab, to explore gravitational forces.</t>
        </is>
      </c>
      <c r="G206" s="8" t="inlineStr">
        <is>
          <t>1</t>
        </is>
      </c>
      <c r="H206" s="8" t="inlineStr">
        <is>
          <t>0</t>
        </is>
      </c>
      <c r="I206" s="8" t="inlineStr">
        <is>
          <t>0</t>
        </is>
      </c>
      <c r="J206" s="8" t="inlineStr">
        <is>
          <t>0</t>
        </is>
      </c>
      <c r="K206" s="9" t="inlineStr">
        <is>
          <t>0</t>
        </is>
      </c>
      <c r="L206" s="9" t="inlineStr">
        <is>
          <t>0</t>
        </is>
      </c>
      <c r="M206" s="9" t="inlineStr">
        <is>
          <t>0</t>
        </is>
      </c>
      <c r="N206" s="9" t="inlineStr">
        <is>
          <t>0</t>
        </is>
      </c>
      <c r="O206" s="10" t="inlineStr">
        <is>
          <t>0</t>
        </is>
      </c>
      <c r="P206" s="10" t="inlineStr">
        <is>
          <t>0</t>
        </is>
      </c>
      <c r="Q206" s="10" t="inlineStr">
        <is>
          <t>0</t>
        </is>
      </c>
      <c r="R206" s="10" t="inlineStr">
        <is>
          <t>0</t>
        </is>
      </c>
      <c r="S206" s="10" t="inlineStr">
        <is>
          <t>0</t>
        </is>
      </c>
    </row>
    <row r="207" ht="97" customHeight="1">
      <c r="A207" s="6">
        <f>IFERROR(__xludf.DUMMYFUNCTION("""COMPUTED_VALUE"""),"EPFL: Ecole Polytechnique de Lausanne")</f>
        <v/>
      </c>
      <c r="B207" s="6">
        <f>IFERROR(__xludf.DUMMYFUNCTION("""COMPUTED_VALUE"""),"Resource")</f>
        <v/>
      </c>
      <c r="C207" s="6">
        <f>IFERROR(__xludf.DUMMYFUNCTION("""COMPUTED_VALUE"""),"Bruno Mars - Billionaire.mp3")</f>
        <v/>
      </c>
      <c r="D207" s="7">
        <f>IFERROR(__xludf.DUMMYFUNCTION("""COMPUTED_VALUE"""),"No task description")</f>
        <v/>
      </c>
      <c r="E207" s="7">
        <f>IFERROR(__xludf.DUMMYFUNCTION("""COMPUTED_VALUE"""),"audio/mpeg – A compressed audio file (MP3), commonly used for music, podcasts, and other audio recordings.")</f>
        <v/>
      </c>
      <c r="F207" s="7" t="inlineStr">
        <is>
          <t>Students received no task descriptions, but interacted with a gravity simulation and an MP3 audio file.</t>
        </is>
      </c>
      <c r="G207" s="8" t="inlineStr">
        <is>
          <t>1</t>
        </is>
      </c>
      <c r="H207" s="8" t="inlineStr">
        <is>
          <t>0</t>
        </is>
      </c>
      <c r="I207" s="8" t="inlineStr">
        <is>
          <t>0</t>
        </is>
      </c>
      <c r="J207" s="8" t="inlineStr">
        <is>
          <t>0</t>
        </is>
      </c>
      <c r="K207" s="9" t="inlineStr">
        <is>
          <t>1</t>
        </is>
      </c>
      <c r="L207" s="9" t="inlineStr">
        <is>
          <t>0</t>
        </is>
      </c>
      <c r="M207" s="9" t="inlineStr">
        <is>
          <t>0</t>
        </is>
      </c>
      <c r="N207" s="9" t="inlineStr">
        <is>
          <t>0</t>
        </is>
      </c>
      <c r="O207" s="10" t="inlineStr">
        <is>
          <t>0</t>
        </is>
      </c>
      <c r="P207" s="10" t="inlineStr">
        <is>
          <t>0</t>
        </is>
      </c>
      <c r="Q207" s="10" t="inlineStr">
        <is>
          <t>0</t>
        </is>
      </c>
      <c r="R207" s="10" t="inlineStr">
        <is>
          <t>0</t>
        </is>
      </c>
      <c r="S207" s="10" t="inlineStr">
        <is>
          <t>0</t>
        </is>
      </c>
    </row>
    <row r="208" ht="318" customHeight="1">
      <c r="A208" s="6">
        <f>IFERROR(__xludf.DUMMYFUNCTION("""COMPUTED_VALUE"""),"EPFL: Ecole Polytechnique de Lausanne")</f>
        <v/>
      </c>
      <c r="B208" s="6">
        <f>IFERROR(__xludf.DUMMYFUNCTION("""COMPUTED_VALUE"""),"Application")</f>
        <v/>
      </c>
      <c r="C208" s="6">
        <f>IFERROR(__xludf.DUMMYFUNCTION("""COMPUTED_VALUE"""),"Balancing Act App")</f>
        <v/>
      </c>
      <c r="D208" s="7">
        <f>IFERROR(__xludf.DUMMYFUNCTION("""COMPUTED_VALUE"""),"No task description")</f>
        <v/>
      </c>
      <c r="E208" s="7">
        <f>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
      </c>
      <c r="F208" s="7" t="inlineStr">
        <is>
          <t>Students were given task descriptions and artifacts, including an MP3 audio file and a lab simulation on balance using Golabz app.</t>
        </is>
      </c>
      <c r="G208" s="8" t="inlineStr">
        <is>
          <t>0</t>
        </is>
      </c>
      <c r="H208" s="8" t="inlineStr">
        <is>
          <t>1</t>
        </is>
      </c>
      <c r="I208" s="8" t="inlineStr">
        <is>
          <t>1</t>
        </is>
      </c>
      <c r="J208" s="8" t="inlineStr">
        <is>
          <t>1</t>
        </is>
      </c>
      <c r="K208" s="9" t="inlineStr">
        <is>
          <t>1</t>
        </is>
      </c>
      <c r="L208" s="9" t="inlineStr">
        <is>
          <t>1</t>
        </is>
      </c>
      <c r="M208" s="9" t="inlineStr">
        <is>
          <t>0</t>
        </is>
      </c>
      <c r="N208" s="9" t="inlineStr">
        <is>
          <t>0</t>
        </is>
      </c>
      <c r="O208" s="10" t="inlineStr">
        <is>
          <t>1</t>
        </is>
      </c>
      <c r="P208" s="10" t="inlineStr">
        <is>
          <t>1</t>
        </is>
      </c>
      <c r="Q208" s="10" t="inlineStr">
        <is>
          <t>1</t>
        </is>
      </c>
      <c r="R208" s="10" t="inlineStr">
        <is>
          <t>0</t>
        </is>
      </c>
      <c r="S208" s="10" t="inlineStr">
        <is>
          <t>0</t>
        </is>
      </c>
    </row>
    <row r="209" ht="121" customHeight="1">
      <c r="A209" s="6">
        <f>IFERROR(__xludf.DUMMYFUNCTION("""COMPUTED_VALUE"""),"EPFL: Ecole Polytechnique de Lausanne")</f>
        <v/>
      </c>
      <c r="B209" s="6">
        <f>IFERROR(__xludf.DUMMYFUNCTION("""COMPUTED_VALUE"""),"Resource")</f>
        <v/>
      </c>
      <c r="C209" s="6">
        <f>IFERROR(__xludf.DUMMYFUNCTION("""COMPUTED_VALUE"""),"SampleVideo_360x240_30mb.mp4")</f>
        <v/>
      </c>
      <c r="D209" s="7">
        <f>IFERROR(__xludf.DUMMYFUNCTION("""COMPUTED_VALUE"""),"No task description")</f>
        <v/>
      </c>
      <c r="E209" s="7">
        <f>IFERROR(__xludf.DUMMYFUNCTION("""COMPUTED_VALUE"""),"video/mp4 – A video file containing moving images and possibly audio, suitable for playback on most modern devices and platforms.")</f>
        <v/>
      </c>
      <c r="F209" s="7" t="inlineStr">
        <is>
          <t>No task descriptions; embedded artifacts include MP3 audio, a balance lab, and an MP4 video.</t>
        </is>
      </c>
      <c r="G209" s="8" t="inlineStr">
        <is>
          <t>1</t>
        </is>
      </c>
      <c r="H209" s="8" t="inlineStr">
        <is>
          <t>0</t>
        </is>
      </c>
      <c r="I209" s="8" t="inlineStr">
        <is>
          <t>0</t>
        </is>
      </c>
      <c r="J209" s="8" t="inlineStr">
        <is>
          <t>0</t>
        </is>
      </c>
      <c r="K209" s="9" t="inlineStr">
        <is>
          <t>1</t>
        </is>
      </c>
      <c r="L209" s="9" t="inlineStr">
        <is>
          <t>0</t>
        </is>
      </c>
      <c r="M209" s="9" t="inlineStr">
        <is>
          <t>0</t>
        </is>
      </c>
      <c r="N209" s="9" t="inlineStr">
        <is>
          <t>0</t>
        </is>
      </c>
      <c r="O209" s="10" t="inlineStr">
        <is>
          <t>0</t>
        </is>
      </c>
      <c r="P209" s="10" t="inlineStr">
        <is>
          <t>0</t>
        </is>
      </c>
      <c r="Q209" s="10" t="inlineStr">
        <is>
          <t>0</t>
        </is>
      </c>
      <c r="R209" s="10" t="inlineStr">
        <is>
          <t>0</t>
        </is>
      </c>
      <c r="S209" s="10" t="inlineStr">
        <is>
          <t>0</t>
        </is>
      </c>
    </row>
    <row r="210" ht="25" customHeight="1">
      <c r="A210" s="6">
        <f>IFERROR(__xludf.DUMMYFUNCTION("""COMPUTED_VALUE"""),"EPFL: Ecole Polytechnique de Lausanne")</f>
        <v/>
      </c>
      <c r="B210" s="6">
        <f>IFERROR(__xludf.DUMMYFUNCTION("""COMPUTED_VALUE"""),"Space")</f>
        <v/>
      </c>
      <c r="C210" s="6">
        <f>IFERROR(__xludf.DUMMYFUNCTION("""COMPUTED_VALUE"""),"App")</f>
        <v/>
      </c>
      <c r="D210" s="7">
        <f>IFERROR(__xludf.DUMMYFUNCTION("""COMPUTED_VALUE"""),"No task description")</f>
        <v/>
      </c>
      <c r="E210" s="7">
        <f>IFERROR(__xludf.DUMMYFUNCTION("""COMPUTED_VALUE"""),"No artifact embedded")</f>
        <v/>
      </c>
      <c r="F210" s="7" t="inlineStr">
        <is>
          <t>No task descriptions provided; artifacts include a balance lab, a video file, and no artifact in the third item.</t>
        </is>
      </c>
      <c r="G210" s="8" t="inlineStr">
        <is>
          <t>0</t>
        </is>
      </c>
      <c r="H210" s="8" t="inlineStr">
        <is>
          <t>0</t>
        </is>
      </c>
      <c r="I210" s="8" t="inlineStr">
        <is>
          <t>0</t>
        </is>
      </c>
      <c r="J210" s="8" t="inlineStr">
        <is>
          <t>0</t>
        </is>
      </c>
      <c r="K210" s="9" t="inlineStr">
        <is>
          <t>0</t>
        </is>
      </c>
      <c r="L210" s="9" t="inlineStr">
        <is>
          <t>0</t>
        </is>
      </c>
      <c r="M210" s="9" t="inlineStr">
        <is>
          <t>0</t>
        </is>
      </c>
      <c r="N210" s="9" t="inlineStr">
        <is>
          <t>0</t>
        </is>
      </c>
      <c r="O210" s="10" t="inlineStr">
        <is>
          <t>0</t>
        </is>
      </c>
      <c r="P210" s="10" t="inlineStr">
        <is>
          <t>0</t>
        </is>
      </c>
      <c r="Q210" s="10" t="inlineStr">
        <is>
          <t>0</t>
        </is>
      </c>
      <c r="R210" s="10" t="inlineStr">
        <is>
          <t>0</t>
        </is>
      </c>
      <c r="S210" s="10" t="inlineStr">
        <is>
          <t>0</t>
        </is>
      </c>
    </row>
    <row r="211" ht="409.5" customHeight="1">
      <c r="A211" s="6">
        <f>IFERROR(__xludf.DUMMYFUNCTION("""COMPUTED_VALUE"""),"EPFL: Ecole Polytechnique de Lausanne")</f>
        <v/>
      </c>
      <c r="B211" s="6">
        <f>IFERROR(__xludf.DUMMYFUNCTION("""COMPUTED_VALUE"""),"Application")</f>
        <v/>
      </c>
      <c r="C211" s="6">
        <f>IFERROR(__xludf.DUMMYFUNCTION("""COMPUTED_VALUE"""),"Calculator")</f>
        <v/>
      </c>
      <c r="D211" s="7">
        <f>IFERROR(__xludf.DUMMYFUNCTION("""COMPUTED_VALUE"""),"No task description")</f>
        <v/>
      </c>
      <c r="E211" s="7">
        <f>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
      </c>
      <c r="F211" s="7" t="inlineStr">
        <is>
          <t>No task descriptions provided. Embedded artifacts include a video file and a calculator app with standard and advanced modes.</t>
        </is>
      </c>
      <c r="G211" s="8" t="inlineStr">
        <is>
          <t>1</t>
        </is>
      </c>
      <c r="H211" s="8" t="inlineStr">
        <is>
          <t>1</t>
        </is>
      </c>
      <c r="I211" s="8" t="inlineStr">
        <is>
          <t>1</t>
        </is>
      </c>
      <c r="J211" s="8" t="inlineStr">
        <is>
          <t>0</t>
        </is>
      </c>
      <c r="K211" s="9" t="inlineStr">
        <is>
          <t>1</t>
        </is>
      </c>
      <c r="L211" s="9" t="inlineStr">
        <is>
          <t>1</t>
        </is>
      </c>
      <c r="M211" s="9" t="inlineStr">
        <is>
          <t>0</t>
        </is>
      </c>
      <c r="N211" s="9" t="inlineStr">
        <is>
          <t>0</t>
        </is>
      </c>
      <c r="O211" s="10" t="inlineStr">
        <is>
          <t>0</t>
        </is>
      </c>
      <c r="P211" s="10" t="inlineStr">
        <is>
          <t>0</t>
        </is>
      </c>
      <c r="Q211" s="10" t="inlineStr">
        <is>
          <t>0</t>
        </is>
      </c>
      <c r="R211" s="10" t="inlineStr">
        <is>
          <t>0</t>
        </is>
      </c>
      <c r="S211" s="10" t="inlineStr">
        <is>
          <t>0</t>
        </is>
      </c>
    </row>
    <row r="212" ht="169" customHeight="1">
      <c r="A212" s="6">
        <f>IFERROR(__xludf.DUMMYFUNCTION("""COMPUTED_VALUE"""),"EPFL: Ecole Polytechnique de Lausanne")</f>
        <v/>
      </c>
      <c r="B212" s="6">
        <f>IFERROR(__xludf.DUMMYFUNCTION("""COMPUTED_VALUE"""),"Application")</f>
        <v/>
      </c>
      <c r="C212" s="6">
        <f>IFERROR(__xludf.DUMMYFUNCTION("""COMPUTED_VALUE"""),"sketch")</f>
        <v/>
      </c>
      <c r="D212" s="7">
        <f>IFERROR(__xludf.DUMMYFUNCTION("""COMPUTED_VALUE"""),"No task description")</f>
        <v/>
      </c>
      <c r="E212" s="7">
        <f>IFERROR(__xludf.DUMMYFUNCTION("""COMPUTED_VALUE"""),"Golabz app/lab: ""&lt;p&gt;A drawing-based learning environment for the gears domain. The primary aims of the lab are: Let students to explore the ways in which gears and chains transmit motion.&lt;/p&gt;\r\n""")</f>
        <v/>
      </c>
      <c r="F212" s="7" t="inlineStr">
        <is>
          <t>No task descriptions, but embedded artifacts include a calculator app and a gear-themed drawing lab.</t>
        </is>
      </c>
      <c r="G212" s="8" t="inlineStr">
        <is>
          <t>0</t>
        </is>
      </c>
      <c r="H212" s="8" t="inlineStr">
        <is>
          <t>1</t>
        </is>
      </c>
      <c r="I212" s="8" t="inlineStr">
        <is>
          <t>1</t>
        </is>
      </c>
      <c r="J212" s="8" t="inlineStr">
        <is>
          <t>1</t>
        </is>
      </c>
      <c r="K212" s="9" t="inlineStr">
        <is>
          <t>1</t>
        </is>
      </c>
      <c r="L212" s="9" t="inlineStr">
        <is>
          <t>1</t>
        </is>
      </c>
      <c r="M212" s="9" t="inlineStr">
        <is>
          <t>0</t>
        </is>
      </c>
      <c r="N212" s="9" t="inlineStr">
        <is>
          <t>0</t>
        </is>
      </c>
      <c r="O212" s="10" t="inlineStr">
        <is>
          <t>0</t>
        </is>
      </c>
      <c r="P212" s="10" t="inlineStr">
        <is>
          <t>0</t>
        </is>
      </c>
      <c r="Q212" s="10" t="inlineStr">
        <is>
          <t>1</t>
        </is>
      </c>
      <c r="R212" s="10" t="inlineStr">
        <is>
          <t>0</t>
        </is>
      </c>
      <c r="S212" s="10" t="inlineStr">
        <is>
          <t>0</t>
        </is>
      </c>
    </row>
    <row r="213" ht="157" customHeight="1">
      <c r="A213" s="6">
        <f>IFERROR(__xludf.DUMMYFUNCTION("""COMPUTED_VALUE"""),"EPFL: Ecole Polytechnique de Lausanne")</f>
        <v/>
      </c>
      <c r="B213" s="6">
        <f>IFERROR(__xludf.DUMMYFUNCTION("""COMPUTED_VALUE"""),"Application")</f>
        <v/>
      </c>
      <c r="C213" s="6">
        <f>IFERROR(__xludf.DUMMYFUNCTION("""COMPUTED_VALUE"""),"File Drop")</f>
        <v/>
      </c>
      <c r="D213" s="7">
        <f>IFERROR(__xludf.DUMMYFUNCTION("""COMPUTED_VALUE"""),"No task description")</f>
        <v/>
      </c>
      <c r="E213" s="7">
        <f>IFERROR(__xludf.DUMMYFUNCTION("""COMPUTED_VALUE"""),"Golabz app/lab: ""&lt;p&gt;This app allows students to upload files, e.g., assignment and reports, to the Inquiry learning Space. The app also allows teachers to download the uploaded files.&lt;/p&gt;\r\n""")</f>
        <v/>
      </c>
      <c r="F213" s="7" t="inlineStr">
        <is>
          <t>No task descriptions are provided; embedded artifacts include calculator, gears lab, and file uploader apps.</t>
        </is>
      </c>
      <c r="G213" s="8" t="inlineStr">
        <is>
          <t>0</t>
        </is>
      </c>
      <c r="H213" s="8" t="inlineStr">
        <is>
          <t>1</t>
        </is>
      </c>
      <c r="I213" s="8" t="inlineStr">
        <is>
          <t>1</t>
        </is>
      </c>
      <c r="J213" s="8" t="inlineStr">
        <is>
          <t>0</t>
        </is>
      </c>
      <c r="K213" s="9" t="inlineStr">
        <is>
          <t>0</t>
        </is>
      </c>
      <c r="L213" s="9" t="inlineStr">
        <is>
          <t>1</t>
        </is>
      </c>
      <c r="M213" s="9" t="inlineStr">
        <is>
          <t>0</t>
        </is>
      </c>
      <c r="N213" s="9" t="inlineStr">
        <is>
          <t>0</t>
        </is>
      </c>
      <c r="O213" s="10" t="inlineStr">
        <is>
          <t>0</t>
        </is>
      </c>
      <c r="P213" s="10" t="inlineStr">
        <is>
          <t>0</t>
        </is>
      </c>
      <c r="Q213" s="10" t="inlineStr">
        <is>
          <t>0</t>
        </is>
      </c>
      <c r="R213" s="10" t="inlineStr">
        <is>
          <t>0</t>
        </is>
      </c>
      <c r="S213" s="10" t="inlineStr">
        <is>
          <t>1</t>
        </is>
      </c>
    </row>
    <row r="214" ht="409.5" customHeight="1">
      <c r="A214" s="6">
        <f>IFERROR(__xludf.DUMMYFUNCTION("""COMPUTED_VALUE"""),"EPFL: Ecole Polytechnique de Lausanne")</f>
        <v/>
      </c>
      <c r="B214" s="6">
        <f>IFERROR(__xludf.DUMMYFUNCTION("""COMPUTED_VALUE"""),"Application")</f>
        <v/>
      </c>
      <c r="C214" s="6">
        <f>IFERROR(__xludf.DUMMYFUNCTION("""COMPUTED_VALUE"""),"SpeakUp")</f>
        <v/>
      </c>
      <c r="D214" s="7">
        <f>IFERROR(__xludf.DUMMYFUNCTION("""COMPUTED_VALUE"""),"No task description")</f>
        <v/>
      </c>
      <c r="E21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14" s="7" t="inlineStr">
        <is>
          <t>No task descriptions provided; embedded artifacts include Golabz labs for gears, file uploads, and social discussions.</t>
        </is>
      </c>
      <c r="G214" s="8" t="inlineStr">
        <is>
          <t>0</t>
        </is>
      </c>
      <c r="H214" s="8" t="inlineStr">
        <is>
          <t>1</t>
        </is>
      </c>
      <c r="I214" s="8" t="inlineStr">
        <is>
          <t>1</t>
        </is>
      </c>
      <c r="J214" s="8" t="inlineStr">
        <is>
          <t>1</t>
        </is>
      </c>
      <c r="K214" s="9" t="inlineStr">
        <is>
          <t>0</t>
        </is>
      </c>
      <c r="L214" s="9" t="inlineStr">
        <is>
          <t>0</t>
        </is>
      </c>
      <c r="M214" s="9" t="inlineStr">
        <is>
          <t>1</t>
        </is>
      </c>
      <c r="N214" s="9" t="inlineStr">
        <is>
          <t>1</t>
        </is>
      </c>
      <c r="O214" s="10" t="inlineStr">
        <is>
          <t>0</t>
        </is>
      </c>
      <c r="P214" s="10" t="inlineStr">
        <is>
          <t>0</t>
        </is>
      </c>
      <c r="Q214" s="10" t="inlineStr">
        <is>
          <t>0</t>
        </is>
      </c>
      <c r="R214" s="10" t="inlineStr">
        <is>
          <t>0</t>
        </is>
      </c>
      <c r="S214" s="10" t="inlineStr">
        <is>
          <t>1</t>
        </is>
      </c>
    </row>
    <row r="215" ht="25" customHeight="1">
      <c r="A215" s="6">
        <f>IFERROR(__xludf.DUMMYFUNCTION("""COMPUTED_VALUE"""),"EPFL: Ecole Polytechnique de Lausanne")</f>
        <v/>
      </c>
      <c r="B215" s="6">
        <f>IFERROR(__xludf.DUMMYFUNCTION("""COMPUTED_VALUE"""),"Application")</f>
        <v/>
      </c>
      <c r="C215" s="6">
        <f>IFERROR(__xludf.DUMMYFUNCTION("""COMPUTED_VALUE"""),"SpeakUp")</f>
        <v/>
      </c>
      <c r="D215" s="7">
        <f>IFERROR(__xludf.DUMMYFUNCTION("""COMPUTED_VALUE"""),"No task description")</f>
        <v/>
      </c>
      <c r="E215" s="7">
        <f>IFERROR(__xludf.DUMMYFUNCTION("""COMPUTED_VALUE"""),"No artifact embedded")</f>
        <v/>
      </c>
      <c r="F215" s="7" t="inlineStr">
        <is>
          <t>No task descriptions are provided. Embedded artifacts include Golabz apps: file uploader and SpeakUp for social discussions and polls.</t>
        </is>
      </c>
      <c r="G215" s="8" t="inlineStr">
        <is>
          <t>0</t>
        </is>
      </c>
      <c r="H215" s="8" t="inlineStr">
        <is>
          <t>0</t>
        </is>
      </c>
      <c r="I215" s="8" t="inlineStr">
        <is>
          <t>0</t>
        </is>
      </c>
      <c r="J215" s="8" t="inlineStr">
        <is>
          <t>0</t>
        </is>
      </c>
      <c r="K215" s="9" t="inlineStr">
        <is>
          <t>0</t>
        </is>
      </c>
      <c r="L215" s="9" t="inlineStr">
        <is>
          <t>0</t>
        </is>
      </c>
      <c r="M215" s="9" t="inlineStr">
        <is>
          <t>0</t>
        </is>
      </c>
      <c r="N215" s="9" t="inlineStr">
        <is>
          <t>0</t>
        </is>
      </c>
      <c r="O215" s="10" t="inlineStr">
        <is>
          <t>0</t>
        </is>
      </c>
      <c r="P215" s="10" t="inlineStr">
        <is>
          <t>0</t>
        </is>
      </c>
      <c r="Q215" s="10" t="inlineStr">
        <is>
          <t>0</t>
        </is>
      </c>
      <c r="R215" s="10" t="inlineStr">
        <is>
          <t>0</t>
        </is>
      </c>
      <c r="S215" s="10" t="inlineStr">
        <is>
          <t>0</t>
        </is>
      </c>
    </row>
    <row r="216" ht="318" customHeight="1">
      <c r="A216" s="6">
        <f>IFERROR(__xludf.DUMMYFUNCTION("""COMPUTED_VALUE"""),"EPFL: Ecole Polytechnique de Lausanne")</f>
        <v/>
      </c>
      <c r="B216" s="6">
        <f>IFERROR(__xludf.DUMMYFUNCTION("""COMPUTED_VALUE"""),"Resource")</f>
        <v/>
      </c>
      <c r="C216" s="6">
        <f>IFERROR(__xludf.DUMMYFUNCTION("""COMPUTED_VALUE"""),"Accueil")</f>
        <v/>
      </c>
      <c r="D216" s="7">
        <f>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
      </c>
      <c r="E216" s="7">
        <f>IFERROR(__xludf.DUMMYFUNCTION("""COMPUTED_VALUE"""),"No artifact embedded")</f>
        <v/>
      </c>
      <c r="F216" s="7" t="inlineStr">
        <is>
          <t>No task descriptions provided. Embedded artifacts include SpeakUp app description in Item1 and none in Items 2 and 3.</t>
        </is>
      </c>
      <c r="G216" s="8" t="inlineStr">
        <is>
          <t>1</t>
        </is>
      </c>
      <c r="H216" s="8" t="inlineStr">
        <is>
          <t>0</t>
        </is>
      </c>
      <c r="I216" s="8" t="inlineStr">
        <is>
          <t>0</t>
        </is>
      </c>
      <c r="J216" s="8" t="inlineStr">
        <is>
          <t>0</t>
        </is>
      </c>
      <c r="K216" s="9" t="inlineStr">
        <is>
          <t>1</t>
        </is>
      </c>
      <c r="L216" s="9" t="inlineStr">
        <is>
          <t>0</t>
        </is>
      </c>
      <c r="M216" s="9" t="inlineStr">
        <is>
          <t>0</t>
        </is>
      </c>
      <c r="N216" s="9" t="inlineStr">
        <is>
          <t>0</t>
        </is>
      </c>
      <c r="O216" s="10" t="inlineStr">
        <is>
          <t>0</t>
        </is>
      </c>
      <c r="P216" s="10" t="inlineStr">
        <is>
          <t>0</t>
        </is>
      </c>
      <c r="Q216" s="10" t="inlineStr">
        <is>
          <t>0</t>
        </is>
      </c>
      <c r="R216" s="10" t="inlineStr">
        <is>
          <t>0</t>
        </is>
      </c>
      <c r="S216" s="10" t="inlineStr">
        <is>
          <t>0</t>
        </is>
      </c>
    </row>
    <row r="217" ht="25" customHeight="1">
      <c r="A217" s="6">
        <f>IFERROR(__xludf.DUMMYFUNCTION("""COMPUTED_VALUE"""),"EPFL: Ecole Polytechnique de Lausanne")</f>
        <v/>
      </c>
      <c r="B217" s="6">
        <f>IFERROR(__xludf.DUMMYFUNCTION("""COMPUTED_VALUE"""),"Space")</f>
        <v/>
      </c>
      <c r="C217" s="6">
        <f>IFERROR(__xludf.DUMMYFUNCTION("""COMPUTED_VALUE"""),"objects")</f>
        <v/>
      </c>
      <c r="D217" s="7">
        <f>IFERROR(__xludf.DUMMYFUNCTION("""COMPUTED_VALUE"""),"No task description")</f>
        <v/>
      </c>
      <c r="E217" s="7">
        <f>IFERROR(__xludf.DUMMYFUNCTION("""COMPUTED_VALUE"""),"No artifact embedded")</f>
        <v/>
      </c>
      <c r="F217" s="7" t="inlineStr">
        <is>
          <t>No task descriptions or artifacts are provided for Items 1 and 3. Item 2 describes EPFL, a Swiss university, with no embedded artifact.</t>
        </is>
      </c>
      <c r="G217" s="8" t="inlineStr">
        <is>
          <t>0</t>
        </is>
      </c>
      <c r="H217" s="8" t="inlineStr">
        <is>
          <t>0</t>
        </is>
      </c>
      <c r="I217" s="8" t="inlineStr">
        <is>
          <t>0</t>
        </is>
      </c>
      <c r="J217" s="8" t="inlineStr">
        <is>
          <t>0</t>
        </is>
      </c>
      <c r="K217" s="9" t="inlineStr">
        <is>
          <t>0</t>
        </is>
      </c>
      <c r="L217" s="9" t="inlineStr">
        <is>
          <t>0</t>
        </is>
      </c>
      <c r="M217" s="9" t="inlineStr">
        <is>
          <t>0</t>
        </is>
      </c>
      <c r="N217" s="9" t="inlineStr">
        <is>
          <t>0</t>
        </is>
      </c>
      <c r="O217" s="10" t="inlineStr">
        <is>
          <t>0</t>
        </is>
      </c>
      <c r="P217" s="10" t="inlineStr">
        <is>
          <t>0</t>
        </is>
      </c>
      <c r="Q217" s="10" t="inlineStr">
        <is>
          <t>0</t>
        </is>
      </c>
      <c r="R217" s="10" t="inlineStr">
        <is>
          <t>0</t>
        </is>
      </c>
      <c r="S217" s="10" t="inlineStr">
        <is>
          <t>0</t>
        </is>
      </c>
    </row>
    <row r="218" ht="85" customHeight="1">
      <c r="A218" s="6">
        <f>IFERROR(__xludf.DUMMYFUNCTION("""COMPUTED_VALUE"""),"EPFL: Ecole Polytechnique de Lausanne")</f>
        <v/>
      </c>
      <c r="B218" s="6">
        <f>IFERROR(__xludf.DUMMYFUNCTION("""COMPUTED_VALUE"""),"Resource")</f>
        <v/>
      </c>
      <c r="C218" s="6">
        <f>IFERROR(__xludf.DUMMYFUNCTION("""COMPUTED_VALUE"""),"Weiterleitungshinweis")</f>
        <v/>
      </c>
      <c r="D218" s="7">
        <f>IFERROR(__xludf.DUMMYFUNCTION("""COMPUTED_VALUE"""),"No task description")</f>
        <v/>
      </c>
      <c r="E218" s="7">
        <f>IFERROR(__xludf.DUMMYFUNCTION("""COMPUTED_VALUE"""),"google.com: A search engine that also provides various services, including image searches.")</f>
        <v/>
      </c>
      <c r="F218" s="7" t="inlineStr">
        <is>
          <t>Students received no instructions; artifacts include a Swiss university description and a Google search engine description.</t>
        </is>
      </c>
      <c r="G218" s="8" t="inlineStr">
        <is>
          <t>1</t>
        </is>
      </c>
      <c r="H218" s="8" t="inlineStr">
        <is>
          <t>0</t>
        </is>
      </c>
      <c r="I218" s="8" t="inlineStr">
        <is>
          <t>0</t>
        </is>
      </c>
      <c r="J218" s="8" t="inlineStr">
        <is>
          <t>0</t>
        </is>
      </c>
      <c r="K218" s="9" t="inlineStr">
        <is>
          <t>1</t>
        </is>
      </c>
      <c r="L218" s="9" t="inlineStr">
        <is>
          <t>0</t>
        </is>
      </c>
      <c r="M218" s="9" t="inlineStr">
        <is>
          <t>0</t>
        </is>
      </c>
      <c r="N218" s="9" t="inlineStr">
        <is>
          <t>0</t>
        </is>
      </c>
      <c r="O218" s="10" t="inlineStr">
        <is>
          <t>0</t>
        </is>
      </c>
      <c r="P218" s="10" t="inlineStr">
        <is>
          <t>0</t>
        </is>
      </c>
      <c r="Q218" s="10" t="inlineStr">
        <is>
          <t>0</t>
        </is>
      </c>
      <c r="R218" s="10" t="inlineStr">
        <is>
          <t>0</t>
        </is>
      </c>
      <c r="S218" s="10" t="inlineStr">
        <is>
          <t>0</t>
        </is>
      </c>
    </row>
    <row r="219" ht="109" customHeight="1">
      <c r="A219" s="6">
        <f>IFERROR(__xludf.DUMMYFUNCTION("""COMPUTED_VALUE"""),"EPFL: Ecole Polytechnique de Lausanne")</f>
        <v/>
      </c>
      <c r="B219" s="6">
        <f>IFERROR(__xludf.DUMMYFUNCTION("""COMPUTED_VALUE"""),"Resource")</f>
        <v/>
      </c>
      <c r="C219" s="6">
        <f>IFERROR(__xludf.DUMMYFUNCTION("""COMPUTED_VALUE"""),"wfd.html")</f>
        <v/>
      </c>
      <c r="D219" s="7">
        <f>IFERROR(__xludf.DUMMYFUNCTION("""COMPUTED_VALUE"""),"&lt;h1&gt;Hello !!!!&lt;/h1&gt;  &lt;div style=""background:red""&gt;&lt;/div&gt;&lt;h1&gt;Hello !!!!&lt;/h1&gt;  &lt;div style=""background:red""&gt;wef&lt;/div&gt;")</f>
        <v/>
      </c>
      <c r="E219" s="7">
        <f>IFERROR(__xludf.DUMMYFUNCTION("""COMPUTED_VALUE"""),"text/html – A webpage or web document that contains structured text, images, and links, designed for display in a web browser.")</f>
        <v/>
      </c>
      <c r="F219" s="7" t="inlineStr">
        <is>
          <t>Students received no task descriptions, but artifacts included a search engine and a webpage with structured text and images.</t>
        </is>
      </c>
      <c r="G219" s="8" t="inlineStr">
        <is>
          <t>1</t>
        </is>
      </c>
      <c r="H219" s="8" t="inlineStr">
        <is>
          <t>0</t>
        </is>
      </c>
      <c r="I219" s="8" t="inlineStr">
        <is>
          <t>0</t>
        </is>
      </c>
      <c r="J219" s="8" t="inlineStr">
        <is>
          <t>0</t>
        </is>
      </c>
      <c r="K219" s="9" t="inlineStr">
        <is>
          <t>1</t>
        </is>
      </c>
      <c r="L219" s="9" t="inlineStr">
        <is>
          <t>0</t>
        </is>
      </c>
      <c r="M219" s="9" t="inlineStr">
        <is>
          <t>0</t>
        </is>
      </c>
      <c r="N219" s="9" t="inlineStr">
        <is>
          <t>0</t>
        </is>
      </c>
      <c r="O219" s="10" t="inlineStr">
        <is>
          <t>0</t>
        </is>
      </c>
      <c r="P219" s="10" t="inlineStr">
        <is>
          <t>0</t>
        </is>
      </c>
      <c r="Q219" s="10" t="inlineStr">
        <is>
          <t>0</t>
        </is>
      </c>
      <c r="R219" s="10" t="inlineStr">
        <is>
          <t>0</t>
        </is>
      </c>
      <c r="S219" s="10" t="inlineStr">
        <is>
          <t>0</t>
        </is>
      </c>
    </row>
    <row r="220" ht="121" customHeight="1">
      <c r="A220" s="6">
        <f>IFERROR(__xludf.DUMMYFUNCTION("""COMPUTED_VALUE"""),"EPFL: Ecole Polytechnique de Lausanne")</f>
        <v/>
      </c>
      <c r="B220" s="6">
        <f>IFERROR(__xludf.DUMMYFUNCTION("""COMPUTED_VALUE"""),"Resource")</f>
        <v/>
      </c>
      <c r="C220" s="6">
        <f>IFERROR(__xludf.DUMMYFUNCTION("""COMPUTED_VALUE"""),"New Link")</f>
        <v/>
      </c>
      <c r="D220" s="7">
        <f>IFERROR(__xludf.DUMMYFUNCTION("""COMPUTED_VALUE"""),"No task description")</f>
        <v/>
      </c>
      <c r="E220" s="7">
        <f>IFERROR(__xludf.DUMMYFUNCTION("""COMPUTED_VALUE"""),"medium.com: A platform for writers to share articles and stories, often accompanied by images hosted on subdomains like cdn-images-1.medium.com.")</f>
        <v/>
      </c>
      <c r="F220" s="7" t="inlineStr">
        <is>
          <t>Students received incomplete tasks with embedded artifacts describing websites: google.com, text/html webpages, and medium.com.</t>
        </is>
      </c>
      <c r="G220" s="8" t="inlineStr">
        <is>
          <t>1</t>
        </is>
      </c>
      <c r="H220" s="8" t="inlineStr">
        <is>
          <t>0</t>
        </is>
      </c>
      <c r="I220" s="8" t="inlineStr">
        <is>
          <t>0</t>
        </is>
      </c>
      <c r="J220" s="8" t="inlineStr">
        <is>
          <t>0</t>
        </is>
      </c>
      <c r="K220" s="9" t="inlineStr">
        <is>
          <t>1</t>
        </is>
      </c>
      <c r="L220" s="9" t="inlineStr">
        <is>
          <t>0</t>
        </is>
      </c>
      <c r="M220" s="9" t="inlineStr">
        <is>
          <t>0</t>
        </is>
      </c>
      <c r="N220" s="9" t="inlineStr">
        <is>
          <t>0</t>
        </is>
      </c>
      <c r="O220" s="10" t="inlineStr">
        <is>
          <t>0</t>
        </is>
      </c>
      <c r="P220" s="10" t="inlineStr">
        <is>
          <t>0</t>
        </is>
      </c>
      <c r="Q220" s="10" t="inlineStr">
        <is>
          <t>0</t>
        </is>
      </c>
      <c r="R220" s="10" t="inlineStr">
        <is>
          <t>0</t>
        </is>
      </c>
      <c r="S220" s="10" t="inlineStr">
        <is>
          <t>0</t>
        </is>
      </c>
    </row>
    <row r="221" ht="409.5" customHeight="1">
      <c r="A221" s="6">
        <f>IFERROR(__xludf.DUMMYFUNCTION("""COMPUTED_VALUE"""),"EPFL: Ecole Polytechnique de Lausanne")</f>
        <v/>
      </c>
      <c r="B221" s="6">
        <f>IFERROR(__xludf.DUMMYFUNCTION("""COMPUTED_VALUE"""),"Resource")</f>
        <v/>
      </c>
      <c r="C221" s="6">
        <f>IFERROR(__xludf.DUMMYFUNCTION("""COMPUTED_VALUE"""),"werfd.txt")</f>
        <v/>
      </c>
      <c r="D221" s="7">
        <f>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
      </c>
      <c r="E221" s="7">
        <f>IFERROR(__xludf.DUMMYFUNCTION("""COMPUTED_VALUE"""),"text/plain – A simple text file containing unformatted text, often used for notes, logs, or source code.")</f>
        <v/>
      </c>
      <c r="F221" s="7" t="inlineStr">
        <is>
          <t>Students are given tasks with embedded artifacts, including webpages and articles, to guide them in evaluating cat performance reviews using the SBI model.</t>
        </is>
      </c>
      <c r="G221" s="8" t="inlineStr">
        <is>
          <t>0</t>
        </is>
      </c>
      <c r="H221" s="8" t="inlineStr">
        <is>
          <t>0</t>
        </is>
      </c>
      <c r="I221" s="8" t="inlineStr">
        <is>
          <t>0</t>
        </is>
      </c>
      <c r="J221" s="8" t="inlineStr">
        <is>
          <t>0</t>
        </is>
      </c>
      <c r="K221" s="9" t="inlineStr">
        <is>
          <t>1</t>
        </is>
      </c>
      <c r="L221" s="9" t="inlineStr">
        <is>
          <t>0</t>
        </is>
      </c>
      <c r="M221" s="9" t="inlineStr">
        <is>
          <t>0</t>
        </is>
      </c>
      <c r="N221" s="9" t="inlineStr">
        <is>
          <t>0</t>
        </is>
      </c>
      <c r="O221" s="10" t="inlineStr">
        <is>
          <t>1</t>
        </is>
      </c>
      <c r="P221" s="10" t="inlineStr">
        <is>
          <t>0</t>
        </is>
      </c>
      <c r="Q221" s="10" t="inlineStr">
        <is>
          <t>0</t>
        </is>
      </c>
      <c r="R221" s="10" t="inlineStr">
        <is>
          <t>0</t>
        </is>
      </c>
      <c r="S221" s="10" t="inlineStr">
        <is>
          <t>1</t>
        </is>
      </c>
    </row>
    <row r="222" ht="205" customHeight="1">
      <c r="A222" s="6">
        <f>IFERROR(__xludf.DUMMYFUNCTION("""COMPUTED_VALUE"""),"Modeling-based Estimation Learning Environment - MEttLE")</f>
        <v/>
      </c>
      <c r="B222" s="6">
        <f>IFERROR(__xludf.DUMMYFUNCTION("""COMPUTED_VALUE"""),"Space")</f>
        <v/>
      </c>
      <c r="C222" s="6">
        <f>IFERROR(__xludf.DUMMYFUNCTION("""COMPUTED_VALUE"""),"Introduction")</f>
        <v/>
      </c>
      <c r="D222" s="7">
        <f>IFERROR(__xludf.DUMMYFUNCTION("""COMPUTED_VALUE"""),"&lt;p&gt;In MEttLE you will:&lt;/p&gt;&lt;p&gt;1) Solve this estimation problem.&lt;/p&gt;&lt;p&gt;2) Learn the process of solving such estimation problems.&lt;/p&gt;&lt;p&gt;You can swipe up the ""Tools"" tab at the bottom of the page to add your notes at any time.&lt;/p&gt;")</f>
        <v/>
      </c>
      <c r="E222" s="7">
        <f>IFERROR(__xludf.DUMMYFUNCTION("""COMPUTED_VALUE"""),"No artifact embedded")</f>
        <v/>
      </c>
      <c r="F222" s="7" t="inlineStr">
        <is>
          <t>Students received task descriptions and embedded artifacts, including a Medium article on cat performance reviews and a text file.</t>
        </is>
      </c>
      <c r="G222" s="8" t="inlineStr">
        <is>
          <t>0</t>
        </is>
      </c>
      <c r="H222" s="8" t="inlineStr">
        <is>
          <t>1</t>
        </is>
      </c>
      <c r="I222" s="8" t="inlineStr">
        <is>
          <t>1</t>
        </is>
      </c>
      <c r="J222" s="8" t="inlineStr">
        <is>
          <t>1</t>
        </is>
      </c>
      <c r="K222" s="9" t="inlineStr">
        <is>
          <t>0</t>
        </is>
      </c>
      <c r="L222" s="9" t="inlineStr">
        <is>
          <t>1</t>
        </is>
      </c>
      <c r="M222" s="9" t="inlineStr">
        <is>
          <t>0</t>
        </is>
      </c>
      <c r="N222" s="9" t="inlineStr">
        <is>
          <t>0</t>
        </is>
      </c>
      <c r="O222" s="10" t="inlineStr">
        <is>
          <t>0</t>
        </is>
      </c>
      <c r="P222" s="10" t="inlineStr">
        <is>
          <t>0</t>
        </is>
      </c>
      <c r="Q222" s="10" t="inlineStr">
        <is>
          <t>0</t>
        </is>
      </c>
      <c r="R222" s="10" t="inlineStr">
        <is>
          <t>0</t>
        </is>
      </c>
      <c r="S222" s="10" t="inlineStr">
        <is>
          <t>0</t>
        </is>
      </c>
    </row>
    <row r="223" ht="97" customHeight="1">
      <c r="A223" s="6">
        <f>IFERROR(__xludf.DUMMYFUNCTION("""COMPUTED_VALUE"""),"Modeling-based Estimation Learning Environment - MEttLE")</f>
        <v/>
      </c>
      <c r="B223" s="6">
        <f>IFERROR(__xludf.DUMMYFUNCTION("""COMPUTED_VALUE"""),"Resource")</f>
        <v/>
      </c>
      <c r="C223" s="6">
        <f>IFERROR(__xludf.DUMMYFUNCTION("""COMPUTED_VALUE"""),"EstiMap")</f>
        <v/>
      </c>
      <c r="D223" s="7">
        <f>IFERROR(__xludf.DUMMYFUNCTION("""COMPUTED_VALUE"""),"&lt;p&gt;This map describes the process you will follow to solve the estimation problem&lt;/p&gt;")</f>
        <v/>
      </c>
      <c r="E223" s="7">
        <f>IFERROR(__xludf.DUMMYFUNCTION("""COMPUTED_VALUE"""),"image/png – A high-quality image with support for transparency, often used in design and web applications.")</f>
        <v/>
      </c>
      <c r="F223" s="7" t="inlineStr">
        <is>
          <t>Students are guided on evaluating cat performance, providing feedback using SBI model. Embedded artifacts include text files and images.</t>
        </is>
      </c>
      <c r="G223" s="8" t="inlineStr">
        <is>
          <t>1</t>
        </is>
      </c>
      <c r="H223" s="8" t="inlineStr">
        <is>
          <t>0</t>
        </is>
      </c>
      <c r="I223" s="8" t="inlineStr">
        <is>
          <t>0</t>
        </is>
      </c>
      <c r="J223" s="8" t="inlineStr">
        <is>
          <t>0</t>
        </is>
      </c>
      <c r="K223" s="9" t="inlineStr">
        <is>
          <t>1</t>
        </is>
      </c>
      <c r="L223" s="9" t="inlineStr">
        <is>
          <t>0</t>
        </is>
      </c>
      <c r="M223" s="9" t="inlineStr">
        <is>
          <t>0</t>
        </is>
      </c>
      <c r="N223" s="9" t="inlineStr">
        <is>
          <t>0</t>
        </is>
      </c>
      <c r="O223" s="10" t="inlineStr">
        <is>
          <t>0</t>
        </is>
      </c>
      <c r="P223" s="10" t="inlineStr">
        <is>
          <t>0</t>
        </is>
      </c>
      <c r="Q223" s="10" t="inlineStr">
        <is>
          <t>0</t>
        </is>
      </c>
      <c r="R223" s="10" t="inlineStr">
        <is>
          <t>0</t>
        </is>
      </c>
      <c r="S223" s="10" t="inlineStr">
        <is>
          <t>0</t>
        </is>
      </c>
    </row>
    <row r="224" ht="109" customHeight="1">
      <c r="A224" s="6">
        <f>IFERROR(__xludf.DUMMYFUNCTION("""COMPUTED_VALUE"""),"Modeling-based Estimation Learning Environment - MEttLE")</f>
        <v/>
      </c>
      <c r="B224" s="6">
        <f>IFERROR(__xludf.DUMMYFUNCTION("""COMPUTED_VALUE"""),"Space")</f>
        <v/>
      </c>
      <c r="C224" s="6">
        <f>IFERROR(__xludf.DUMMYFUNCTION("""COMPUTED_VALUE"""),"Functional Modeling")</f>
        <v/>
      </c>
      <c r="D224" s="7">
        <f>IFERROR(__xludf.DUMMYFUNCTION("""COMPUTED_VALUE"""),"&lt;p&gt;In this first phase of estimation, you will create a functional model of the electric car that you can use to estimate power.&lt;/p&gt;")</f>
        <v/>
      </c>
      <c r="E224" s="7">
        <f>IFERROR(__xludf.DUMMYFUNCTION("""COMPUTED_VALUE"""),"No artifact embedded")</f>
        <v/>
      </c>
      <c r="F224" s="7" t="inlineStr">
        <is>
          <t>Students solve estimation problems and learn the process. Embedded artifacts include a high-quality PNG image.</t>
        </is>
      </c>
      <c r="G224" s="8" t="inlineStr">
        <is>
          <t>0</t>
        </is>
      </c>
      <c r="H224" s="8" t="inlineStr">
        <is>
          <t>0</t>
        </is>
      </c>
      <c r="I224" s="8" t="inlineStr">
        <is>
          <t>1</t>
        </is>
      </c>
      <c r="J224" s="8" t="inlineStr">
        <is>
          <t>1</t>
        </is>
      </c>
      <c r="K224" s="9" t="inlineStr">
        <is>
          <t>0</t>
        </is>
      </c>
      <c r="L224" s="9" t="inlineStr">
        <is>
          <t>1</t>
        </is>
      </c>
      <c r="M224" s="9" t="inlineStr">
        <is>
          <t>0</t>
        </is>
      </c>
      <c r="N224" s="9" t="inlineStr">
        <is>
          <t>0</t>
        </is>
      </c>
      <c r="O224" s="10" t="inlineStr">
        <is>
          <t>1</t>
        </is>
      </c>
      <c r="P224" s="10" t="inlineStr">
        <is>
          <t>0</t>
        </is>
      </c>
      <c r="Q224" s="10" t="inlineStr">
        <is>
          <t>0</t>
        </is>
      </c>
      <c r="R224" s="10" t="inlineStr">
        <is>
          <t>0</t>
        </is>
      </c>
      <c r="S224" s="10" t="inlineStr">
        <is>
          <t>0</t>
        </is>
      </c>
    </row>
    <row r="225" ht="97" customHeight="1">
      <c r="A225" s="6">
        <f>IFERROR(__xludf.DUMMYFUNCTION("""COMPUTED_VALUE"""),"Modeling-based Estimation Learning Environment - MEttLE")</f>
        <v/>
      </c>
      <c r="B225" s="6">
        <f>IFERROR(__xludf.DUMMYFUNCTION("""COMPUTED_VALUE"""),"Resource")</f>
        <v/>
      </c>
      <c r="C225" s="6">
        <f>IFERROR(__xludf.DUMMYFUNCTION("""COMPUTED_VALUE"""),"EstiMap")</f>
        <v/>
      </c>
      <c r="D225" s="7">
        <f>IFERROR(__xludf.DUMMYFUNCTION("""COMPUTED_VALUE"""),"&lt;p&gt;This is where you are in the estimation process&lt;/p&gt;")</f>
        <v/>
      </c>
      <c r="E225" s="7">
        <f>IFERROR(__xludf.DUMMYFUNCTION("""COMPUTED_VALUE"""),"image/png – A high-quality image with support for transparency, often used in design and web applications.")</f>
        <v/>
      </c>
      <c r="F225" s="7" t="inlineStr">
        <is>
          <t>Students follow a 3-item process to solve an estimation problem, with Items 1 and 3 including embedded PNG images.</t>
        </is>
      </c>
      <c r="G225" s="8" t="inlineStr">
        <is>
          <t>1</t>
        </is>
      </c>
      <c r="H225" s="8" t="inlineStr">
        <is>
          <t>0</t>
        </is>
      </c>
      <c r="I225" s="8" t="inlineStr">
        <is>
          <t>0</t>
        </is>
      </c>
      <c r="J225" s="8" t="inlineStr">
        <is>
          <t>0</t>
        </is>
      </c>
      <c r="K225" s="9" t="inlineStr">
        <is>
          <t>1</t>
        </is>
      </c>
      <c r="L225" s="9" t="inlineStr">
        <is>
          <t>0</t>
        </is>
      </c>
      <c r="M225" s="9" t="inlineStr">
        <is>
          <t>0</t>
        </is>
      </c>
      <c r="N225" s="9" t="inlineStr">
        <is>
          <t>0</t>
        </is>
      </c>
      <c r="O225" s="10" t="inlineStr">
        <is>
          <t>0</t>
        </is>
      </c>
      <c r="P225" s="10" t="inlineStr">
        <is>
          <t>0</t>
        </is>
      </c>
      <c r="Q225" s="10" t="inlineStr">
        <is>
          <t>0</t>
        </is>
      </c>
      <c r="R225" s="10" t="inlineStr">
        <is>
          <t>0</t>
        </is>
      </c>
      <c r="S225" s="10" t="inlineStr">
        <is>
          <t>0</t>
        </is>
      </c>
    </row>
    <row r="226" ht="409.5" customHeight="1">
      <c r="A226" s="6">
        <f>IFERROR(__xludf.DUMMYFUNCTION("""COMPUTED_VALUE"""),"Modeling-based Estimation Learning Environment - MEttLE")</f>
        <v/>
      </c>
      <c r="B226" s="6">
        <f>IFERROR(__xludf.DUMMYFUNCTION("""COMPUTED_VALUE"""),"Application")</f>
        <v/>
      </c>
      <c r="C226" s="6">
        <f>IFERROR(__xludf.DUMMYFUNCTION("""COMPUTED_VALUE"""),"Word Bag")</f>
        <v/>
      </c>
      <c r="D226" s="7">
        <f>IFERROR(__xludf.DUMMYFUNCTION("""COMPUTED_VALUE"""),"&lt;p&gt;Create a sentence using the words below that describes how an electric car runs. This is the functional model of the electric car. You can use the reference material and scratch pads given below.&lt;/p&gt;")</f>
        <v/>
      </c>
      <c r="E22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26" s="7" t="inlineStr">
        <is>
          <t>Students create a functional model of an electric car and estimate power using given tasks and tools, with embedded artifacts including images and interactive scratchpads.</t>
        </is>
      </c>
      <c r="G226" s="8" t="inlineStr">
        <is>
          <t>0</t>
        </is>
      </c>
      <c r="H226" s="8" t="inlineStr">
        <is>
          <t>1</t>
        </is>
      </c>
      <c r="I226" s="8" t="inlineStr">
        <is>
          <t>1</t>
        </is>
      </c>
      <c r="J226" s="8" t="inlineStr">
        <is>
          <t>1</t>
        </is>
      </c>
      <c r="K226" s="9" t="inlineStr">
        <is>
          <t>0</t>
        </is>
      </c>
      <c r="L226" s="9" t="inlineStr">
        <is>
          <t>1</t>
        </is>
      </c>
      <c r="M226" s="9" t="inlineStr">
        <is>
          <t>0</t>
        </is>
      </c>
      <c r="N226" s="9" t="inlineStr">
        <is>
          <t>0</t>
        </is>
      </c>
      <c r="O226" s="10" t="inlineStr">
        <is>
          <t>0</t>
        </is>
      </c>
      <c r="P226" s="10" t="inlineStr">
        <is>
          <t>1</t>
        </is>
      </c>
      <c r="Q226" s="10" t="inlineStr">
        <is>
          <t>1</t>
        </is>
      </c>
      <c r="R226" s="10" t="inlineStr">
        <is>
          <t>0</t>
        </is>
      </c>
      <c r="S226" s="10" t="inlineStr">
        <is>
          <t>0</t>
        </is>
      </c>
    </row>
    <row r="227" ht="296" customHeight="1">
      <c r="A227" s="6">
        <f>IFERROR(__xludf.DUMMYFUNCTION("""COMPUTED_VALUE"""),"Modeling-based Estimation Learning Environment - MEttLE")</f>
        <v/>
      </c>
      <c r="B227" s="6">
        <f>IFERROR(__xludf.DUMMYFUNCTION("""COMPUTED_VALUE"""),"Application")</f>
        <v/>
      </c>
      <c r="C227" s="6">
        <f>IFERROR(__xludf.DUMMYFUNCTION("""COMPUTED_VALUE"""),"Evaluate your model")</f>
        <v/>
      </c>
      <c r="D227" s="7">
        <f>IFERROR(__xludf.DUMMYFUNCTION("""COMPUTED_VALUE"""),"&lt;p&gt;Let's evaluate whether your functional model is useful for estimating power. &lt;/p&gt;")</f>
        <v/>
      </c>
      <c r="E22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7" s="7" t="inlineStr">
        <is>
          <t>Students are given tasks with descriptions and embedded artifacts, including images, scratchpads, and quizzes.</t>
        </is>
      </c>
      <c r="G227" s="8" t="inlineStr">
        <is>
          <t>0</t>
        </is>
      </c>
      <c r="H227" s="8" t="inlineStr">
        <is>
          <t>1</t>
        </is>
      </c>
      <c r="I227" s="8" t="inlineStr">
        <is>
          <t>1</t>
        </is>
      </c>
      <c r="J227" s="8" t="inlineStr">
        <is>
          <t>1</t>
        </is>
      </c>
      <c r="K227" s="9" t="inlineStr">
        <is>
          <t>1</t>
        </is>
      </c>
      <c r="L227" s="9" t="inlineStr">
        <is>
          <t>1</t>
        </is>
      </c>
      <c r="M227" s="9" t="inlineStr">
        <is>
          <t>0</t>
        </is>
      </c>
      <c r="N227" s="9" t="inlineStr">
        <is>
          <t>0</t>
        </is>
      </c>
      <c r="O227" s="10" t="inlineStr">
        <is>
          <t>0</t>
        </is>
      </c>
      <c r="P227" s="10" t="inlineStr">
        <is>
          <t>0</t>
        </is>
      </c>
      <c r="Q227" s="10" t="inlineStr">
        <is>
          <t>0</t>
        </is>
      </c>
      <c r="R227" s="10" t="inlineStr">
        <is>
          <t>0</t>
        </is>
      </c>
      <c r="S227" s="10" t="inlineStr">
        <is>
          <t>1</t>
        </is>
      </c>
    </row>
    <row r="228" ht="109" customHeight="1">
      <c r="A228" s="6">
        <f>IFERROR(__xludf.DUMMYFUNCTION("""COMPUTED_VALUE"""),"Modeling-based Estimation Learning Environment - MEttLE")</f>
        <v/>
      </c>
      <c r="B228" s="6">
        <f>IFERROR(__xludf.DUMMYFUNCTION("""COMPUTED_VALUE"""),"Resource")</f>
        <v/>
      </c>
      <c r="C228" s="6">
        <f>IFERROR(__xludf.DUMMYFUNCTION("""COMPUTED_VALUE"""),"A utilizable functional model")</f>
        <v/>
      </c>
      <c r="D228" s="7">
        <f>IFERROR(__xludf.DUMMYFUNCTION("""COMPUTED_VALUE"""),"&lt;p&gt;Here is a functional model that you can use to estimate power.&lt;/p&gt;")</f>
        <v/>
      </c>
      <c r="E228" s="7">
        <f>IFERROR(__xludf.DUMMYFUNCTION("""COMPUTED_VALUE"""),"text/html – A webpage or web document that contains structured text, images, and links, designed for display in a web browser.")</f>
        <v/>
      </c>
      <c r="F228" s="7" t="inlineStr">
        <is>
          <t>Students create sentences describing electric cars, evaluate models, and use tools like Hypothesis Scratchpad and quizzes. Embedded artifacts include Golabz apps and a webpage with structured text and images.</t>
        </is>
      </c>
      <c r="G228" s="8" t="inlineStr">
        <is>
          <t>1</t>
        </is>
      </c>
      <c r="H228" s="8" t="inlineStr">
        <is>
          <t>0</t>
        </is>
      </c>
      <c r="I228" s="8" t="inlineStr">
        <is>
          <t>0</t>
        </is>
      </c>
      <c r="J228" s="8" t="inlineStr">
        <is>
          <t>0</t>
        </is>
      </c>
      <c r="K228" s="9" t="inlineStr">
        <is>
          <t>1</t>
        </is>
      </c>
      <c r="L228" s="9" t="inlineStr">
        <is>
          <t>0</t>
        </is>
      </c>
      <c r="M228" s="9" t="inlineStr">
        <is>
          <t>0</t>
        </is>
      </c>
      <c r="N228" s="9" t="inlineStr">
        <is>
          <t>0</t>
        </is>
      </c>
      <c r="O228" s="10" t="inlineStr">
        <is>
          <t>0</t>
        </is>
      </c>
      <c r="P228" s="10" t="inlineStr">
        <is>
          <t>0</t>
        </is>
      </c>
      <c r="Q228" s="10" t="inlineStr">
        <is>
          <t>0</t>
        </is>
      </c>
      <c r="R228" s="10" t="inlineStr">
        <is>
          <t>0</t>
        </is>
      </c>
      <c r="S228" s="10" t="inlineStr">
        <is>
          <t>0</t>
        </is>
      </c>
    </row>
    <row r="229" ht="296" customHeight="1">
      <c r="A229" s="6">
        <f>IFERROR(__xludf.DUMMYFUNCTION("""COMPUTED_VALUE"""),"Modeling-based Estimation Learning Environment - MEttLE")</f>
        <v/>
      </c>
      <c r="B229" s="6">
        <f>IFERROR(__xludf.DUMMYFUNCTION("""COMPUTED_VALUE"""),"Application")</f>
        <v/>
      </c>
      <c r="C229" s="6">
        <f>IFERROR(__xludf.DUMMYFUNCTION("""COMPUTED_VALUE"""),"Reflect and plan")</f>
        <v/>
      </c>
      <c r="D229" s="7">
        <f>IFERROR(__xludf.DUMMYFUNCTION("""COMPUTED_VALUE"""),"&lt;p&gt;Here you will reflect on what you did in this phase and what you intend to do next.&lt;/p&gt;")</f>
        <v/>
      </c>
      <c r="E22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9" s="7" t="inlineStr">
        <is>
          <t>Students evaluate a functional model, estimate power, and reflect on their process using embedded artifacts like webpages and Golabz app/lab quizzes.</t>
        </is>
      </c>
      <c r="G229" s="8" t="inlineStr">
        <is>
          <t>0</t>
        </is>
      </c>
      <c r="H229" s="8" t="inlineStr">
        <is>
          <t>0</t>
        </is>
      </c>
      <c r="I229" s="8" t="inlineStr">
        <is>
          <t>1</t>
        </is>
      </c>
      <c r="J229" s="8" t="inlineStr">
        <is>
          <t>1</t>
        </is>
      </c>
      <c r="K229" s="9" t="inlineStr">
        <is>
          <t>1</t>
        </is>
      </c>
      <c r="L229" s="9" t="inlineStr">
        <is>
          <t>1</t>
        </is>
      </c>
      <c r="M229" s="9" t="inlineStr">
        <is>
          <t>0</t>
        </is>
      </c>
      <c r="N229" s="9" t="inlineStr">
        <is>
          <t>0</t>
        </is>
      </c>
      <c r="O229" s="10" t="inlineStr">
        <is>
          <t>0</t>
        </is>
      </c>
      <c r="P229" s="10" t="inlineStr">
        <is>
          <t>0</t>
        </is>
      </c>
      <c r="Q229" s="10" t="inlineStr">
        <is>
          <t>0</t>
        </is>
      </c>
      <c r="R229" s="10" t="inlineStr">
        <is>
          <t>0</t>
        </is>
      </c>
      <c r="S229" s="10" t="inlineStr">
        <is>
          <t>1</t>
        </is>
      </c>
    </row>
    <row r="230" ht="109" customHeight="1">
      <c r="A230" s="6">
        <f>IFERROR(__xludf.DUMMYFUNCTION("""COMPUTED_VALUE"""),"Modeling-based Estimation Learning Environment - MEttLE")</f>
        <v/>
      </c>
      <c r="B230" s="6">
        <f>IFERROR(__xludf.DUMMYFUNCTION("""COMPUTED_VALUE"""),"Resource")</f>
        <v/>
      </c>
      <c r="C230" s="6">
        <f>IFERROR(__xludf.DUMMYFUNCTION("""COMPUTED_VALUE"""),"Reference Materials")</f>
        <v/>
      </c>
      <c r="D230" s="7">
        <f>IFERROR(__xludf.DUMMYFUNCTION("""COMPUTED_VALUE"""),"&lt;p&gt;Read about how an electric car works here.&lt;/p&gt;")</f>
        <v/>
      </c>
      <c r="E230" s="7">
        <f>IFERROR(__xludf.DUMMYFUNCTION("""COMPUTED_VALUE"""),"application/pdf – A portable document format (PDF) file, preserving text and layout for consistent viewing across devices.")</f>
        <v/>
      </c>
      <c r="F230" s="7" t="inlineStr">
        <is>
          <t>Students received tasks with embedded artifacts: a webpage, a quiz app, and a PDF file.</t>
        </is>
      </c>
      <c r="G230" s="8" t="inlineStr">
        <is>
          <t>1</t>
        </is>
      </c>
      <c r="H230" s="8" t="inlineStr">
        <is>
          <t>0</t>
        </is>
      </c>
      <c r="I230" s="8" t="inlineStr">
        <is>
          <t>0</t>
        </is>
      </c>
      <c r="J230" s="8" t="inlineStr">
        <is>
          <t>0</t>
        </is>
      </c>
      <c r="K230" s="9" t="inlineStr">
        <is>
          <t>1</t>
        </is>
      </c>
      <c r="L230" s="9" t="inlineStr">
        <is>
          <t>0</t>
        </is>
      </c>
      <c r="M230" s="9" t="inlineStr">
        <is>
          <t>0</t>
        </is>
      </c>
      <c r="N230" s="9" t="inlineStr">
        <is>
          <t>0</t>
        </is>
      </c>
      <c r="O230" s="10" t="inlineStr">
        <is>
          <t>0</t>
        </is>
      </c>
      <c r="P230" s="10" t="inlineStr">
        <is>
          <t>0</t>
        </is>
      </c>
      <c r="Q230" s="10" t="inlineStr">
        <is>
          <t>0</t>
        </is>
      </c>
      <c r="R230" s="10" t="inlineStr">
        <is>
          <t>0</t>
        </is>
      </c>
      <c r="S230" s="10" t="inlineStr">
        <is>
          <t>0</t>
        </is>
      </c>
    </row>
    <row r="231" ht="109" customHeight="1">
      <c r="A231" s="6">
        <f>IFERROR(__xludf.DUMMYFUNCTION("""COMPUTED_VALUE"""),"Modeling-based Estimation Learning Environment - MEttLE")</f>
        <v/>
      </c>
      <c r="B231" s="6">
        <f>IFERROR(__xludf.DUMMYFUNCTION("""COMPUTED_VALUE"""),"Resource")</f>
        <v/>
      </c>
      <c r="C231" s="6">
        <f>IFERROR(__xludf.DUMMYFUNCTION("""COMPUTED_VALUE"""),"Scratch Pad - drawing")</f>
        <v/>
      </c>
      <c r="D231" s="7">
        <f>IFERROR(__xludf.DUMMYFUNCTION("""COMPUTED_VALUE"""),"&lt;p&gt;Draw your initial thoughts and ideas.&lt;/p&gt;")</f>
        <v/>
      </c>
      <c r="E231" s="7">
        <f>IFERROR(__xludf.DUMMYFUNCTION("""COMPUTED_VALUE"""),"text/html – A webpage or web document that contains structured text, images, and links, designed for display in a web browser.")</f>
        <v/>
      </c>
      <c r="F231" s="7" t="inlineStr">
        <is>
          <t>Students reflect, read, and draw. Embedded artifacts include a quiz app, PDF file, and HTML webpage.</t>
        </is>
      </c>
      <c r="G231" s="8" t="inlineStr">
        <is>
          <t>0</t>
        </is>
      </c>
      <c r="H231" s="8" t="inlineStr">
        <is>
          <t>1</t>
        </is>
      </c>
      <c r="I231" s="8" t="inlineStr">
        <is>
          <t>1</t>
        </is>
      </c>
      <c r="J231" s="8" t="inlineStr">
        <is>
          <t>1</t>
        </is>
      </c>
      <c r="K231" s="9" t="inlineStr">
        <is>
          <t>0</t>
        </is>
      </c>
      <c r="L231" s="9" t="inlineStr">
        <is>
          <t>1</t>
        </is>
      </c>
      <c r="M231" s="9" t="inlineStr">
        <is>
          <t>0</t>
        </is>
      </c>
      <c r="N231" s="9" t="inlineStr">
        <is>
          <t>0</t>
        </is>
      </c>
      <c r="O231" s="10" t="inlineStr">
        <is>
          <t>0</t>
        </is>
      </c>
      <c r="P231" s="10" t="inlineStr">
        <is>
          <t>1</t>
        </is>
      </c>
      <c r="Q231" s="10" t="inlineStr">
        <is>
          <t>0</t>
        </is>
      </c>
      <c r="R231" s="10" t="inlineStr">
        <is>
          <t>0</t>
        </is>
      </c>
      <c r="S231" s="10" t="inlineStr">
        <is>
          <t>0</t>
        </is>
      </c>
    </row>
    <row r="232" ht="329" customHeight="1">
      <c r="A232" s="6">
        <f>IFERROR(__xludf.DUMMYFUNCTION("""COMPUTED_VALUE"""),"Modeling-based Estimation Learning Environment - MEttLE")</f>
        <v/>
      </c>
      <c r="B232" s="6">
        <f>IFERROR(__xludf.DUMMYFUNCTION("""COMPUTED_VALUE"""),"Application")</f>
        <v/>
      </c>
      <c r="C232" s="6">
        <f>IFERROR(__xludf.DUMMYFUNCTION("""COMPUTED_VALUE"""),"Scratch pad - notes")</f>
        <v/>
      </c>
      <c r="D232" s="7">
        <f>IFERROR(__xludf.DUMMYFUNCTION("""COMPUTED_VALUE"""),"&lt;p&gt;Take notes here.&lt;/p&gt;")</f>
        <v/>
      </c>
      <c r="E2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32" s="7" t="inlineStr">
        <is>
          <t>Students are instructed to: read, draw, and take notes. Embedded artifacts include PDF, webpage, and note-taking app.</t>
        </is>
      </c>
      <c r="G232" s="8" t="inlineStr">
        <is>
          <t>0</t>
        </is>
      </c>
      <c r="H232" s="8" t="inlineStr">
        <is>
          <t>1</t>
        </is>
      </c>
      <c r="I232" s="8" t="inlineStr">
        <is>
          <t>1</t>
        </is>
      </c>
      <c r="J232" s="8" t="inlineStr">
        <is>
          <t>1</t>
        </is>
      </c>
      <c r="K232" s="9" t="inlineStr">
        <is>
          <t>0</t>
        </is>
      </c>
      <c r="L232" s="9" t="inlineStr">
        <is>
          <t>1</t>
        </is>
      </c>
      <c r="M232" s="9" t="inlineStr">
        <is>
          <t>0</t>
        </is>
      </c>
      <c r="N232" s="9" t="inlineStr">
        <is>
          <t>0</t>
        </is>
      </c>
      <c r="O232" s="10" t="inlineStr">
        <is>
          <t>0</t>
        </is>
      </c>
      <c r="P232" s="10" t="inlineStr">
        <is>
          <t>0</t>
        </is>
      </c>
      <c r="Q232" s="10" t="inlineStr">
        <is>
          <t>0</t>
        </is>
      </c>
      <c r="R232" s="10" t="inlineStr">
        <is>
          <t>0</t>
        </is>
      </c>
      <c r="S232" s="10" t="inlineStr">
        <is>
          <t>1</t>
        </is>
      </c>
    </row>
    <row r="233" ht="109" customHeight="1">
      <c r="A233" s="6">
        <f>IFERROR(__xludf.DUMMYFUNCTION("""COMPUTED_VALUE"""),"Modeling-based Estimation Learning Environment - MEttLE")</f>
        <v/>
      </c>
      <c r="B233" s="6">
        <f>IFERROR(__xludf.DUMMYFUNCTION("""COMPUTED_VALUE"""),"Space")</f>
        <v/>
      </c>
      <c r="C233" s="6">
        <f>IFERROR(__xludf.DUMMYFUNCTION("""COMPUTED_VALUE"""),"Qualitative Modeling")</f>
        <v/>
      </c>
      <c r="D233" s="7">
        <f>IFERROR(__xludf.DUMMYFUNCTION("""COMPUTED_VALUE"""),"&lt;p&gt;In this second phase of estimation, you will create a qualitative model of the electric car that you can use to estimate power.&lt;/p&gt;")</f>
        <v/>
      </c>
      <c r="E233" s="7">
        <f>IFERROR(__xludf.DUMMYFUNCTION("""COMPUTED_VALUE"""),"No artifact embedded")</f>
        <v/>
      </c>
      <c r="F233" s="7" t="inlineStr">
        <is>
          <t>Students are instructed to draw, take notes, and create a qualitative model. Embedded artifacts include text/html webpage and Golabz app/lab for note-taking.</t>
        </is>
      </c>
      <c r="G233" s="8" t="inlineStr">
        <is>
          <t>0</t>
        </is>
      </c>
      <c r="H233" s="8" t="inlineStr">
        <is>
          <t>0</t>
        </is>
      </c>
      <c r="I233" s="8" t="inlineStr">
        <is>
          <t>1</t>
        </is>
      </c>
      <c r="J233" s="8" t="inlineStr">
        <is>
          <t>1</t>
        </is>
      </c>
      <c r="K233" s="9" t="inlineStr">
        <is>
          <t>0</t>
        </is>
      </c>
      <c r="L233" s="9" t="inlineStr">
        <is>
          <t>1</t>
        </is>
      </c>
      <c r="M233" s="9" t="inlineStr">
        <is>
          <t>0</t>
        </is>
      </c>
      <c r="N233" s="9" t="inlineStr">
        <is>
          <t>0</t>
        </is>
      </c>
      <c r="O233" s="10" t="inlineStr">
        <is>
          <t>0</t>
        </is>
      </c>
      <c r="P233" s="10" t="inlineStr">
        <is>
          <t>1</t>
        </is>
      </c>
      <c r="Q233" s="10" t="inlineStr">
        <is>
          <t>0</t>
        </is>
      </c>
      <c r="R233" s="10" t="inlineStr">
        <is>
          <t>0</t>
        </is>
      </c>
      <c r="S233" s="10" t="inlineStr">
        <is>
          <t>0</t>
        </is>
      </c>
    </row>
    <row r="234" ht="97" customHeight="1">
      <c r="A234" s="6">
        <f>IFERROR(__xludf.DUMMYFUNCTION("""COMPUTED_VALUE"""),"Modeling-based Estimation Learning Environment - MEttLE")</f>
        <v/>
      </c>
      <c r="B234" s="6">
        <f>IFERROR(__xludf.DUMMYFUNCTION("""COMPUTED_VALUE"""),"Resource")</f>
        <v/>
      </c>
      <c r="C234" s="6">
        <f>IFERROR(__xludf.DUMMYFUNCTION("""COMPUTED_VALUE"""),"EstiMap")</f>
        <v/>
      </c>
      <c r="D234" s="7">
        <f>IFERROR(__xludf.DUMMYFUNCTION("""COMPUTED_VALUE"""),"&lt;p&gt;This is where you are in the estimation process.&lt;/p&gt;")</f>
        <v/>
      </c>
      <c r="E234" s="7">
        <f>IFERROR(__xludf.DUMMYFUNCTION("""COMPUTED_VALUE"""),"image/png – A high-quality image with support for transparency, often used in design and web applications.")</f>
        <v/>
      </c>
      <c r="F234" s="7" t="inlineStr">
        <is>
          <t>Students take notes and create models with embedded artifacts like note-taking apps and images.</t>
        </is>
      </c>
      <c r="G234" s="8" t="inlineStr">
        <is>
          <t>1</t>
        </is>
      </c>
      <c r="H234" s="8" t="inlineStr">
        <is>
          <t>0</t>
        </is>
      </c>
      <c r="I234" s="8" t="inlineStr">
        <is>
          <t>0</t>
        </is>
      </c>
      <c r="J234" s="8" t="inlineStr">
        <is>
          <t>0</t>
        </is>
      </c>
      <c r="K234" s="9" t="inlineStr">
        <is>
          <t>1</t>
        </is>
      </c>
      <c r="L234" s="9" t="inlineStr">
        <is>
          <t>0</t>
        </is>
      </c>
      <c r="M234" s="9" t="inlineStr">
        <is>
          <t>0</t>
        </is>
      </c>
      <c r="N234" s="9" t="inlineStr">
        <is>
          <t>0</t>
        </is>
      </c>
      <c r="O234" s="10" t="inlineStr">
        <is>
          <t>0</t>
        </is>
      </c>
      <c r="P234" s="10" t="inlineStr">
        <is>
          <t>0</t>
        </is>
      </c>
      <c r="Q234" s="10" t="inlineStr">
        <is>
          <t>0</t>
        </is>
      </c>
      <c r="R234" s="10" t="inlineStr">
        <is>
          <t>0</t>
        </is>
      </c>
      <c r="S234" s="10" t="inlineStr">
        <is>
          <t>0</t>
        </is>
      </c>
    </row>
    <row r="235" ht="409.5" customHeight="1">
      <c r="A235" s="6">
        <f>IFERROR(__xludf.DUMMYFUNCTION("""COMPUTED_VALUE"""),"Modeling-based Estimation Learning Environment - MEttLE")</f>
        <v/>
      </c>
      <c r="B235" s="6">
        <f>IFERROR(__xludf.DUMMYFUNCTION("""COMPUTED_VALUE"""),"Application")</f>
        <v/>
      </c>
      <c r="C235" s="6">
        <f>IFERROR(__xludf.DUMMYFUNCTION("""COMPUTED_VALUE"""),"Simulator")</f>
        <v/>
      </c>
      <c r="D235" s="7">
        <f>IFERROR(__xludf.DUMMYFUNCTION("""COMPUTED_VALUE"""),"No task description")</f>
        <v/>
      </c>
      <c r="E235" s="7">
        <f>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
      </c>
      <c r="F235" s="7" t="inlineStr">
        <is>
          <t>Students create a qualitative model of an electric car and estimate power, with embedded artifacts including images and interactive questionnaires via the Golabz app/lab.</t>
        </is>
      </c>
      <c r="G235" s="8" t="inlineStr">
        <is>
          <t>1</t>
        </is>
      </c>
      <c r="H235" s="8" t="inlineStr">
        <is>
          <t>0</t>
        </is>
      </c>
      <c r="I235" s="8" t="inlineStr">
        <is>
          <t>1</t>
        </is>
      </c>
      <c r="J235" s="8" t="inlineStr">
        <is>
          <t>0</t>
        </is>
      </c>
      <c r="K235" s="9" t="inlineStr">
        <is>
          <t>0</t>
        </is>
      </c>
      <c r="L235" s="9" t="inlineStr">
        <is>
          <t>1</t>
        </is>
      </c>
      <c r="M235" s="9" t="inlineStr">
        <is>
          <t>0</t>
        </is>
      </c>
      <c r="N235" s="9" t="inlineStr">
        <is>
          <t>1</t>
        </is>
      </c>
      <c r="O235" s="10" t="inlineStr">
        <is>
          <t>0</t>
        </is>
      </c>
      <c r="P235" s="10" t="inlineStr">
        <is>
          <t>0</t>
        </is>
      </c>
      <c r="Q235" s="10" t="inlineStr">
        <is>
          <t>0</t>
        </is>
      </c>
      <c r="R235" s="10" t="inlineStr">
        <is>
          <t>0</t>
        </is>
      </c>
      <c r="S235" s="10" t="inlineStr">
        <is>
          <t>1</t>
        </is>
      </c>
    </row>
    <row r="236" ht="296" customHeight="1">
      <c r="A236" s="6">
        <f>IFERROR(__xludf.DUMMYFUNCTION("""COMPUTED_VALUE"""),"Modeling-based Estimation Learning Environment - MEttLE")</f>
        <v/>
      </c>
      <c r="B236" s="6">
        <f>IFERROR(__xludf.DUMMYFUNCTION("""COMPUTED_VALUE"""),"Application")</f>
        <v/>
      </c>
      <c r="C236" s="6">
        <f>IFERROR(__xludf.DUMMYFUNCTION("""COMPUTED_VALUE"""),"Check your understanding of parameter relationships")</f>
        <v/>
      </c>
      <c r="D236" s="7">
        <f>IFERROR(__xludf.DUMMYFUNCTION("""COMPUTED_VALUE"""),"&lt;p&gt;Answer the questions here to see if you recognize the relationship between the various parameters. Note that multiple answers maybe correct.&lt;/p&gt;")</f>
        <v/>
      </c>
      <c r="E23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36" s="7" t="inlineStr">
        <is>
          <t>Students are given tasks with descriptions and embedded artifacts, including images and Golabz apps, to complete quizzes and surveys with various question types.</t>
        </is>
      </c>
      <c r="G236" s="8" t="inlineStr">
        <is>
          <t>0</t>
        </is>
      </c>
      <c r="H236" s="8" t="inlineStr">
        <is>
          <t>1</t>
        </is>
      </c>
      <c r="I236" s="8" t="inlineStr">
        <is>
          <t>1</t>
        </is>
      </c>
      <c r="J236" s="8" t="inlineStr">
        <is>
          <t>1</t>
        </is>
      </c>
      <c r="K236" s="9" t="inlineStr">
        <is>
          <t>0</t>
        </is>
      </c>
      <c r="L236" s="9" t="inlineStr">
        <is>
          <t>1</t>
        </is>
      </c>
      <c r="M236" s="9" t="inlineStr">
        <is>
          <t>0</t>
        </is>
      </c>
      <c r="N236" s="9" t="inlineStr">
        <is>
          <t>0</t>
        </is>
      </c>
      <c r="O236" s="10" t="inlineStr">
        <is>
          <t>0</t>
        </is>
      </c>
      <c r="P236" s="10" t="inlineStr">
        <is>
          <t>1</t>
        </is>
      </c>
      <c r="Q236" s="10" t="inlineStr">
        <is>
          <t>0</t>
        </is>
      </c>
      <c r="R236" s="10" t="inlineStr">
        <is>
          <t>0</t>
        </is>
      </c>
      <c r="S236" s="10" t="inlineStr">
        <is>
          <t>0</t>
        </is>
      </c>
    </row>
    <row r="237" ht="409.5" customHeight="1">
      <c r="A237" s="6">
        <f>IFERROR(__xludf.DUMMYFUNCTION("""COMPUTED_VALUE"""),"Modeling-based Estimation Learning Environment - MEttLE")</f>
        <v/>
      </c>
      <c r="B237" s="6">
        <f>IFERROR(__xludf.DUMMYFUNCTION("""COMPUTED_VALUE"""),"Application")</f>
        <v/>
      </c>
      <c r="C237" s="6">
        <f>IFERROR(__xludf.DUMMYFUNCTION("""COMPUTED_VALUE"""),"Concept Mapper")</f>
        <v/>
      </c>
      <c r="D237" s="7">
        <f>IFERROR(__xludf.DUMMYFUNCTION("""COMPUTED_VALUE"""),"&lt;p&gt;Draw a causal map describing how the various parameters affecting the running of the car are related.&lt;/p&gt;")</f>
        <v/>
      </c>
      <c r="E237"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237" s="7" t="inlineStr">
        <is>
          <t>No task description for Item1. Other items have tasks and Golabz apps with various tools and configurations.</t>
        </is>
      </c>
      <c r="G237" s="8" t="inlineStr">
        <is>
          <t>0</t>
        </is>
      </c>
      <c r="H237" s="8" t="inlineStr">
        <is>
          <t>0</t>
        </is>
      </c>
      <c r="I237" s="8" t="inlineStr">
        <is>
          <t>1</t>
        </is>
      </c>
      <c r="J237" s="8" t="inlineStr">
        <is>
          <t>1</t>
        </is>
      </c>
      <c r="K237" s="9" t="inlineStr">
        <is>
          <t>0</t>
        </is>
      </c>
      <c r="L237" s="9" t="inlineStr">
        <is>
          <t>1</t>
        </is>
      </c>
      <c r="M237" s="9" t="inlineStr">
        <is>
          <t>0</t>
        </is>
      </c>
      <c r="N237" s="9" t="inlineStr">
        <is>
          <t>0</t>
        </is>
      </c>
      <c r="O237" s="10" t="inlineStr">
        <is>
          <t>0</t>
        </is>
      </c>
      <c r="P237" s="10" t="inlineStr">
        <is>
          <t>1</t>
        </is>
      </c>
      <c r="Q237" s="10" t="inlineStr">
        <is>
          <t>0</t>
        </is>
      </c>
      <c r="R237" s="10" t="inlineStr">
        <is>
          <t>0</t>
        </is>
      </c>
      <c r="S237" s="10" t="inlineStr">
        <is>
          <t>0</t>
        </is>
      </c>
    </row>
    <row r="238" ht="109" customHeight="1">
      <c r="A238" s="6">
        <f>IFERROR(__xludf.DUMMYFUNCTION("""COMPUTED_VALUE"""),"Modeling-based Estimation Learning Environment - MEttLE")</f>
        <v/>
      </c>
      <c r="B238" s="6">
        <f>IFERROR(__xludf.DUMMYFUNCTION("""COMPUTED_VALUE"""),"Resource")</f>
        <v/>
      </c>
      <c r="C238" s="6">
        <f>IFERROR(__xludf.DUMMYFUNCTION("""COMPUTED_VALUE"""),"Reference Materials")</f>
        <v/>
      </c>
      <c r="D238" s="7">
        <f>IFERROR(__xludf.DUMMYFUNCTION("""COMPUTED_VALUE"""),"&lt;p&gt;Read about how an electric car works here.&lt;/p&gt;")</f>
        <v/>
      </c>
      <c r="E238" s="7">
        <f>IFERROR(__xludf.DUMMYFUNCTION("""COMPUTED_VALUE"""),"application/pdf – A portable document format (PDF) file, preserving text and layout for consistent viewing across devices.")</f>
        <v/>
      </c>
      <c r="F238" s="7" t="inlineStr">
        <is>
          <t>Students are instructed to answer questions, draw a causal map, and read about electric cars using interactive tools like quizzes, concept mappers, and PDF files.</t>
        </is>
      </c>
      <c r="G238" s="8" t="inlineStr">
        <is>
          <t>1</t>
        </is>
      </c>
      <c r="H238" s="8" t="inlineStr">
        <is>
          <t>0</t>
        </is>
      </c>
      <c r="I238" s="8" t="inlineStr">
        <is>
          <t>0</t>
        </is>
      </c>
      <c r="J238" s="8" t="inlineStr">
        <is>
          <t>0</t>
        </is>
      </c>
      <c r="K238" s="9" t="inlineStr">
        <is>
          <t>1</t>
        </is>
      </c>
      <c r="L238" s="9" t="inlineStr">
        <is>
          <t>0</t>
        </is>
      </c>
      <c r="M238" s="9" t="inlineStr">
        <is>
          <t>0</t>
        </is>
      </c>
      <c r="N238" s="9" t="inlineStr">
        <is>
          <t>0</t>
        </is>
      </c>
      <c r="O238" s="10" t="inlineStr">
        <is>
          <t>0</t>
        </is>
      </c>
      <c r="P238" s="10" t="inlineStr">
        <is>
          <t>0</t>
        </is>
      </c>
      <c r="Q238" s="10" t="inlineStr">
        <is>
          <t>0</t>
        </is>
      </c>
      <c r="R238" s="10" t="inlineStr">
        <is>
          <t>0</t>
        </is>
      </c>
      <c r="S238" s="10" t="inlineStr">
        <is>
          <t>0</t>
        </is>
      </c>
    </row>
    <row r="239" ht="109" customHeight="1">
      <c r="A239" s="6">
        <f>IFERROR(__xludf.DUMMYFUNCTION("""COMPUTED_VALUE"""),"Modeling-based Estimation Learning Environment - MEttLE")</f>
        <v/>
      </c>
      <c r="B239" s="6">
        <f>IFERROR(__xludf.DUMMYFUNCTION("""COMPUTED_VALUE"""),"Resource")</f>
        <v/>
      </c>
      <c r="C239" s="6">
        <f>IFERROR(__xludf.DUMMYFUNCTION("""COMPUTED_VALUE"""),"Scratch Pad - drawing")</f>
        <v/>
      </c>
      <c r="D239" s="7">
        <f>IFERROR(__xludf.DUMMYFUNCTION("""COMPUTED_VALUE"""),"&lt;p&gt;Draw your initial thoughts and ideas.&lt;/p&gt;")</f>
        <v/>
      </c>
      <c r="E239" s="7">
        <f>IFERROR(__xludf.DUMMYFUNCTION("""COMPUTED_VALUE"""),"text/html – A webpage or web document that contains structured text, images, and links, designed for display in a web browser.")</f>
        <v/>
      </c>
      <c r="F239" s="7" t="inlineStr">
        <is>
          <t>Students are instructed to draw causal maps, read about electric cars, and share initial thoughts. Embedded artifacts include a concept mapper tool, PDF file, and HTML webpage.</t>
        </is>
      </c>
      <c r="G239" s="8" t="inlineStr">
        <is>
          <t>0</t>
        </is>
      </c>
      <c r="H239" s="8" t="inlineStr">
        <is>
          <t>1</t>
        </is>
      </c>
      <c r="I239" s="8" t="inlineStr">
        <is>
          <t>1</t>
        </is>
      </c>
      <c r="J239" s="8" t="inlineStr">
        <is>
          <t>1</t>
        </is>
      </c>
      <c r="K239" s="9" t="inlineStr">
        <is>
          <t>0</t>
        </is>
      </c>
      <c r="L239" s="9" t="inlineStr">
        <is>
          <t>1</t>
        </is>
      </c>
      <c r="M239" s="9" t="inlineStr">
        <is>
          <t>0</t>
        </is>
      </c>
      <c r="N239" s="9" t="inlineStr">
        <is>
          <t>0</t>
        </is>
      </c>
      <c r="O239" s="10" t="inlineStr">
        <is>
          <t>0</t>
        </is>
      </c>
      <c r="P239" s="10" t="inlineStr">
        <is>
          <t>1</t>
        </is>
      </c>
      <c r="Q239" s="10" t="inlineStr">
        <is>
          <t>0</t>
        </is>
      </c>
      <c r="R239" s="10" t="inlineStr">
        <is>
          <t>0</t>
        </is>
      </c>
      <c r="S239" s="10" t="inlineStr">
        <is>
          <t>0</t>
        </is>
      </c>
    </row>
    <row r="240" ht="329" customHeight="1">
      <c r="A240" s="6">
        <f>IFERROR(__xludf.DUMMYFUNCTION("""COMPUTED_VALUE"""),"Modeling-based Estimation Learning Environment - MEttLE")</f>
        <v/>
      </c>
      <c r="B240" s="6">
        <f>IFERROR(__xludf.DUMMYFUNCTION("""COMPUTED_VALUE"""),"Application")</f>
        <v/>
      </c>
      <c r="C240" s="6">
        <f>IFERROR(__xludf.DUMMYFUNCTION("""COMPUTED_VALUE"""),"Scratch pad - notes")</f>
        <v/>
      </c>
      <c r="D240" s="7">
        <f>IFERROR(__xludf.DUMMYFUNCTION("""COMPUTED_VALUE"""),"&lt;p&gt;Take notes here.&lt;/p&gt;")</f>
        <v/>
      </c>
      <c r="E24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0" s="7" t="inlineStr">
        <is>
          <t>Students are instructed to read, draw, and take notes with embedded artifacts including PDF, webpage, and note-taking app.</t>
        </is>
      </c>
      <c r="G240" s="8" t="inlineStr">
        <is>
          <t>0</t>
        </is>
      </c>
      <c r="H240" s="8" t="inlineStr">
        <is>
          <t>1</t>
        </is>
      </c>
      <c r="I240" s="8" t="inlineStr">
        <is>
          <t>1</t>
        </is>
      </c>
      <c r="J240" s="8" t="inlineStr">
        <is>
          <t>1</t>
        </is>
      </c>
      <c r="K240" s="9" t="inlineStr">
        <is>
          <t>0</t>
        </is>
      </c>
      <c r="L240" s="9" t="inlineStr">
        <is>
          <t>1</t>
        </is>
      </c>
      <c r="M240" s="9" t="inlineStr">
        <is>
          <t>0</t>
        </is>
      </c>
      <c r="N240" s="9" t="inlineStr">
        <is>
          <t>0</t>
        </is>
      </c>
      <c r="O240" s="10" t="inlineStr">
        <is>
          <t>0</t>
        </is>
      </c>
      <c r="P240" s="10" t="inlineStr">
        <is>
          <t>0</t>
        </is>
      </c>
      <c r="Q240" s="10" t="inlineStr">
        <is>
          <t>0</t>
        </is>
      </c>
      <c r="R240" s="10" t="inlineStr">
        <is>
          <t>0</t>
        </is>
      </c>
      <c r="S240" s="10" t="inlineStr">
        <is>
          <t>1</t>
        </is>
      </c>
    </row>
    <row r="241" ht="121" customHeight="1">
      <c r="A241" s="6">
        <f>IFERROR(__xludf.DUMMYFUNCTION("""COMPUTED_VALUE"""),"Modeling-based Estimation Learning Environment - MEttLE")</f>
        <v/>
      </c>
      <c r="B241" s="6">
        <f>IFERROR(__xludf.DUMMYFUNCTION("""COMPUTED_VALUE"""),"Space")</f>
        <v/>
      </c>
      <c r="C241" s="6">
        <f>IFERROR(__xludf.DUMMYFUNCTION("""COMPUTED_VALUE"""),"Quantitative Modeling")</f>
        <v/>
      </c>
      <c r="D241" s="7">
        <f>IFERROR(__xludf.DUMMYFUNCTION("""COMPUTED_VALUE"""),"&lt;p&gt;In the third phase of estimation, you will create a quantitative model of the electric car that you can use to estimate power.&lt;/p&gt;")</f>
        <v/>
      </c>
      <c r="E241" s="7">
        <f>IFERROR(__xludf.DUMMYFUNCTION("""COMPUTED_VALUE"""),"No artifact embedded")</f>
        <v/>
      </c>
      <c r="F241" s="7" t="inlineStr">
        <is>
          <t>Students are instructed to draw, take notes, and create a model. Embedded artifacts include webpages, note-taking apps, but Item 3 has none.</t>
        </is>
      </c>
      <c r="G241" s="8" t="inlineStr">
        <is>
          <t>0</t>
        </is>
      </c>
      <c r="H241" s="8" t="inlineStr">
        <is>
          <t>0</t>
        </is>
      </c>
      <c r="I241" s="8" t="inlineStr">
        <is>
          <t>1</t>
        </is>
      </c>
      <c r="J241" s="8" t="inlineStr">
        <is>
          <t>1</t>
        </is>
      </c>
      <c r="K241" s="9" t="inlineStr">
        <is>
          <t>0</t>
        </is>
      </c>
      <c r="L241" s="9" t="inlineStr">
        <is>
          <t>1</t>
        </is>
      </c>
      <c r="M241" s="9" t="inlineStr">
        <is>
          <t>0</t>
        </is>
      </c>
      <c r="N241" s="9" t="inlineStr">
        <is>
          <t>0</t>
        </is>
      </c>
      <c r="O241" s="10" t="inlineStr">
        <is>
          <t>0</t>
        </is>
      </c>
      <c r="P241" s="10" t="inlineStr">
        <is>
          <t>0</t>
        </is>
      </c>
      <c r="Q241" s="10" t="inlineStr">
        <is>
          <t>0</t>
        </is>
      </c>
      <c r="R241" s="10" t="inlineStr">
        <is>
          <t>0</t>
        </is>
      </c>
      <c r="S241" s="10" t="inlineStr">
        <is>
          <t>0</t>
        </is>
      </c>
    </row>
    <row r="242" ht="97" customHeight="1">
      <c r="A242" s="6">
        <f>IFERROR(__xludf.DUMMYFUNCTION("""COMPUTED_VALUE"""),"Modeling-based Estimation Learning Environment - MEttLE")</f>
        <v/>
      </c>
      <c r="B242" s="6">
        <f>IFERROR(__xludf.DUMMYFUNCTION("""COMPUTED_VALUE"""),"Resource")</f>
        <v/>
      </c>
      <c r="C242" s="6">
        <f>IFERROR(__xludf.DUMMYFUNCTION("""COMPUTED_VALUE"""),"EstiMap")</f>
        <v/>
      </c>
      <c r="D242" s="7">
        <f>IFERROR(__xludf.DUMMYFUNCTION("""COMPUTED_VALUE"""),"&lt;p&gt;This is where you are in the estimation process.&lt;/p&gt;")</f>
        <v/>
      </c>
      <c r="E242" s="7">
        <f>IFERROR(__xludf.DUMMYFUNCTION("""COMPUTED_VALUE"""),"image/png – A high-quality image with support for transparency, often used in design and web applications.")</f>
        <v/>
      </c>
      <c r="F242" s="7" t="inlineStr">
        <is>
          <t>Students take notes and create models. Embedded artifacts include a note-taking app, an image file, and no artifact in Item2.</t>
        </is>
      </c>
      <c r="G242" s="8" t="inlineStr">
        <is>
          <t>1</t>
        </is>
      </c>
      <c r="H242" s="8" t="inlineStr">
        <is>
          <t>0</t>
        </is>
      </c>
      <c r="I242" s="8" t="inlineStr">
        <is>
          <t>0</t>
        </is>
      </c>
      <c r="J242" s="8" t="inlineStr">
        <is>
          <t>0</t>
        </is>
      </c>
      <c r="K242" s="9" t="inlineStr">
        <is>
          <t>1</t>
        </is>
      </c>
      <c r="L242" s="9" t="inlineStr">
        <is>
          <t>0</t>
        </is>
      </c>
      <c r="M242" s="9" t="inlineStr">
        <is>
          <t>0</t>
        </is>
      </c>
      <c r="N242" s="9" t="inlineStr">
        <is>
          <t>0</t>
        </is>
      </c>
      <c r="O242" s="10" t="inlineStr">
        <is>
          <t>0</t>
        </is>
      </c>
      <c r="P242" s="10" t="inlineStr">
        <is>
          <t>0</t>
        </is>
      </c>
      <c r="Q242" s="10" t="inlineStr">
        <is>
          <t>0</t>
        </is>
      </c>
      <c r="R242" s="10" t="inlineStr">
        <is>
          <t>0</t>
        </is>
      </c>
      <c r="S242" s="10" t="inlineStr">
        <is>
          <t>0</t>
        </is>
      </c>
    </row>
    <row r="243" ht="49" customHeight="1">
      <c r="A243" s="6">
        <f>IFERROR(__xludf.DUMMYFUNCTION("""COMPUTED_VALUE"""),"Modeling-based Estimation Learning Environment - MEttLE")</f>
        <v/>
      </c>
      <c r="B243" s="6">
        <f>IFERROR(__xludf.DUMMYFUNCTION("""COMPUTED_VALUE"""),"Application")</f>
        <v/>
      </c>
      <c r="C243" s="6">
        <f>IFERROR(__xludf.DUMMYFUNCTION("""COMPUTED_VALUE"""),"EquationBuilder")</f>
        <v/>
      </c>
      <c r="D243" s="7">
        <f>IFERROR(__xludf.DUMMYFUNCTION("""COMPUTED_VALUE"""),"No task description")</f>
        <v/>
      </c>
      <c r="E243" s="7">
        <f>IFERROR(__xludf.DUMMYFUNCTION("""COMPUTED_VALUE"""),"Golabz app/lab: An app for students to build equations")</f>
        <v/>
      </c>
      <c r="F243" s="7" t="inlineStr">
        <is>
          <t>Students create a quantitative model and estimate power. Embedded artifacts include an image and a lab app.</t>
        </is>
      </c>
      <c r="G243" s="8" t="inlineStr">
        <is>
          <t>0</t>
        </is>
      </c>
      <c r="H243" s="8" t="inlineStr">
        <is>
          <t>1</t>
        </is>
      </c>
      <c r="I243" s="8" t="inlineStr">
        <is>
          <t>1</t>
        </is>
      </c>
      <c r="J243" s="8" t="inlineStr">
        <is>
          <t>1</t>
        </is>
      </c>
      <c r="K243" s="9" t="inlineStr">
        <is>
          <t>0</t>
        </is>
      </c>
      <c r="L243" s="9" t="inlineStr">
        <is>
          <t>1</t>
        </is>
      </c>
      <c r="M243" s="9" t="inlineStr">
        <is>
          <t>0</t>
        </is>
      </c>
      <c r="N243" s="9" t="inlineStr">
        <is>
          <t>0</t>
        </is>
      </c>
      <c r="O243" s="10" t="inlineStr">
        <is>
          <t>0</t>
        </is>
      </c>
      <c r="P243" s="10" t="inlineStr">
        <is>
          <t>1</t>
        </is>
      </c>
      <c r="Q243" s="10" t="inlineStr">
        <is>
          <t>1</t>
        </is>
      </c>
      <c r="R243" s="10" t="inlineStr">
        <is>
          <t>0</t>
        </is>
      </c>
      <c r="S243" s="10" t="inlineStr">
        <is>
          <t>0</t>
        </is>
      </c>
    </row>
    <row r="244" ht="109" customHeight="1">
      <c r="A244" s="6">
        <f>IFERROR(__xludf.DUMMYFUNCTION("""COMPUTED_VALUE"""),"Modeling-based Estimation Learning Environment - MEttLE")</f>
        <v/>
      </c>
      <c r="B244" s="6">
        <f>IFERROR(__xludf.DUMMYFUNCTION("""COMPUTED_VALUE"""),"Resource")</f>
        <v/>
      </c>
      <c r="C244" s="6">
        <f>IFERROR(__xludf.DUMMYFUNCTION("""COMPUTED_VALUE"""),"Reference Materials")</f>
        <v/>
      </c>
      <c r="D244" s="7">
        <f>IFERROR(__xludf.DUMMYFUNCTION("""COMPUTED_VALUE"""),"&lt;p&gt;Read about how an electric car works here.&lt;/p&gt;")</f>
        <v/>
      </c>
      <c r="E244" s="7">
        <f>IFERROR(__xludf.DUMMYFUNCTION("""COMPUTED_VALUE"""),"application/pdf – A portable document format (PDF) file, preserving text and layout for consistent viewing across devices.")</f>
        <v/>
      </c>
      <c r="F244" s="7" t="inlineStr">
        <is>
          <t>Students received tasks with embedded artifacts, including images, apps, and PDF files, to support their work on estimation, equation-building, and reading about electric cars.</t>
        </is>
      </c>
      <c r="G244" s="8" t="inlineStr">
        <is>
          <t>1</t>
        </is>
      </c>
      <c r="H244" s="8" t="inlineStr">
        <is>
          <t>0</t>
        </is>
      </c>
      <c r="I244" s="8" t="inlineStr">
        <is>
          <t>0</t>
        </is>
      </c>
      <c r="J244" s="8" t="inlineStr">
        <is>
          <t>0</t>
        </is>
      </c>
      <c r="K244" s="9" t="inlineStr">
        <is>
          <t>1</t>
        </is>
      </c>
      <c r="L244" s="9" t="inlineStr">
        <is>
          <t>0</t>
        </is>
      </c>
      <c r="M244" s="9" t="inlineStr">
        <is>
          <t>0</t>
        </is>
      </c>
      <c r="N244" s="9" t="inlineStr">
        <is>
          <t>0</t>
        </is>
      </c>
      <c r="O244" s="10" t="inlineStr">
        <is>
          <t>0</t>
        </is>
      </c>
      <c r="P244" s="10" t="inlineStr">
        <is>
          <t>0</t>
        </is>
      </c>
      <c r="Q244" s="10" t="inlineStr">
        <is>
          <t>0</t>
        </is>
      </c>
      <c r="R244" s="10" t="inlineStr">
        <is>
          <t>0</t>
        </is>
      </c>
      <c r="S244" s="10" t="inlineStr">
        <is>
          <t>0</t>
        </is>
      </c>
    </row>
    <row r="245" ht="109" customHeight="1">
      <c r="A245" s="6">
        <f>IFERROR(__xludf.DUMMYFUNCTION("""COMPUTED_VALUE"""),"Modeling-based Estimation Learning Environment - MEttLE")</f>
        <v/>
      </c>
      <c r="B245" s="6">
        <f>IFERROR(__xludf.DUMMYFUNCTION("""COMPUTED_VALUE"""),"Resource")</f>
        <v/>
      </c>
      <c r="C245" s="6">
        <f>IFERROR(__xludf.DUMMYFUNCTION("""COMPUTED_VALUE"""),"Scratch Pad - drawing")</f>
        <v/>
      </c>
      <c r="D245" s="7">
        <f>IFERROR(__xludf.DUMMYFUNCTION("""COMPUTED_VALUE"""),"&lt;p&gt;Draw your initial thoughts and ideas.&lt;/p&gt;")</f>
        <v/>
      </c>
      <c r="E245" s="7">
        <f>IFERROR(__xludf.DUMMYFUNCTION("""COMPUTED_VALUE"""),"text/html – A webpage or web document that contains structured text, images, and links, designed for display in a web browser.")</f>
        <v/>
      </c>
      <c r="F245" s="7" t="inlineStr">
        <is>
          <t>Students receive tasks with embedded artifacts: an equation-building app, a PDF file, and a webpage to inspire drawing and idea generation.</t>
        </is>
      </c>
      <c r="G245" s="8" t="inlineStr">
        <is>
          <t>0</t>
        </is>
      </c>
      <c r="H245" s="8" t="inlineStr">
        <is>
          <t>1</t>
        </is>
      </c>
      <c r="I245" s="8" t="inlineStr">
        <is>
          <t>1</t>
        </is>
      </c>
      <c r="J245" s="8" t="inlineStr">
        <is>
          <t>1</t>
        </is>
      </c>
      <c r="K245" s="9" t="inlineStr">
        <is>
          <t>0</t>
        </is>
      </c>
      <c r="L245" s="9" t="inlineStr">
        <is>
          <t>1</t>
        </is>
      </c>
      <c r="M245" s="9" t="inlineStr">
        <is>
          <t>0</t>
        </is>
      </c>
      <c r="N245" s="9" t="inlineStr">
        <is>
          <t>0</t>
        </is>
      </c>
      <c r="O245" s="10" t="inlineStr">
        <is>
          <t>0</t>
        </is>
      </c>
      <c r="P245" s="10" t="inlineStr">
        <is>
          <t>1</t>
        </is>
      </c>
      <c r="Q245" s="10" t="inlineStr">
        <is>
          <t>0</t>
        </is>
      </c>
      <c r="R245" s="10" t="inlineStr">
        <is>
          <t>0</t>
        </is>
      </c>
      <c r="S245" s="10" t="inlineStr">
        <is>
          <t>0</t>
        </is>
      </c>
    </row>
    <row r="246" ht="329" customHeight="1">
      <c r="A246" s="6">
        <f>IFERROR(__xludf.DUMMYFUNCTION("""COMPUTED_VALUE"""),"Modeling-based Estimation Learning Environment - MEttLE")</f>
        <v/>
      </c>
      <c r="B246" s="6">
        <f>IFERROR(__xludf.DUMMYFUNCTION("""COMPUTED_VALUE"""),"Application")</f>
        <v/>
      </c>
      <c r="C246" s="6">
        <f>IFERROR(__xludf.DUMMYFUNCTION("""COMPUTED_VALUE"""),"Scratch pad - notes")</f>
        <v/>
      </c>
      <c r="D246" s="7">
        <f>IFERROR(__xludf.DUMMYFUNCTION("""COMPUTED_VALUE"""),"&lt;p&gt;Take notes here.&lt;/p&gt;")</f>
        <v/>
      </c>
      <c r="E2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6" s="7" t="inlineStr">
        <is>
          <t>Students are instructed to read, draw, and take notes with embedded artifacts including PDF, HTML webpage, and a note-taking app.</t>
        </is>
      </c>
      <c r="G246" s="8" t="inlineStr">
        <is>
          <t>0</t>
        </is>
      </c>
      <c r="H246" s="8" t="inlineStr">
        <is>
          <t>1</t>
        </is>
      </c>
      <c r="I246" s="8" t="inlineStr">
        <is>
          <t>1</t>
        </is>
      </c>
      <c r="J246" s="8" t="inlineStr">
        <is>
          <t>1</t>
        </is>
      </c>
      <c r="K246" s="9" t="inlineStr">
        <is>
          <t>0</t>
        </is>
      </c>
      <c r="L246" s="9" t="inlineStr">
        <is>
          <t>1</t>
        </is>
      </c>
      <c r="M246" s="9" t="inlineStr">
        <is>
          <t>0</t>
        </is>
      </c>
      <c r="N246" s="9" t="inlineStr">
        <is>
          <t>0</t>
        </is>
      </c>
      <c r="O246" s="10" t="inlineStr">
        <is>
          <t>0</t>
        </is>
      </c>
      <c r="P246" s="10" t="inlineStr">
        <is>
          <t>0</t>
        </is>
      </c>
      <c r="Q246" s="10" t="inlineStr">
        <is>
          <t>0</t>
        </is>
      </c>
      <c r="R246" s="10" t="inlineStr">
        <is>
          <t>0</t>
        </is>
      </c>
      <c r="S246" s="10" t="inlineStr">
        <is>
          <t>1</t>
        </is>
      </c>
    </row>
    <row r="247" ht="85" customHeight="1">
      <c r="A247" s="6">
        <f>IFERROR(__xludf.DUMMYFUNCTION("""COMPUTED_VALUE"""),"Modeling-based Estimation Learning Environment - MEttLE")</f>
        <v/>
      </c>
      <c r="B247" s="6">
        <f>IFERROR(__xludf.DUMMYFUNCTION("""COMPUTED_VALUE"""),"Space")</f>
        <v/>
      </c>
      <c r="C247" s="6">
        <f>IFERROR(__xludf.DUMMYFUNCTION("""COMPUTED_VALUE"""),"Calculation")</f>
        <v/>
      </c>
      <c r="D247" s="7">
        <f>IFERROR(__xludf.DUMMYFUNCTION("""COMPUTED_VALUE"""),"&lt;p&gt;What are the reasonable values of other parameters required to calculate power?&lt;/p&gt;")</f>
        <v/>
      </c>
      <c r="E247" s="7">
        <f>IFERROR(__xludf.DUMMYFUNCTION("""COMPUTED_VALUE"""),"No artifact embedded")</f>
        <v/>
      </c>
      <c r="F247" s="7" t="inlineStr">
        <is>
          <t>Students receive task descriptions with varying embedded artifacts, including HTML webpages and note-taking apps.</t>
        </is>
      </c>
      <c r="G247" s="8" t="inlineStr">
        <is>
          <t>0</t>
        </is>
      </c>
      <c r="H247" s="8" t="inlineStr">
        <is>
          <t>0</t>
        </is>
      </c>
      <c r="I247" s="8" t="inlineStr">
        <is>
          <t>1</t>
        </is>
      </c>
      <c r="J247" s="8" t="inlineStr">
        <is>
          <t>1</t>
        </is>
      </c>
      <c r="K247" s="9" t="inlineStr">
        <is>
          <t>1</t>
        </is>
      </c>
      <c r="L247" s="9" t="inlineStr">
        <is>
          <t>1</t>
        </is>
      </c>
      <c r="M247" s="9" t="inlineStr">
        <is>
          <t>0</t>
        </is>
      </c>
      <c r="N247" s="9" t="inlineStr">
        <is>
          <t>0</t>
        </is>
      </c>
      <c r="O247" s="10" t="inlineStr">
        <is>
          <t>1</t>
        </is>
      </c>
      <c r="P247" s="10" t="inlineStr">
        <is>
          <t>1</t>
        </is>
      </c>
      <c r="Q247" s="10" t="inlineStr">
        <is>
          <t>1</t>
        </is>
      </c>
      <c r="R247" s="10" t="inlineStr">
        <is>
          <t>0</t>
        </is>
      </c>
      <c r="S247" s="10" t="inlineStr">
        <is>
          <t>0</t>
        </is>
      </c>
    </row>
    <row r="248" ht="49" customHeight="1">
      <c r="A248" s="6">
        <f>IFERROR(__xludf.DUMMYFUNCTION("""COMPUTED_VALUE"""),"Modeling-based Estimation Learning Environment - MEttLE")</f>
        <v/>
      </c>
      <c r="B248" s="6">
        <f>IFERROR(__xludf.DUMMYFUNCTION("""COMPUTED_VALUE"""),"Space")</f>
        <v/>
      </c>
      <c r="C248" s="6">
        <f>IFERROR(__xludf.DUMMYFUNCTION("""COMPUTED_VALUE"""),"Evaluation")</f>
        <v/>
      </c>
      <c r="D248" s="7">
        <f>IFERROR(__xludf.DUMMYFUNCTION("""COMPUTED_VALUE"""),"&lt;p&gt;Is the determined value of power reasonable?&lt;/p&gt;")</f>
        <v/>
      </c>
      <c r="E248" s="7">
        <f>IFERROR(__xludf.DUMMYFUNCTION("""COMPUTED_VALUE"""),"No artifact embedded")</f>
        <v/>
      </c>
      <c r="F248" s="7" t="inlineStr">
        <is>
          <t>Students take notes and calculate power, with Golabz app/lab allowing note-taking and collaboration.</t>
        </is>
      </c>
      <c r="G248" s="8" t="inlineStr">
        <is>
          <t>0</t>
        </is>
      </c>
      <c r="H248" s="8" t="inlineStr">
        <is>
          <t>0</t>
        </is>
      </c>
      <c r="I248" s="8" t="inlineStr">
        <is>
          <t>0</t>
        </is>
      </c>
      <c r="J248" s="8" t="inlineStr">
        <is>
          <t>1</t>
        </is>
      </c>
      <c r="K248" s="9" t="inlineStr">
        <is>
          <t>1</t>
        </is>
      </c>
      <c r="L248" s="9" t="inlineStr">
        <is>
          <t>0</t>
        </is>
      </c>
      <c r="M248" s="9" t="inlineStr">
        <is>
          <t>0</t>
        </is>
      </c>
      <c r="N248" s="9" t="inlineStr">
        <is>
          <t>0</t>
        </is>
      </c>
      <c r="O248" s="10" t="inlineStr">
        <is>
          <t>0</t>
        </is>
      </c>
      <c r="P248" s="10" t="inlineStr">
        <is>
          <t>1</t>
        </is>
      </c>
      <c r="Q248" s="10" t="inlineStr">
        <is>
          <t>0</t>
        </is>
      </c>
      <c r="R248" s="10" t="inlineStr">
        <is>
          <t>1</t>
        </is>
      </c>
      <c r="S248" s="10" t="inlineStr">
        <is>
          <t>0</t>
        </is>
      </c>
    </row>
    <row r="249" ht="61" customHeight="1">
      <c r="A249" s="6">
        <f>IFERROR(__xludf.DUMMYFUNCTION("""COMPUTED_VALUE"""),"Modeling-based Estimation Learning Environment - MEttLE")</f>
        <v/>
      </c>
      <c r="B249" s="6">
        <f>IFERROR(__xludf.DUMMYFUNCTION("""COMPUTED_VALUE"""),"Application")</f>
        <v/>
      </c>
      <c r="C249" s="6">
        <f>IFERROR(__xludf.DUMMYFUNCTION("""COMPUTED_VALUE"""),"My Plan")</f>
        <v/>
      </c>
      <c r="D249" s="7">
        <f>IFERROR(__xludf.DUMMYFUNCTION("""COMPUTED_VALUE"""),"&lt;p&gt;How do you think you will solve this estimation problem?&lt;/p&gt;")</f>
        <v/>
      </c>
      <c r="E249" s="7">
        <f>IFERROR(__xludf.DUMMYFUNCTION("""COMPUTED_VALUE"""),"No artifact embedded")</f>
        <v/>
      </c>
      <c r="F249" s="7" t="inlineStr">
        <is>
          <t>Students are given tasks to calculate power, assess reasonableness, and plan solutions with no embedded artifacts.</t>
        </is>
      </c>
      <c r="G249" s="8" t="inlineStr">
        <is>
          <t>0</t>
        </is>
      </c>
      <c r="H249" s="8" t="inlineStr">
        <is>
          <t>0</t>
        </is>
      </c>
      <c r="I249" s="8" t="inlineStr">
        <is>
          <t>1</t>
        </is>
      </c>
      <c r="J249" s="8" t="inlineStr">
        <is>
          <t>1</t>
        </is>
      </c>
      <c r="K249" s="9" t="inlineStr">
        <is>
          <t>1</t>
        </is>
      </c>
      <c r="L249" s="9" t="inlineStr">
        <is>
          <t>1</t>
        </is>
      </c>
      <c r="M249" s="9" t="inlineStr">
        <is>
          <t>0</t>
        </is>
      </c>
      <c r="N249" s="9" t="inlineStr">
        <is>
          <t>0</t>
        </is>
      </c>
      <c r="O249" s="10" t="inlineStr">
        <is>
          <t>1</t>
        </is>
      </c>
      <c r="P249" s="10" t="inlineStr">
        <is>
          <t>1</t>
        </is>
      </c>
      <c r="Q249" s="10" t="inlineStr">
        <is>
          <t>0</t>
        </is>
      </c>
      <c r="R249" s="10" t="inlineStr">
        <is>
          <t>0</t>
        </is>
      </c>
      <c r="S249" s="10" t="inlineStr">
        <is>
          <t>1</t>
        </is>
      </c>
    </row>
    <row r="250" ht="25" customHeight="1">
      <c r="A250" s="6">
        <f>IFERROR(__xludf.DUMMYFUNCTION("""COMPUTED_VALUE"""),"RATE OF DIFFUSION")</f>
        <v/>
      </c>
      <c r="B250" s="6">
        <f>IFERROR(__xludf.DUMMYFUNCTION("""COMPUTED_VALUE"""),"Space")</f>
        <v/>
      </c>
      <c r="C250" s="6">
        <f>IFERROR(__xludf.DUMMYFUNCTION("""COMPUTED_VALUE"""),"About")</f>
        <v/>
      </c>
      <c r="D250" s="7">
        <f>IFERROR(__xludf.DUMMYFUNCTION("""COMPUTED_VALUE"""),"No task description")</f>
        <v/>
      </c>
      <c r="E250" s="7">
        <f>IFERROR(__xludf.DUMMYFUNCTION("""COMPUTED_VALUE"""),"No artifact embedded")</f>
        <v/>
      </c>
      <c r="F250" s="7" t="inlineStr">
        <is>
          <t>Students were given tasks to evaluate power value reasonableness and solve an estimation problem, with no artifacts embedded.</t>
        </is>
      </c>
      <c r="G250" s="8" t="inlineStr">
        <is>
          <t>0</t>
        </is>
      </c>
      <c r="H250" s="8" t="inlineStr">
        <is>
          <t>0</t>
        </is>
      </c>
      <c r="I250" s="8" t="inlineStr">
        <is>
          <t>0</t>
        </is>
      </c>
      <c r="J250" s="8" t="inlineStr">
        <is>
          <t>0</t>
        </is>
      </c>
      <c r="K250" s="9" t="inlineStr">
        <is>
          <t>0</t>
        </is>
      </c>
      <c r="L250" s="9" t="inlineStr">
        <is>
          <t>0</t>
        </is>
      </c>
      <c r="M250" s="9" t="inlineStr">
        <is>
          <t>0</t>
        </is>
      </c>
      <c r="N250" s="9" t="inlineStr">
        <is>
          <t>0</t>
        </is>
      </c>
      <c r="O250" s="10" t="inlineStr">
        <is>
          <t>0</t>
        </is>
      </c>
      <c r="P250" s="10" t="inlineStr">
        <is>
          <t>0</t>
        </is>
      </c>
      <c r="Q250" s="10" t="inlineStr">
        <is>
          <t>0</t>
        </is>
      </c>
      <c r="R250" s="10" t="inlineStr">
        <is>
          <t>0</t>
        </is>
      </c>
      <c r="S250" s="10" t="inlineStr">
        <is>
          <t>0</t>
        </is>
      </c>
    </row>
    <row r="251" ht="157" customHeight="1">
      <c r="A251" s="6">
        <f>IFERROR(__xludf.DUMMYFUNCTION("""COMPUTED_VALUE"""),"RATE OF DIFFUSION")</f>
        <v/>
      </c>
      <c r="B251" s="6">
        <f>IFERROR(__xludf.DUMMYFUNCTION("""COMPUTED_VALUE"""),"Resource")</f>
        <v/>
      </c>
      <c r="C251" s="6">
        <f>IFERROR(__xludf.DUMMYFUNCTION("""COMPUTED_VALUE"""),"About.graasp")</f>
        <v/>
      </c>
      <c r="D251" s="7">
        <f>IFERROR(__xludf.DUMMYFUNCTION("""COMPUTED_VALUE"""),"&lt;p&gt;FORM ONE,KENYAN CURRICULUM&lt;/p&gt;&lt;p&gt;topic:Particulate nature of matter&lt;br&gt;subtopic: Rate of diffusion&lt;br&gt;objective:To determine factors affecting rate of diffusion&lt;/p&gt;")</f>
        <v/>
      </c>
      <c r="E251" s="7">
        <f>IFERROR(__xludf.DUMMYFUNCTION("""COMPUTED_VALUE"""),"No artifact embedded")</f>
        <v/>
      </c>
      <c r="F251" s="7" t="inlineStr">
        <is>
          <t>Students received task descriptions and no embedded artifacts for three items, including a chemistry experiment on the rate of diffusion.</t>
        </is>
      </c>
      <c r="G251" s="8" t="inlineStr">
        <is>
          <t>1</t>
        </is>
      </c>
      <c r="H251" s="8" t="inlineStr">
        <is>
          <t>0</t>
        </is>
      </c>
      <c r="I251" s="8" t="inlineStr">
        <is>
          <t>0</t>
        </is>
      </c>
      <c r="J251" s="8" t="inlineStr">
        <is>
          <t>0</t>
        </is>
      </c>
      <c r="K251" s="9" t="inlineStr">
        <is>
          <t>1</t>
        </is>
      </c>
      <c r="L251" s="9" t="inlineStr">
        <is>
          <t>0</t>
        </is>
      </c>
      <c r="M251" s="9" t="inlineStr">
        <is>
          <t>0</t>
        </is>
      </c>
      <c r="N251" s="9" t="inlineStr">
        <is>
          <t>0</t>
        </is>
      </c>
      <c r="O251" s="10" t="inlineStr">
        <is>
          <t>0</t>
        </is>
      </c>
      <c r="P251" s="10" t="inlineStr">
        <is>
          <t>0</t>
        </is>
      </c>
      <c r="Q251" s="10" t="inlineStr">
        <is>
          <t>0</t>
        </is>
      </c>
      <c r="R251" s="10" t="inlineStr">
        <is>
          <t>0</t>
        </is>
      </c>
      <c r="S251" s="10" t="inlineStr">
        <is>
          <t>0</t>
        </is>
      </c>
    </row>
    <row r="252" ht="193" customHeight="1">
      <c r="A252" s="6">
        <f>IFERROR(__xludf.DUMMYFUNCTION("""COMPUTED_VALUE"""),"RATE OF DIFFUSION")</f>
        <v/>
      </c>
      <c r="B252" s="6">
        <f>IFERROR(__xludf.DUMMYFUNCTION("""COMPUTED_VALUE"""),"Space")</f>
        <v/>
      </c>
      <c r="C252" s="6">
        <f>IFERROR(__xludf.DUMMYFUNCTION("""COMPUTED_VALUE"""),"Engage")</f>
        <v/>
      </c>
      <c r="D252" s="7">
        <f>IFERROR(__xludf.DUMMYFUNCTION("""COMPUTED_VALUE"""),"&lt;p&gt;My two year old nephew visited us over the weekend,she got curious of how possible it is to tell from a distance, my wife was preparing her favorite meal 'omena' .&lt;/p&gt;&lt;p&gt;Study the video below and respond to her concerns&lt;/p&gt;")</f>
        <v/>
      </c>
      <c r="E252" s="7">
        <f>IFERROR(__xludf.DUMMYFUNCTION("""COMPUTED_VALUE"""),"No artifact embedded")</f>
        <v/>
      </c>
      <c r="F252" s="7" t="inlineStr">
        <is>
          <t>Students received task descriptions with no artifacts embedded. Topics included particulate nature of matter and a child's curiosity about cooking.</t>
        </is>
      </c>
      <c r="G252" s="8" t="inlineStr">
        <is>
          <t>0</t>
        </is>
      </c>
      <c r="H252" s="8" t="inlineStr">
        <is>
          <t>0</t>
        </is>
      </c>
      <c r="I252" s="8" t="inlineStr">
        <is>
          <t>1</t>
        </is>
      </c>
      <c r="J252" s="8" t="inlineStr">
        <is>
          <t>1</t>
        </is>
      </c>
      <c r="K252" s="9" t="inlineStr">
        <is>
          <t>0</t>
        </is>
      </c>
      <c r="L252" s="9" t="inlineStr">
        <is>
          <t>1</t>
        </is>
      </c>
      <c r="M252" s="9" t="inlineStr">
        <is>
          <t>0</t>
        </is>
      </c>
      <c r="N252" s="9" t="inlineStr">
        <is>
          <t>0</t>
        </is>
      </c>
      <c r="O252" s="10" t="inlineStr">
        <is>
          <t>1</t>
        </is>
      </c>
      <c r="P252" s="10" t="inlineStr">
        <is>
          <t>1</t>
        </is>
      </c>
      <c r="Q252" s="10" t="inlineStr">
        <is>
          <t>0</t>
        </is>
      </c>
      <c r="R252" s="10" t="inlineStr">
        <is>
          <t>0</t>
        </is>
      </c>
      <c r="S252" s="10" t="inlineStr">
        <is>
          <t>1</t>
        </is>
      </c>
    </row>
    <row r="253" ht="121" customHeight="1">
      <c r="A253" s="6">
        <f>IFERROR(__xludf.DUMMYFUNCTION("""COMPUTED_VALUE"""),"RATE OF DIFFUSION")</f>
        <v/>
      </c>
      <c r="B253" s="6">
        <f>IFERROR(__xludf.DUMMYFUNCTION("""COMPUTED_VALUE"""),"Resource")</f>
        <v/>
      </c>
      <c r="C253" s="6">
        <f>IFERROR(__xludf.DUMMYFUNCTION("""COMPUTED_VALUE"""),"A good example of DIFFUSION.mp4")</f>
        <v/>
      </c>
      <c r="D253" s="7">
        <f>IFERROR(__xludf.DUMMYFUNCTION("""COMPUTED_VALUE"""),"No task description")</f>
        <v/>
      </c>
      <c r="E253" s="7">
        <f>IFERROR(__xludf.DUMMYFUNCTION("""COMPUTED_VALUE"""),"video/mp4 – A video file containing moving images and possibly audio, suitable for playback on most modern devices and platforms.")</f>
        <v/>
      </c>
      <c r="F253" s="7" t="inlineStr">
        <is>
          <t>Students received 3 items with varying instructions and artifacts. Items 1 and 2 have task descriptions, but no embedded artifacts. Item 3 has a video artifact, but no task description.</t>
        </is>
      </c>
      <c r="G253" s="8" t="inlineStr">
        <is>
          <t>1</t>
        </is>
      </c>
      <c r="H253" s="8" t="inlineStr">
        <is>
          <t>0</t>
        </is>
      </c>
      <c r="I253" s="8" t="inlineStr">
        <is>
          <t>0</t>
        </is>
      </c>
      <c r="J253" s="8" t="inlineStr">
        <is>
          <t>0</t>
        </is>
      </c>
      <c r="K253" s="9" t="inlineStr">
        <is>
          <t>1</t>
        </is>
      </c>
      <c r="L253" s="9" t="inlineStr">
        <is>
          <t>0</t>
        </is>
      </c>
      <c r="M253" s="9" t="inlineStr">
        <is>
          <t>0</t>
        </is>
      </c>
      <c r="N253" s="9" t="inlineStr">
        <is>
          <t>0</t>
        </is>
      </c>
      <c r="O253" s="10" t="inlineStr">
        <is>
          <t>0</t>
        </is>
      </c>
      <c r="P253" s="10" t="inlineStr">
        <is>
          <t>0</t>
        </is>
      </c>
      <c r="Q253" s="10" t="inlineStr">
        <is>
          <t>0</t>
        </is>
      </c>
      <c r="R253" s="10" t="inlineStr">
        <is>
          <t>0</t>
        </is>
      </c>
      <c r="S253" s="10" t="inlineStr">
        <is>
          <t>0</t>
        </is>
      </c>
    </row>
    <row r="254" ht="61" customHeight="1">
      <c r="A254" s="6">
        <f>IFERROR(__xludf.DUMMYFUNCTION("""COMPUTED_VALUE"""),"RATE OF DIFFUSION")</f>
        <v/>
      </c>
      <c r="B254" s="6">
        <f>IFERROR(__xludf.DUMMYFUNCTION("""COMPUTED_VALUE"""),"Resource")</f>
        <v/>
      </c>
      <c r="C254" s="6">
        <f>IFERROR(__xludf.DUMMYFUNCTION("""COMPUTED_VALUE"""),"Q1.graasp")</f>
        <v/>
      </c>
      <c r="D254" s="7">
        <f>IFERROR(__xludf.DUMMYFUNCTION("""COMPUTED_VALUE"""),"&lt;p&gt;1. from the video what is your understanding of diffusion?&lt;/p&gt;")</f>
        <v/>
      </c>
      <c r="E254" s="7">
        <f>IFERROR(__xludf.DUMMYFUNCTION("""COMPUTED_VALUE"""),"No artifact embedded")</f>
        <v/>
      </c>
      <c r="F254" s="7" t="inlineStr">
        <is>
          <t>Students are asked to study a video and respond to concerns about telling something from a distance, and understand diffusion from another video. Artifacts include two videos, one not embedded.</t>
        </is>
      </c>
      <c r="G254" s="8" t="inlineStr">
        <is>
          <t>0</t>
        </is>
      </c>
      <c r="H254" s="8" t="inlineStr">
        <is>
          <t>0</t>
        </is>
      </c>
      <c r="I254" s="8" t="inlineStr">
        <is>
          <t>1</t>
        </is>
      </c>
      <c r="J254" s="8" t="inlineStr">
        <is>
          <t>1</t>
        </is>
      </c>
      <c r="K254" s="9" t="inlineStr">
        <is>
          <t>0</t>
        </is>
      </c>
      <c r="L254" s="9" t="inlineStr">
        <is>
          <t>1</t>
        </is>
      </c>
      <c r="M254" s="9" t="inlineStr">
        <is>
          <t>0</t>
        </is>
      </c>
      <c r="N254" s="9" t="inlineStr">
        <is>
          <t>0</t>
        </is>
      </c>
      <c r="O254" s="10" t="inlineStr">
        <is>
          <t>0</t>
        </is>
      </c>
      <c r="P254" s="10" t="inlineStr">
        <is>
          <t>1</t>
        </is>
      </c>
      <c r="Q254" s="10" t="inlineStr">
        <is>
          <t>0</t>
        </is>
      </c>
      <c r="R254" s="10" t="inlineStr">
        <is>
          <t>0</t>
        </is>
      </c>
      <c r="S254" s="10" t="inlineStr">
        <is>
          <t>1</t>
        </is>
      </c>
    </row>
    <row r="255" ht="329" customHeight="1">
      <c r="A255" s="6">
        <f>IFERROR(__xludf.DUMMYFUNCTION("""COMPUTED_VALUE"""),"RATE OF DIFFUSION")</f>
        <v/>
      </c>
      <c r="B255" s="6">
        <f>IFERROR(__xludf.DUMMYFUNCTION("""COMPUTED_VALUE"""),"Application")</f>
        <v/>
      </c>
      <c r="C255" s="6">
        <f>IFERROR(__xludf.DUMMYFUNCTION("""COMPUTED_VALUE"""),"Input Box")</f>
        <v/>
      </c>
      <c r="D255" s="7">
        <f>IFERROR(__xludf.DUMMYFUNCTION("""COMPUTED_VALUE"""),"No task description")</f>
        <v/>
      </c>
      <c r="E25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5" s="7" t="inlineStr">
        <is>
          <t>Students were given tasks with varying levels of guidance and artifacts, including a video file and interactive apps like Golabz and Graasp.</t>
        </is>
      </c>
      <c r="G255" s="8" t="inlineStr">
        <is>
          <t>0</t>
        </is>
      </c>
      <c r="H255" s="8" t="inlineStr">
        <is>
          <t>1</t>
        </is>
      </c>
      <c r="I255" s="8" t="inlineStr">
        <is>
          <t>1</t>
        </is>
      </c>
      <c r="J255" s="8" t="inlineStr">
        <is>
          <t>1</t>
        </is>
      </c>
      <c r="K255" s="9" t="inlineStr">
        <is>
          <t>0</t>
        </is>
      </c>
      <c r="L255" s="9" t="inlineStr">
        <is>
          <t>1</t>
        </is>
      </c>
      <c r="M255" s="9" t="inlineStr">
        <is>
          <t>0</t>
        </is>
      </c>
      <c r="N255" s="9" t="inlineStr">
        <is>
          <t>1</t>
        </is>
      </c>
      <c r="O255" s="10" t="inlineStr">
        <is>
          <t>0</t>
        </is>
      </c>
      <c r="P255" s="10" t="inlineStr">
        <is>
          <t>0</t>
        </is>
      </c>
      <c r="Q255" s="10" t="inlineStr">
        <is>
          <t>0</t>
        </is>
      </c>
      <c r="R255" s="10" t="inlineStr">
        <is>
          <t>0</t>
        </is>
      </c>
      <c r="S255" s="10" t="inlineStr">
        <is>
          <t>1</t>
        </is>
      </c>
    </row>
    <row r="256" ht="49" customHeight="1">
      <c r="A256" s="6">
        <f>IFERROR(__xludf.DUMMYFUNCTION("""COMPUTED_VALUE"""),"RATE OF DIFFUSION")</f>
        <v/>
      </c>
      <c r="B256" s="6">
        <f>IFERROR(__xludf.DUMMYFUNCTION("""COMPUTED_VALUE"""),"Resource")</f>
        <v/>
      </c>
      <c r="C256" s="6">
        <f>IFERROR(__xludf.DUMMYFUNCTION("""COMPUTED_VALUE"""),"Q2.graasp")</f>
        <v/>
      </c>
      <c r="D256" s="7">
        <f>IFERROR(__xludf.DUMMYFUNCTION("""COMPUTED_VALUE"""),"&lt;p&gt;2. How does temperature affects rate of diffusion?&lt;/p&gt;")</f>
        <v/>
      </c>
      <c r="E256" s="7">
        <f>IFERROR(__xludf.DUMMYFUNCTION("""COMPUTED_VALUE"""),"No artifact embedded")</f>
        <v/>
      </c>
      <c r="F256" s="7" t="inlineStr">
        <is>
          <t>Students were asked about diffusion and its relation to temperature, with an optional note-taking app available in Item2.</t>
        </is>
      </c>
      <c r="G256" s="8" t="inlineStr">
        <is>
          <t>0</t>
        </is>
      </c>
      <c r="H256" s="8" t="inlineStr">
        <is>
          <t>0</t>
        </is>
      </c>
      <c r="I256" s="8" t="inlineStr">
        <is>
          <t>1</t>
        </is>
      </c>
      <c r="J256" s="8" t="inlineStr">
        <is>
          <t>1</t>
        </is>
      </c>
      <c r="K256" s="9" t="inlineStr">
        <is>
          <t>1</t>
        </is>
      </c>
      <c r="L256" s="9" t="inlineStr">
        <is>
          <t>1</t>
        </is>
      </c>
      <c r="M256" s="9" t="inlineStr">
        <is>
          <t>0</t>
        </is>
      </c>
      <c r="N256" s="9" t="inlineStr">
        <is>
          <t>0</t>
        </is>
      </c>
      <c r="O256" s="10" t="inlineStr">
        <is>
          <t>1</t>
        </is>
      </c>
      <c r="P256" s="10" t="inlineStr">
        <is>
          <t>1</t>
        </is>
      </c>
      <c r="Q256" s="10" t="inlineStr">
        <is>
          <t>1</t>
        </is>
      </c>
      <c r="R256" s="10" t="inlineStr">
        <is>
          <t>0</t>
        </is>
      </c>
      <c r="S256" s="10" t="inlineStr">
        <is>
          <t>0</t>
        </is>
      </c>
    </row>
    <row r="257" ht="329" customHeight="1">
      <c r="A257" s="6">
        <f>IFERROR(__xludf.DUMMYFUNCTION("""COMPUTED_VALUE"""),"RATE OF DIFFUSION")</f>
        <v/>
      </c>
      <c r="B257" s="6">
        <f>IFERROR(__xludf.DUMMYFUNCTION("""COMPUTED_VALUE"""),"Application")</f>
        <v/>
      </c>
      <c r="C257" s="6">
        <f>IFERROR(__xludf.DUMMYFUNCTION("""COMPUTED_VALUE"""),"Input Box (1)")</f>
        <v/>
      </c>
      <c r="D257" s="7">
        <f>IFERROR(__xludf.DUMMYFUNCTION("""COMPUTED_VALUE"""),"No task description")</f>
        <v/>
      </c>
      <c r="E2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7" s="7" t="inlineStr">
        <is>
          <t>Students received task descriptions and used Golabz apps for note-taking and collaboration, with teachers viewing student inputs in Graasp.</t>
        </is>
      </c>
      <c r="G257" s="8" t="inlineStr">
        <is>
          <t>0</t>
        </is>
      </c>
      <c r="H257" s="8" t="inlineStr">
        <is>
          <t>1</t>
        </is>
      </c>
      <c r="I257" s="8" t="inlineStr">
        <is>
          <t>1</t>
        </is>
      </c>
      <c r="J257" s="8" t="inlineStr">
        <is>
          <t>1</t>
        </is>
      </c>
      <c r="K257" s="9" t="inlineStr">
        <is>
          <t>0</t>
        </is>
      </c>
      <c r="L257" s="9" t="inlineStr">
        <is>
          <t>1</t>
        </is>
      </c>
      <c r="M257" s="9" t="inlineStr">
        <is>
          <t>0</t>
        </is>
      </c>
      <c r="N257" s="9" t="inlineStr">
        <is>
          <t>1</t>
        </is>
      </c>
      <c r="O257" s="10" t="inlineStr">
        <is>
          <t>0</t>
        </is>
      </c>
      <c r="P257" s="10" t="inlineStr">
        <is>
          <t>0</t>
        </is>
      </c>
      <c r="Q257" s="10" t="inlineStr">
        <is>
          <t>0</t>
        </is>
      </c>
      <c r="R257" s="10" t="inlineStr">
        <is>
          <t>0</t>
        </is>
      </c>
      <c r="S257" s="10" t="inlineStr">
        <is>
          <t>1</t>
        </is>
      </c>
    </row>
    <row r="258" ht="25" customHeight="1">
      <c r="A258" s="6">
        <f>IFERROR(__xludf.DUMMYFUNCTION("""COMPUTED_VALUE"""),"RATE OF DIFFUSION")</f>
        <v/>
      </c>
      <c r="B258" s="6">
        <f>IFERROR(__xludf.DUMMYFUNCTION("""COMPUTED_VALUE"""),"Space")</f>
        <v/>
      </c>
      <c r="C258" s="6">
        <f>IFERROR(__xludf.DUMMYFUNCTION("""COMPUTED_VALUE"""),"Explore")</f>
        <v/>
      </c>
      <c r="D258" s="7">
        <f>IFERROR(__xludf.DUMMYFUNCTION("""COMPUTED_VALUE"""),"No task description")</f>
        <v/>
      </c>
      <c r="E258" s="7">
        <f>IFERROR(__xludf.DUMMYFUNCTION("""COMPUTED_VALUE"""),"No artifact embedded")</f>
        <v/>
      </c>
      <c r="F258" s="7" t="inlineStr">
        <is>
          <t>Students were instructed on temperature's effect on diffusion rate. Embedded artifacts include a note-taking app with optional collaboration mode.</t>
        </is>
      </c>
      <c r="G258" s="8" t="inlineStr">
        <is>
          <t>0</t>
        </is>
      </c>
      <c r="H258" s="8" t="inlineStr">
        <is>
          <t>0</t>
        </is>
      </c>
      <c r="I258" s="8" t="inlineStr">
        <is>
          <t>0</t>
        </is>
      </c>
      <c r="J258" s="8" t="inlineStr">
        <is>
          <t>0</t>
        </is>
      </c>
      <c r="K258" s="9" t="inlineStr">
        <is>
          <t>0</t>
        </is>
      </c>
      <c r="L258" s="9" t="inlineStr">
        <is>
          <t>0</t>
        </is>
      </c>
      <c r="M258" s="9" t="inlineStr">
        <is>
          <t>0</t>
        </is>
      </c>
      <c r="N258" s="9" t="inlineStr">
        <is>
          <t>0</t>
        </is>
      </c>
      <c r="O258" s="10" t="inlineStr">
        <is>
          <t>0</t>
        </is>
      </c>
      <c r="P258" s="10" t="inlineStr">
        <is>
          <t>0</t>
        </is>
      </c>
      <c r="Q258" s="10" t="inlineStr">
        <is>
          <t>0</t>
        </is>
      </c>
      <c r="R258" s="10" t="inlineStr">
        <is>
          <t>0</t>
        </is>
      </c>
      <c r="S258" s="10" t="inlineStr">
        <is>
          <t>0</t>
        </is>
      </c>
    </row>
    <row r="259" ht="409.5" customHeight="1">
      <c r="A259" s="6">
        <f>IFERROR(__xludf.DUMMYFUNCTION("""COMPUTED_VALUE"""),"RATE OF DIFFUSION")</f>
        <v/>
      </c>
      <c r="B259" s="6">
        <f>IFERROR(__xludf.DUMMYFUNCTION("""COMPUTED_VALUE"""),"Application")</f>
        <v/>
      </c>
      <c r="C259" s="6">
        <f>IFERROR(__xludf.DUMMYFUNCTION("""COMPUTED_VALUE"""),"Hypothesis Scratchpad")</f>
        <v/>
      </c>
      <c r="D259" s="7">
        <f>IFERROR(__xludf.DUMMYFUNCTION("""COMPUTED_VALUE"""),"&lt;p&gt;Before performing an activity in the lab you, first predict what you want to do,thereafter find out in the experiment if your prediction is true or false&lt;/p&gt;")</f>
        <v/>
      </c>
      <c r="E25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59" s="7" t="inlineStr">
        <is>
          <t>Students were given tasks with embedded Golabz apps for note-taking and hypothesis formulation, with optional collaboration modes.</t>
        </is>
      </c>
      <c r="G259" s="8" t="inlineStr">
        <is>
          <t>0</t>
        </is>
      </c>
      <c r="H259" s="8" t="inlineStr">
        <is>
          <t>1</t>
        </is>
      </c>
      <c r="I259" s="8" t="inlineStr">
        <is>
          <t>1</t>
        </is>
      </c>
      <c r="J259" s="8" t="inlineStr">
        <is>
          <t>1</t>
        </is>
      </c>
      <c r="K259" s="9" t="inlineStr">
        <is>
          <t>0</t>
        </is>
      </c>
      <c r="L259" s="9" t="inlineStr">
        <is>
          <t>1</t>
        </is>
      </c>
      <c r="M259" s="9" t="inlineStr">
        <is>
          <t>0</t>
        </is>
      </c>
      <c r="N259" s="9" t="inlineStr">
        <is>
          <t>0</t>
        </is>
      </c>
      <c r="O259" s="10" t="inlineStr">
        <is>
          <t>1</t>
        </is>
      </c>
      <c r="P259" s="10" t="inlineStr">
        <is>
          <t>1</t>
        </is>
      </c>
      <c r="Q259" s="10" t="inlineStr">
        <is>
          <t>1</t>
        </is>
      </c>
      <c r="R259" s="10" t="inlineStr">
        <is>
          <t>0</t>
        </is>
      </c>
      <c r="S259" s="10" t="inlineStr">
        <is>
          <t>0</t>
        </is>
      </c>
    </row>
    <row r="260" ht="329" customHeight="1">
      <c r="A260" s="6">
        <f>IFERROR(__xludf.DUMMYFUNCTION("""COMPUTED_VALUE"""),"RATE OF DIFFUSION")</f>
        <v/>
      </c>
      <c r="B260" s="6">
        <f>IFERROR(__xludf.DUMMYFUNCTION("""COMPUTED_VALUE"""),"Resource")</f>
        <v/>
      </c>
      <c r="C260" s="6">
        <f>IFERROR(__xludf.DUMMYFUNCTION("""COMPUTED_VALUE"""),"procedure.graasp")</f>
        <v/>
      </c>
      <c r="D260" s="7">
        <f>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
      </c>
      <c r="E260" s="7">
        <f>IFERROR(__xludf.DUMMYFUNCTION("""COMPUTED_VALUE"""),"No artifact embedded")</f>
        <v/>
      </c>
      <c r="F260" s="7" t="inlineStr">
        <is>
          <t>Students are given tasks and tools, including the Hypothesis Scratchpad app, to formulate hypotheses and conduct experiments with configurable settings.</t>
        </is>
      </c>
      <c r="G260" s="8" t="inlineStr">
        <is>
          <t>0</t>
        </is>
      </c>
      <c r="H260" s="8" t="inlineStr">
        <is>
          <t>1</t>
        </is>
      </c>
      <c r="I260" s="8" t="inlineStr">
        <is>
          <t>0</t>
        </is>
      </c>
      <c r="J260" s="8" t="inlineStr">
        <is>
          <t>1</t>
        </is>
      </c>
      <c r="K260" s="9" t="inlineStr">
        <is>
          <t>1</t>
        </is>
      </c>
      <c r="L260" s="9" t="inlineStr">
        <is>
          <t>0</t>
        </is>
      </c>
      <c r="M260" s="9" t="inlineStr">
        <is>
          <t>0</t>
        </is>
      </c>
      <c r="N260" s="9" t="inlineStr">
        <is>
          <t>0</t>
        </is>
      </c>
      <c r="O260" s="10" t="inlineStr">
        <is>
          <t>0</t>
        </is>
      </c>
      <c r="P260" s="10" t="inlineStr">
        <is>
          <t>0</t>
        </is>
      </c>
      <c r="Q260" s="10" t="inlineStr">
        <is>
          <t>1</t>
        </is>
      </c>
      <c r="R260" s="10" t="inlineStr">
        <is>
          <t>0</t>
        </is>
      </c>
      <c r="S260" s="10" t="inlineStr">
        <is>
          <t>0</t>
        </is>
      </c>
    </row>
    <row r="261" ht="409.5" customHeight="1">
      <c r="A261" s="6">
        <f>IFERROR(__xludf.DUMMYFUNCTION("""COMPUTED_VALUE"""),"RATE OF DIFFUSION")</f>
        <v/>
      </c>
      <c r="B261" s="6">
        <f>IFERROR(__xludf.DUMMYFUNCTION("""COMPUTED_VALUE"""),"Application")</f>
        <v/>
      </c>
      <c r="C261" s="6">
        <f>IFERROR(__xludf.DUMMYFUNCTION("""COMPUTED_VALUE"""),"Diffusion and Molecular Mass App")</f>
        <v/>
      </c>
      <c r="D261" s="7">
        <f>IFERROR(__xludf.DUMMYFUNCTION("""COMPUTED_VALUE"""),"No task description")</f>
        <v/>
      </c>
      <c r="E261" s="7">
        <f>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
      </c>
      <c r="F261" s="7" t="inlineStr">
        <is>
          <t>Students predict outcomes, then test in labs using Golabz app tools like Hypothesis Scratchpad.</t>
        </is>
      </c>
      <c r="G261" s="8" t="inlineStr">
        <is>
          <t>0</t>
        </is>
      </c>
      <c r="H261" s="8" t="inlineStr">
        <is>
          <t>1</t>
        </is>
      </c>
      <c r="I261" s="8" t="inlineStr">
        <is>
          <t>0</t>
        </is>
      </c>
      <c r="J261" s="8" t="inlineStr">
        <is>
          <t>1</t>
        </is>
      </c>
      <c r="K261" s="9" t="inlineStr">
        <is>
          <t>1</t>
        </is>
      </c>
      <c r="L261" s="9" t="inlineStr">
        <is>
          <t>0</t>
        </is>
      </c>
      <c r="M261" s="9" t="inlineStr">
        <is>
          <t>0</t>
        </is>
      </c>
      <c r="N261" s="9" t="inlineStr">
        <is>
          <t>0</t>
        </is>
      </c>
      <c r="O261" s="10" t="inlineStr">
        <is>
          <t>1</t>
        </is>
      </c>
      <c r="P261" s="10" t="inlineStr">
        <is>
          <t>1</t>
        </is>
      </c>
      <c r="Q261" s="10" t="inlineStr">
        <is>
          <t>1</t>
        </is>
      </c>
      <c r="R261" s="10" t="inlineStr">
        <is>
          <t>0</t>
        </is>
      </c>
      <c r="S261" s="10" t="inlineStr">
        <is>
          <t>0</t>
        </is>
      </c>
    </row>
    <row r="262" ht="395" customHeight="1">
      <c r="A262" s="6">
        <f>IFERROR(__xludf.DUMMYFUNCTION("""COMPUTED_VALUE"""),"RATE OF DIFFUSION")</f>
        <v/>
      </c>
      <c r="B262" s="6">
        <f>IFERROR(__xludf.DUMMYFUNCTION("""COMPUTED_VALUE"""),"Application")</f>
        <v/>
      </c>
      <c r="C262" s="6">
        <f>IFERROR(__xludf.DUMMYFUNCTION("""COMPUTED_VALUE"""),"Observation Tool")</f>
        <v/>
      </c>
      <c r="D262" s="7">
        <f>IFERROR(__xludf.DUMMYFUNCTION("""COMPUTED_VALUE"""),"&lt;p&gt;Write a brief, accurate and precise observation from the experiment&lt;/p&gt;")</f>
        <v/>
      </c>
      <c r="E262"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262" s="7" t="inlineStr">
        <is>
          <t>Students are instructed to conduct an experiment regulating temperature and molecular mass, observing interactions, and recording observations using the Golabz app/lab tool.</t>
        </is>
      </c>
      <c r="G262" s="8" t="inlineStr">
        <is>
          <t>0</t>
        </is>
      </c>
      <c r="H262" s="8" t="inlineStr">
        <is>
          <t>0</t>
        </is>
      </c>
      <c r="I262" s="8" t="inlineStr">
        <is>
          <t>1</t>
        </is>
      </c>
      <c r="J262" s="8" t="inlineStr">
        <is>
          <t>1</t>
        </is>
      </c>
      <c r="K262" s="9" t="inlineStr">
        <is>
          <t>0</t>
        </is>
      </c>
      <c r="L262" s="9" t="inlineStr">
        <is>
          <t>1</t>
        </is>
      </c>
      <c r="M262" s="9" t="inlineStr">
        <is>
          <t>0</t>
        </is>
      </c>
      <c r="N262" s="9" t="inlineStr">
        <is>
          <t>1</t>
        </is>
      </c>
      <c r="O262" s="10" t="inlineStr">
        <is>
          <t>0</t>
        </is>
      </c>
      <c r="P262" s="10" t="inlineStr">
        <is>
          <t>0</t>
        </is>
      </c>
      <c r="Q262" s="10" t="inlineStr">
        <is>
          <t>1</t>
        </is>
      </c>
      <c r="R262" s="10" t="inlineStr">
        <is>
          <t>1</t>
        </is>
      </c>
      <c r="S262" s="10" t="inlineStr">
        <is>
          <t>1</t>
        </is>
      </c>
    </row>
    <row r="263" ht="409.5" customHeight="1">
      <c r="A263" s="6">
        <f>IFERROR(__xludf.DUMMYFUNCTION("""COMPUTED_VALUE"""),"RATE OF DIFFUSION")</f>
        <v/>
      </c>
      <c r="B263" s="6">
        <f>IFERROR(__xludf.DUMMYFUNCTION("""COMPUTED_VALUE"""),"Application")</f>
        <v/>
      </c>
      <c r="C263" s="6">
        <f>IFERROR(__xludf.DUMMYFUNCTION("""COMPUTED_VALUE"""),"Conclusion Tool")</f>
        <v/>
      </c>
      <c r="D263" s="7">
        <f>IFERROR(__xludf.DUMMYFUNCTION("""COMPUTED_VALUE"""),"No task description")</f>
        <v/>
      </c>
      <c r="E263"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263" s="7" t="inlineStr">
        <is>
          <t>Students are instructed to explore diffusion, record observations, and draw conclusions using Golabz app/lab tools.</t>
        </is>
      </c>
      <c r="G263" s="8" t="inlineStr">
        <is>
          <t>0</t>
        </is>
      </c>
      <c r="H263" s="8" t="inlineStr">
        <is>
          <t>1</t>
        </is>
      </c>
      <c r="I263" s="8" t="inlineStr">
        <is>
          <t>1</t>
        </is>
      </c>
      <c r="J263" s="8" t="inlineStr">
        <is>
          <t>0</t>
        </is>
      </c>
      <c r="K263" s="9" t="inlineStr">
        <is>
          <t>1</t>
        </is>
      </c>
      <c r="L263" s="9" t="inlineStr">
        <is>
          <t>1</t>
        </is>
      </c>
      <c r="M263" s="9" t="inlineStr">
        <is>
          <t>0</t>
        </is>
      </c>
      <c r="N263" s="9" t="inlineStr">
        <is>
          <t>0</t>
        </is>
      </c>
      <c r="O263" s="10" t="inlineStr">
        <is>
          <t>0</t>
        </is>
      </c>
      <c r="P263" s="10" t="inlineStr">
        <is>
          <t>1</t>
        </is>
      </c>
      <c r="Q263" s="10" t="inlineStr">
        <is>
          <t>0</t>
        </is>
      </c>
      <c r="R263" s="10" t="inlineStr">
        <is>
          <t>1</t>
        </is>
      </c>
      <c r="S263" s="10" t="inlineStr">
        <is>
          <t>1</t>
        </is>
      </c>
    </row>
    <row r="264" ht="61" customHeight="1">
      <c r="A264" s="6">
        <f>IFERROR(__xludf.DUMMYFUNCTION("""COMPUTED_VALUE"""),"RATE OF DIFFUSION")</f>
        <v/>
      </c>
      <c r="B264" s="6">
        <f>IFERROR(__xludf.DUMMYFUNCTION("""COMPUTED_VALUE"""),"Space")</f>
        <v/>
      </c>
      <c r="C264" s="6">
        <f>IFERROR(__xludf.DUMMYFUNCTION("""COMPUTED_VALUE"""),"Explain")</f>
        <v/>
      </c>
      <c r="D264" s="7">
        <f>IFERROR(__xludf.DUMMYFUNCTION("""COMPUTED_VALUE"""),"&lt;p&gt;Respond to the questions below for immediate feedback&lt;/p&gt;")</f>
        <v/>
      </c>
      <c r="E264" s="7">
        <f>IFERROR(__xludf.DUMMYFUNCTION("""COMPUTED_VALUE"""),"No artifact embedded")</f>
        <v/>
      </c>
      <c r="F264" s="7" t="inlineStr">
        <is>
          <t>Students write observations and conclusions using Golabz app tools with configurable collaboration and validation features.</t>
        </is>
      </c>
      <c r="G264" s="8" t="inlineStr">
        <is>
          <t>0</t>
        </is>
      </c>
      <c r="H264" s="8" t="inlineStr">
        <is>
          <t>0</t>
        </is>
      </c>
      <c r="I264" s="8" t="inlineStr">
        <is>
          <t>1</t>
        </is>
      </c>
      <c r="J264" s="8" t="inlineStr">
        <is>
          <t>1</t>
        </is>
      </c>
      <c r="K264" s="9" t="inlineStr">
        <is>
          <t>0</t>
        </is>
      </c>
      <c r="L264" s="9" t="inlineStr">
        <is>
          <t>1</t>
        </is>
      </c>
      <c r="M264" s="9" t="inlineStr">
        <is>
          <t>0</t>
        </is>
      </c>
      <c r="N264" s="9" t="inlineStr">
        <is>
          <t>0</t>
        </is>
      </c>
      <c r="O264" s="10" t="inlineStr">
        <is>
          <t>0</t>
        </is>
      </c>
      <c r="P264" s="10" t="inlineStr">
        <is>
          <t>0</t>
        </is>
      </c>
      <c r="Q264" s="10" t="inlineStr">
        <is>
          <t>0</t>
        </is>
      </c>
      <c r="R264" s="10" t="inlineStr">
        <is>
          <t>0</t>
        </is>
      </c>
      <c r="S264" s="10" t="inlineStr">
        <is>
          <t>1</t>
        </is>
      </c>
    </row>
    <row r="265" ht="296" customHeight="1">
      <c r="A265" s="6">
        <f>IFERROR(__xludf.DUMMYFUNCTION("""COMPUTED_VALUE"""),"RATE OF DIFFUSION")</f>
        <v/>
      </c>
      <c r="B265" s="6">
        <f>IFERROR(__xludf.DUMMYFUNCTION("""COMPUTED_VALUE"""),"Application")</f>
        <v/>
      </c>
      <c r="C265" s="6">
        <f>IFERROR(__xludf.DUMMYFUNCTION("""COMPUTED_VALUE"""),"Quiz Tool")</f>
        <v/>
      </c>
      <c r="D265" s="7">
        <f>IFERROR(__xludf.DUMMYFUNCTION("""COMPUTED_VALUE"""),"No task description")</f>
        <v/>
      </c>
      <c r="E26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65" s="7" t="inlineStr">
        <is>
          <t>Students are given tasks with Golabz app/lab tools for hypothesis validation and quizzes with interactive configurations.</t>
        </is>
      </c>
      <c r="G265" s="8" t="inlineStr">
        <is>
          <t>0</t>
        </is>
      </c>
      <c r="H265" s="8" t="inlineStr">
        <is>
          <t>1</t>
        </is>
      </c>
      <c r="I265" s="8" t="inlineStr">
        <is>
          <t>1</t>
        </is>
      </c>
      <c r="J265" s="8" t="inlineStr">
        <is>
          <t>1</t>
        </is>
      </c>
      <c r="K265" s="9" t="inlineStr">
        <is>
          <t>1</t>
        </is>
      </c>
      <c r="L265" s="9" t="inlineStr">
        <is>
          <t>1</t>
        </is>
      </c>
      <c r="M265" s="9" t="inlineStr">
        <is>
          <t>0</t>
        </is>
      </c>
      <c r="N265" s="9" t="inlineStr">
        <is>
          <t>0</t>
        </is>
      </c>
      <c r="O265" s="10" t="inlineStr">
        <is>
          <t>0</t>
        </is>
      </c>
      <c r="P265" s="10" t="inlineStr">
        <is>
          <t>0</t>
        </is>
      </c>
      <c r="Q265" s="10" t="inlineStr">
        <is>
          <t>0</t>
        </is>
      </c>
      <c r="R265" s="10" t="inlineStr">
        <is>
          <t>0</t>
        </is>
      </c>
      <c r="S265" s="10" t="inlineStr">
        <is>
          <t>1</t>
        </is>
      </c>
    </row>
    <row r="266" ht="49" customHeight="1">
      <c r="A266" s="6">
        <f>IFERROR(__xludf.DUMMYFUNCTION("""COMPUTED_VALUE"""),"RATE OF DIFFUSION")</f>
        <v/>
      </c>
      <c r="B266" s="6">
        <f>IFERROR(__xludf.DUMMYFUNCTION("""COMPUTED_VALUE"""),"Resource")</f>
        <v/>
      </c>
      <c r="C266" s="6">
        <f>IFERROR(__xludf.DUMMYFUNCTION("""COMPUTED_VALUE"""),"Q1.graasp")</f>
        <v/>
      </c>
      <c r="D266" s="7">
        <f>IFERROR(__xludf.DUMMYFUNCTION("""COMPUTED_VALUE"""),"&lt;p&gt;Give your feedback in the input box below&lt;/p&gt;")</f>
        <v/>
      </c>
      <c r="E266" s="7">
        <f>IFERROR(__xludf.DUMMYFUNCTION("""COMPUTED_VALUE"""),"No artifact embedded")</f>
        <v/>
      </c>
      <c r="F266" s="7" t="inlineStr">
        <is>
          <t>Students respond to questions for feedback; artifacts include a quiz app with interactive question editing.</t>
        </is>
      </c>
      <c r="G266" s="8" t="inlineStr">
        <is>
          <t>0</t>
        </is>
      </c>
      <c r="H266" s="8" t="inlineStr">
        <is>
          <t>0</t>
        </is>
      </c>
      <c r="I266" s="8" t="inlineStr">
        <is>
          <t>1</t>
        </is>
      </c>
      <c r="J266" s="8" t="inlineStr">
        <is>
          <t>1</t>
        </is>
      </c>
      <c r="K266" s="9" t="inlineStr">
        <is>
          <t>0</t>
        </is>
      </c>
      <c r="L266" s="9" t="inlineStr">
        <is>
          <t>1</t>
        </is>
      </c>
      <c r="M266" s="9" t="inlineStr">
        <is>
          <t>0</t>
        </is>
      </c>
      <c r="N266" s="9" t="inlineStr">
        <is>
          <t>0</t>
        </is>
      </c>
      <c r="O266" s="10" t="inlineStr">
        <is>
          <t>0</t>
        </is>
      </c>
      <c r="P266" s="10" t="inlineStr">
        <is>
          <t>0</t>
        </is>
      </c>
      <c r="Q266" s="10" t="inlineStr">
        <is>
          <t>0</t>
        </is>
      </c>
      <c r="R266" s="10" t="inlineStr">
        <is>
          <t>0</t>
        </is>
      </c>
      <c r="S266" s="10" t="inlineStr">
        <is>
          <t>1</t>
        </is>
      </c>
    </row>
    <row r="267" ht="329" customHeight="1">
      <c r="A267" s="6">
        <f>IFERROR(__xludf.DUMMYFUNCTION("""COMPUTED_VALUE"""),"RATE OF DIFFUSION")</f>
        <v/>
      </c>
      <c r="B267" s="6">
        <f>IFERROR(__xludf.DUMMYFUNCTION("""COMPUTED_VALUE"""),"Application")</f>
        <v/>
      </c>
      <c r="C267" s="6">
        <f>IFERROR(__xludf.DUMMYFUNCTION("""COMPUTED_VALUE"""),"Input Box")</f>
        <v/>
      </c>
      <c r="D267" s="7">
        <f>IFERROR(__xludf.DUMMYFUNCTION("""COMPUTED_VALUE"""),"No task description")</f>
        <v/>
      </c>
      <c r="E2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67" s="7" t="inlineStr">
        <is>
          <t>Students were given tasks with varying descriptions and embedded artifacts, including Golabz apps for quizzes and note-taking.</t>
        </is>
      </c>
      <c r="G267" s="8" t="inlineStr">
        <is>
          <t>0</t>
        </is>
      </c>
      <c r="H267" s="8" t="inlineStr">
        <is>
          <t>1</t>
        </is>
      </c>
      <c r="I267" s="8" t="inlineStr">
        <is>
          <t>1</t>
        </is>
      </c>
      <c r="J267" s="8" t="inlineStr">
        <is>
          <t>1</t>
        </is>
      </c>
      <c r="K267" s="9" t="inlineStr">
        <is>
          <t>0</t>
        </is>
      </c>
      <c r="L267" s="9" t="inlineStr">
        <is>
          <t>1</t>
        </is>
      </c>
      <c r="M267" s="9" t="inlineStr">
        <is>
          <t>0</t>
        </is>
      </c>
      <c r="N267" s="9" t="inlineStr">
        <is>
          <t>0</t>
        </is>
      </c>
      <c r="O267" s="10" t="inlineStr">
        <is>
          <t>0</t>
        </is>
      </c>
      <c r="P267" s="10" t="inlineStr">
        <is>
          <t>0</t>
        </is>
      </c>
      <c r="Q267" s="10" t="inlineStr">
        <is>
          <t>0</t>
        </is>
      </c>
      <c r="R267" s="10" t="inlineStr">
        <is>
          <t>0</t>
        </is>
      </c>
      <c r="S267" s="10" t="inlineStr">
        <is>
          <t>1</t>
        </is>
      </c>
    </row>
    <row r="268" ht="25" customHeight="1">
      <c r="A268" s="6">
        <f>IFERROR(__xludf.DUMMYFUNCTION("""COMPUTED_VALUE"""),"RATE OF DIFFUSION")</f>
        <v/>
      </c>
      <c r="B268" s="6">
        <f>IFERROR(__xludf.DUMMYFUNCTION("""COMPUTED_VALUE"""),"Space")</f>
        <v/>
      </c>
      <c r="C268" s="6">
        <f>IFERROR(__xludf.DUMMYFUNCTION("""COMPUTED_VALUE"""),"Elaborate")</f>
        <v/>
      </c>
      <c r="D268" s="7">
        <f>IFERROR(__xludf.DUMMYFUNCTION("""COMPUTED_VALUE"""),"No task description")</f>
        <v/>
      </c>
      <c r="E268" s="7">
        <f>IFERROR(__xludf.DUMMYFUNCTION("""COMPUTED_VALUE"""),"No artifact embedded")</f>
        <v/>
      </c>
      <c r="F268" s="7" t="inlineStr">
        <is>
          <t>Students give feedback in an input box. Artifacts include a Golabz app/lab for note-taking and collaboration.</t>
        </is>
      </c>
      <c r="G268" s="8" t="inlineStr">
        <is>
          <t>0</t>
        </is>
      </c>
      <c r="H268" s="8" t="inlineStr">
        <is>
          <t>0</t>
        </is>
      </c>
      <c r="I268" s="8" t="inlineStr">
        <is>
          <t>0</t>
        </is>
      </c>
      <c r="J268" s="8" t="inlineStr">
        <is>
          <t>0</t>
        </is>
      </c>
      <c r="K268" s="9" t="inlineStr">
        <is>
          <t>0</t>
        </is>
      </c>
      <c r="L268" s="9" t="inlineStr">
        <is>
          <t>0</t>
        </is>
      </c>
      <c r="M268" s="9" t="inlineStr">
        <is>
          <t>0</t>
        </is>
      </c>
      <c r="N268" s="9" t="inlineStr">
        <is>
          <t>0</t>
        </is>
      </c>
      <c r="O268" s="10" t="inlineStr">
        <is>
          <t>0</t>
        </is>
      </c>
      <c r="P268" s="10" t="inlineStr">
        <is>
          <t>0</t>
        </is>
      </c>
      <c r="Q268" s="10" t="inlineStr">
        <is>
          <t>0</t>
        </is>
      </c>
      <c r="R268" s="10" t="inlineStr">
        <is>
          <t>0</t>
        </is>
      </c>
      <c r="S268" s="10" t="inlineStr">
        <is>
          <t>0</t>
        </is>
      </c>
    </row>
    <row r="269" ht="25" customHeight="1">
      <c r="A269" s="6">
        <f>IFERROR(__xludf.DUMMYFUNCTION("""COMPUTED_VALUE"""),"RATE OF DIFFUSION")</f>
        <v/>
      </c>
      <c r="B269" s="6">
        <f>IFERROR(__xludf.DUMMYFUNCTION("""COMPUTED_VALUE"""),"Space")</f>
        <v/>
      </c>
      <c r="C269" s="6">
        <f>IFERROR(__xludf.DUMMYFUNCTION("""COMPUTED_VALUE"""),"Evaluate")</f>
        <v/>
      </c>
      <c r="D269" s="7">
        <f>IFERROR(__xludf.DUMMYFUNCTION("""COMPUTED_VALUE"""),"No task description")</f>
        <v/>
      </c>
      <c r="E269" s="7">
        <f>IFERROR(__xludf.DUMMYFUNCTION("""COMPUTED_VALUE"""),"No artifact embedded")</f>
        <v/>
      </c>
      <c r="F269" s="7" t="inlineStr">
        <is>
          <t>Students have no task descriptions. Only Item1 has an embedded Golabz app for note-taking, with optional collaboration mode.</t>
        </is>
      </c>
      <c r="G269" s="8" t="inlineStr">
        <is>
          <t>0</t>
        </is>
      </c>
      <c r="H269" s="8" t="inlineStr">
        <is>
          <t>0</t>
        </is>
      </c>
      <c r="I269" s="8" t="inlineStr">
        <is>
          <t>0</t>
        </is>
      </c>
      <c r="J269" s="8" t="inlineStr">
        <is>
          <t>0</t>
        </is>
      </c>
      <c r="K269" s="9" t="inlineStr">
        <is>
          <t>0</t>
        </is>
      </c>
      <c r="L269" s="9" t="inlineStr">
        <is>
          <t>0</t>
        </is>
      </c>
      <c r="M269" s="9" t="inlineStr">
        <is>
          <t>0</t>
        </is>
      </c>
      <c r="N269" s="9" t="inlineStr">
        <is>
          <t>0</t>
        </is>
      </c>
      <c r="O269" s="10" t="inlineStr">
        <is>
          <t>0</t>
        </is>
      </c>
      <c r="P269" s="10" t="inlineStr">
        <is>
          <t>0</t>
        </is>
      </c>
      <c r="Q269" s="10" t="inlineStr">
        <is>
          <t>0</t>
        </is>
      </c>
      <c r="R269" s="10" t="inlineStr">
        <is>
          <t>0</t>
        </is>
      </c>
      <c r="S269" s="10" t="inlineStr">
        <is>
          <t>0</t>
        </is>
      </c>
    </row>
    <row r="270" ht="25" customHeight="1">
      <c r="A270" s="6">
        <f>IFERROR(__xludf.DUMMYFUNCTION("""COMPUTED_VALUE"""),"How do light and temperature affect photosynthesis in plants? - Version A")</f>
        <v/>
      </c>
      <c r="B270" s="6">
        <f>IFERROR(__xludf.DUMMYFUNCTION("""COMPUTED_VALUE"""),"Space")</f>
        <v/>
      </c>
      <c r="C270" s="6">
        <f>IFERROR(__xludf.DUMMYFUNCTION("""COMPUTED_VALUE"""),"Demo")</f>
        <v/>
      </c>
      <c r="D270" s="7">
        <f>IFERROR(__xludf.DUMMYFUNCTION("""COMPUTED_VALUE"""),"No task description")</f>
        <v/>
      </c>
      <c r="E270" s="7">
        <f>IFERROR(__xludf.DUMMYFUNCTION("""COMPUTED_VALUE"""),"No artifact embedded")</f>
        <v/>
      </c>
      <c r="F270" s="7" t="inlineStr">
        <is>
          <t>No instructions or artifacts are provided for Items 1, 2, and 3.</t>
        </is>
      </c>
      <c r="G270" s="8" t="inlineStr">
        <is>
          <t>0</t>
        </is>
      </c>
      <c r="H270" s="8" t="inlineStr">
        <is>
          <t>0</t>
        </is>
      </c>
      <c r="I270" s="8" t="inlineStr">
        <is>
          <t>0</t>
        </is>
      </c>
      <c r="J270" s="8" t="inlineStr">
        <is>
          <t>0</t>
        </is>
      </c>
      <c r="K270" s="9" t="inlineStr">
        <is>
          <t>0</t>
        </is>
      </c>
      <c r="L270" s="9" t="inlineStr">
        <is>
          <t>0</t>
        </is>
      </c>
      <c r="M270" s="9" t="inlineStr">
        <is>
          <t>0</t>
        </is>
      </c>
      <c r="N270" s="9" t="inlineStr">
        <is>
          <t>0</t>
        </is>
      </c>
      <c r="O270" s="10" t="inlineStr">
        <is>
          <t>0</t>
        </is>
      </c>
      <c r="P270" s="10" t="inlineStr">
        <is>
          <t>0</t>
        </is>
      </c>
      <c r="Q270" s="10" t="inlineStr">
        <is>
          <t>0</t>
        </is>
      </c>
      <c r="R270" s="10" t="inlineStr">
        <is>
          <t>0</t>
        </is>
      </c>
      <c r="S270" s="10" t="inlineStr">
        <is>
          <t>0</t>
        </is>
      </c>
    </row>
    <row r="271" ht="97" customHeight="1">
      <c r="A271" s="6">
        <f>IFERROR(__xludf.DUMMYFUNCTION("""COMPUTED_VALUE"""),"How do light and temperature affect photosynthesis in plants? - Version A")</f>
        <v/>
      </c>
      <c r="B271" s="6">
        <f>IFERROR(__xludf.DUMMYFUNCTION("""COMPUTED_VALUE"""),"Resource")</f>
        <v/>
      </c>
      <c r="C271" s="6">
        <f>IFERROR(__xludf.DUMMYFUNCTION("""COMPUTED_VALUE"""),"pilt.png")</f>
        <v/>
      </c>
      <c r="D271" s="7">
        <f>IFERROR(__xludf.DUMMYFUNCTION("""COMPUTED_VALUE"""),"No task description")</f>
        <v/>
      </c>
      <c r="E271" s="7">
        <f>IFERROR(__xludf.DUMMYFUNCTION("""COMPUTED_VALUE"""),"image/png – A high-quality image with support for transparency, often used in design and web applications.")</f>
        <v/>
      </c>
      <c r="F271" s="7" t="inlineStr">
        <is>
          <t>No instructions provided; only Item 3 has an embedded PNG image artifact.</t>
        </is>
      </c>
      <c r="G271" s="8" t="inlineStr">
        <is>
          <t>1</t>
        </is>
      </c>
      <c r="H271" s="8" t="inlineStr">
        <is>
          <t>0</t>
        </is>
      </c>
      <c r="I271" s="8" t="inlineStr">
        <is>
          <t>0</t>
        </is>
      </c>
      <c r="J271" s="8" t="inlineStr">
        <is>
          <t>0</t>
        </is>
      </c>
      <c r="K271" s="9" t="inlineStr">
        <is>
          <t>1</t>
        </is>
      </c>
      <c r="L271" s="9" t="inlineStr">
        <is>
          <t>0</t>
        </is>
      </c>
      <c r="M271" s="9" t="inlineStr">
        <is>
          <t>0</t>
        </is>
      </c>
      <c r="N271" s="9" t="inlineStr">
        <is>
          <t>0</t>
        </is>
      </c>
      <c r="O271" s="10" t="inlineStr">
        <is>
          <t>0</t>
        </is>
      </c>
      <c r="P271" s="10" t="inlineStr">
        <is>
          <t>0</t>
        </is>
      </c>
      <c r="Q271" s="10" t="inlineStr">
        <is>
          <t>0</t>
        </is>
      </c>
      <c r="R271" s="10" t="inlineStr">
        <is>
          <t>0</t>
        </is>
      </c>
      <c r="S271" s="10" t="inlineStr">
        <is>
          <t>0</t>
        </is>
      </c>
    </row>
    <row r="272" ht="169" customHeight="1">
      <c r="A272" s="6">
        <f>IFERROR(__xludf.DUMMYFUNCTION("""COMPUTED_VALUE"""),"How do light and temperature affect photosynthesis in plants? - Version A")</f>
        <v/>
      </c>
      <c r="B272" s="6">
        <f>IFERROR(__xludf.DUMMYFUNCTION("""COMPUTED_VALUE"""),"Resource")</f>
        <v/>
      </c>
      <c r="C272" s="6">
        <f>IFERROR(__xludf.DUMMYFUNCTION("""COMPUTED_VALUE"""),"Tekst5.graasp")</f>
        <v/>
      </c>
      <c r="D272" s="7">
        <f>IFERROR(__xludf.DUMMYFUNCTION("""COMPUTED_VALUE"""),"&lt;p&gt;Look at the picture and think how you could select and place objects on the seesaw so that the seesaw is balanced. Use the scratchpad tool below to formulate a prediction (hypothesis).&lt;br&gt;&lt;/p&gt;")</f>
        <v/>
      </c>
      <c r="E272" s="7">
        <f>IFERROR(__xludf.DUMMYFUNCTION("""COMPUTED_VALUE"""),"No artifact embedded")</f>
        <v/>
      </c>
      <c r="F272" s="7" t="inlineStr">
        <is>
          <t>Students were given tasks with some having no description, while Item3 instructed them to balance a seesaw using objects and formulate a hypothesis. Embedded artifacts included an image/png file in Item2.</t>
        </is>
      </c>
      <c r="G272" s="8" t="inlineStr">
        <is>
          <t>0</t>
        </is>
      </c>
      <c r="H272" s="8" t="inlineStr">
        <is>
          <t>1</t>
        </is>
      </c>
      <c r="I272" s="8" t="inlineStr">
        <is>
          <t>1</t>
        </is>
      </c>
      <c r="J272" s="8" t="inlineStr">
        <is>
          <t>1</t>
        </is>
      </c>
      <c r="K272" s="9" t="inlineStr">
        <is>
          <t>0</t>
        </is>
      </c>
      <c r="L272" s="9" t="inlineStr">
        <is>
          <t>1</t>
        </is>
      </c>
      <c r="M272" s="9" t="inlineStr">
        <is>
          <t>0</t>
        </is>
      </c>
      <c r="N272" s="9" t="inlineStr">
        <is>
          <t>0</t>
        </is>
      </c>
      <c r="O272" s="10" t="inlineStr">
        <is>
          <t>1</t>
        </is>
      </c>
      <c r="P272" s="10" t="inlineStr">
        <is>
          <t>1</t>
        </is>
      </c>
      <c r="Q272" s="10" t="inlineStr">
        <is>
          <t>1</t>
        </is>
      </c>
      <c r="R272" s="10" t="inlineStr">
        <is>
          <t>0</t>
        </is>
      </c>
      <c r="S272" s="10" t="inlineStr">
        <is>
          <t>0</t>
        </is>
      </c>
    </row>
    <row r="273" ht="409.5" customHeight="1">
      <c r="A273" s="6">
        <f>IFERROR(__xludf.DUMMYFUNCTION("""COMPUTED_VALUE"""),"How do light and temperature affect photosynthesis in plants? - Version A")</f>
        <v/>
      </c>
      <c r="B273" s="6">
        <f>IFERROR(__xludf.DUMMYFUNCTION("""COMPUTED_VALUE"""),"Application")</f>
        <v/>
      </c>
      <c r="C273" s="6">
        <f>IFERROR(__xludf.DUMMYFUNCTION("""COMPUTED_VALUE"""),"Hypothesis Scratchpad")</f>
        <v/>
      </c>
      <c r="D273" s="7">
        <f>IFERROR(__xludf.DUMMYFUNCTION("""COMPUTED_VALUE"""),"No task description")</f>
        <v/>
      </c>
      <c r="E273"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73" s="7" t="inlineStr">
        <is>
          <t>Students are given tasks with varying levels of instruction and embedded artifacts, including images and interactive tools like the Hypothesis Scratchpad.</t>
        </is>
      </c>
      <c r="G273" s="8" t="inlineStr">
        <is>
          <t>0</t>
        </is>
      </c>
      <c r="H273" s="8" t="inlineStr">
        <is>
          <t>1</t>
        </is>
      </c>
      <c r="I273" s="8" t="inlineStr">
        <is>
          <t>1</t>
        </is>
      </c>
      <c r="J273" s="8" t="inlineStr">
        <is>
          <t>0</t>
        </is>
      </c>
      <c r="K273" s="9" t="inlineStr">
        <is>
          <t>0</t>
        </is>
      </c>
      <c r="L273" s="9" t="inlineStr">
        <is>
          <t>1</t>
        </is>
      </c>
      <c r="M273" s="9" t="inlineStr">
        <is>
          <t>0</t>
        </is>
      </c>
      <c r="N273" s="9" t="inlineStr">
        <is>
          <t>1</t>
        </is>
      </c>
      <c r="O273" s="10" t="inlineStr">
        <is>
          <t>0</t>
        </is>
      </c>
      <c r="P273" s="10" t="inlineStr">
        <is>
          <t>1</t>
        </is>
      </c>
      <c r="Q273" s="10" t="inlineStr">
        <is>
          <t>1</t>
        </is>
      </c>
      <c r="R273" s="10" t="inlineStr">
        <is>
          <t>0</t>
        </is>
      </c>
      <c r="S273" s="10" t="inlineStr">
        <is>
          <t>0</t>
        </is>
      </c>
    </row>
    <row r="274" ht="395" customHeight="1">
      <c r="A274" s="6">
        <f>IFERROR(__xludf.DUMMYFUNCTION("""COMPUTED_VALUE"""),"How do light and temperature affect photosynthesis in plants? - Version A")</f>
        <v/>
      </c>
      <c r="B274" s="6">
        <f>IFERROR(__xludf.DUMMYFUNCTION("""COMPUTED_VALUE"""),"Resource")</f>
        <v/>
      </c>
      <c r="C274" s="6">
        <f>IFERROR(__xludf.DUMMYFUNCTION("""COMPUTED_VALUE"""),"Text 1.graasp")</f>
        <v/>
      </c>
      <c r="D274"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274" s="7">
        <f>IFERROR(__xludf.DUMMYFUNCTION("""COMPUTED_VALUE"""),"No artifact embedded")</f>
        <v/>
      </c>
      <c r="F274" s="7" t="inlineStr">
        <is>
          <t>Students predict seesaw balance using scratchpad tool and collaborate on problem-solving with chat and simulation tools. Embedded artifacts include Golabz app/lab with hypothesis scratchpad.</t>
        </is>
      </c>
      <c r="G274" s="8" t="inlineStr">
        <is>
          <t>0</t>
        </is>
      </c>
      <c r="H274" s="8" t="inlineStr">
        <is>
          <t>1</t>
        </is>
      </c>
      <c r="I274" s="8" t="inlineStr">
        <is>
          <t>0</t>
        </is>
      </c>
      <c r="J274" s="8" t="inlineStr">
        <is>
          <t>1</t>
        </is>
      </c>
      <c r="K274" s="9" t="inlineStr">
        <is>
          <t>0</t>
        </is>
      </c>
      <c r="L274" s="9" t="inlineStr">
        <is>
          <t>0</t>
        </is>
      </c>
      <c r="M274" s="9" t="inlineStr">
        <is>
          <t>1</t>
        </is>
      </c>
      <c r="N274" s="9" t="inlineStr">
        <is>
          <t>1</t>
        </is>
      </c>
      <c r="O274" s="10" t="inlineStr">
        <is>
          <t>1</t>
        </is>
      </c>
      <c r="P274" s="10" t="inlineStr">
        <is>
          <t>0</t>
        </is>
      </c>
      <c r="Q274" s="10" t="inlineStr">
        <is>
          <t>0</t>
        </is>
      </c>
      <c r="R274" s="10" t="inlineStr">
        <is>
          <t>0</t>
        </is>
      </c>
      <c r="S274" s="10" t="inlineStr">
        <is>
          <t>1</t>
        </is>
      </c>
    </row>
    <row r="275" ht="409.5" customHeight="1">
      <c r="A275" s="6">
        <f>IFERROR(__xludf.DUMMYFUNCTION("""COMPUTED_VALUE"""),"How do light and temperature affect photosynthesis in plants? - Version A")</f>
        <v/>
      </c>
      <c r="B275" s="6">
        <f>IFERROR(__xludf.DUMMYFUNCTION("""COMPUTED_VALUE"""),"Resource")</f>
        <v/>
      </c>
      <c r="C275" s="6">
        <f>IFERROR(__xludf.DUMMYFUNCTION("""COMPUTED_VALUE"""),"instructions for the simulation and chat app.graasp")</f>
        <v/>
      </c>
      <c r="D275"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275" s="7">
        <f>IFERROR(__xludf.DUMMYFUNCTION("""COMPUTED_VALUE"""),"No artifact embedded")</f>
        <v/>
      </c>
      <c r="F275" s="7" t="inlineStr">
        <is>
          <t>Students are instructed to collaborate on a seesaw problem using a simulation and chat app, with specific steps to join and interact with the task. Embedded artifacts include the Hypothesis Scratchpad tool.</t>
        </is>
      </c>
      <c r="G275" s="8" t="inlineStr">
        <is>
          <t>0</t>
        </is>
      </c>
      <c r="H275" s="8" t="inlineStr">
        <is>
          <t>1</t>
        </is>
      </c>
      <c r="I275" s="8" t="inlineStr">
        <is>
          <t>0</t>
        </is>
      </c>
      <c r="J275" s="8" t="inlineStr">
        <is>
          <t>1</t>
        </is>
      </c>
      <c r="K275" s="9" t="inlineStr">
        <is>
          <t>0</t>
        </is>
      </c>
      <c r="L275" s="9" t="inlineStr">
        <is>
          <t>0</t>
        </is>
      </c>
      <c r="M275" s="9" t="inlineStr">
        <is>
          <t>1</t>
        </is>
      </c>
      <c r="N275" s="9" t="inlineStr">
        <is>
          <t>1</t>
        </is>
      </c>
      <c r="O275" s="10" t="inlineStr">
        <is>
          <t>0</t>
        </is>
      </c>
      <c r="P275" s="10" t="inlineStr">
        <is>
          <t>0</t>
        </is>
      </c>
      <c r="Q275" s="10" t="inlineStr">
        <is>
          <t>0</t>
        </is>
      </c>
      <c r="R275" s="10" t="inlineStr">
        <is>
          <t>0</t>
        </is>
      </c>
      <c r="S275" s="10" t="inlineStr">
        <is>
          <t>0</t>
        </is>
      </c>
    </row>
    <row r="276" ht="409.5" customHeight="1">
      <c r="A276" s="6">
        <f>IFERROR(__xludf.DUMMYFUNCTION("""COMPUTED_VALUE"""),"How do light and temperature affect photosynthesis in plants? - Version A")</f>
        <v/>
      </c>
      <c r="B276" s="6">
        <f>IFERROR(__xludf.DUMMYFUNCTION("""COMPUTED_VALUE"""),"Application")</f>
        <v/>
      </c>
      <c r="C276" s="6">
        <f>IFERROR(__xludf.DUMMYFUNCTION("""COMPUTED_VALUE"""),"Seesaw Lab - right side")</f>
        <v/>
      </c>
      <c r="D276" s="7">
        <f>IFERROR(__xludf.DUMMYFUNCTION("""COMPUTED_VALUE"""),"No task description")</f>
        <v/>
      </c>
      <c r="E276"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276" s="7" t="inlineStr">
        <is>
          <t>Students collaborate on a seesaw simulation, using chat apps to communicate. Embedded artifacts include Golabz app/lab and SpeakUP app for collaborative problem-solving.</t>
        </is>
      </c>
      <c r="G276" s="8" t="inlineStr">
        <is>
          <t>0</t>
        </is>
      </c>
      <c r="H276" s="8" t="inlineStr">
        <is>
          <t>1</t>
        </is>
      </c>
      <c r="I276" s="8" t="inlineStr">
        <is>
          <t>1</t>
        </is>
      </c>
      <c r="J276" s="8" t="inlineStr">
        <is>
          <t>1</t>
        </is>
      </c>
      <c r="K276" s="9" t="inlineStr">
        <is>
          <t>0</t>
        </is>
      </c>
      <c r="L276" s="9" t="inlineStr">
        <is>
          <t>0</t>
        </is>
      </c>
      <c r="M276" s="9" t="inlineStr">
        <is>
          <t>1</t>
        </is>
      </c>
      <c r="N276" s="9" t="inlineStr">
        <is>
          <t>1</t>
        </is>
      </c>
      <c r="O276" s="10" t="inlineStr">
        <is>
          <t>0</t>
        </is>
      </c>
      <c r="P276" s="10" t="inlineStr">
        <is>
          <t>0</t>
        </is>
      </c>
      <c r="Q276" s="10" t="inlineStr">
        <is>
          <t>1</t>
        </is>
      </c>
      <c r="R276" s="10" t="inlineStr">
        <is>
          <t>0</t>
        </is>
      </c>
      <c r="S276" s="10" t="inlineStr">
        <is>
          <t>1</t>
        </is>
      </c>
    </row>
    <row r="277" ht="97" customHeight="1">
      <c r="A277" s="6">
        <f>IFERROR(__xludf.DUMMYFUNCTION("""COMPUTED_VALUE"""),"How do light and temperature affect photosynthesis in plants? - Version A")</f>
        <v/>
      </c>
      <c r="B277" s="6">
        <f>IFERROR(__xludf.DUMMYFUNCTION("""COMPUTED_VALUE"""),"Resource")</f>
        <v/>
      </c>
      <c r="C277" s="6">
        <f>IFERROR(__xludf.DUMMYFUNCTION("""COMPUTED_VALUE"""),"tips.png")</f>
        <v/>
      </c>
      <c r="D277" s="7">
        <f>IFERROR(__xludf.DUMMYFUNCTION("""COMPUTED_VALUE"""),"No task description")</f>
        <v/>
      </c>
      <c r="E277" s="7">
        <f>IFERROR(__xludf.DUMMYFUNCTION("""COMPUTED_VALUE"""),"image/png – A high-quality image with support for transparency, often used in design and web applications.")</f>
        <v/>
      </c>
      <c r="F277" s="7" t="inlineStr">
        <is>
          <t>Students are given instructions to use a simulation and chat app, sharing a seesaw and interacting with one side, using a chat application to communicate. Embedded artifacts include Golabz app/lab and an image/png file.</t>
        </is>
      </c>
      <c r="G277" s="8" t="inlineStr">
        <is>
          <t>1</t>
        </is>
      </c>
      <c r="H277" s="8" t="inlineStr">
        <is>
          <t>0</t>
        </is>
      </c>
      <c r="I277" s="8" t="inlineStr">
        <is>
          <t>0</t>
        </is>
      </c>
      <c r="J277" s="8" t="inlineStr">
        <is>
          <t>0</t>
        </is>
      </c>
      <c r="K277" s="9" t="inlineStr">
        <is>
          <t>1</t>
        </is>
      </c>
      <c r="L277" s="9" t="inlineStr">
        <is>
          <t>0</t>
        </is>
      </c>
      <c r="M277" s="9" t="inlineStr">
        <is>
          <t>0</t>
        </is>
      </c>
      <c r="N277" s="9" t="inlineStr">
        <is>
          <t>0</t>
        </is>
      </c>
      <c r="O277" s="10" t="inlineStr">
        <is>
          <t>0</t>
        </is>
      </c>
      <c r="P277" s="10" t="inlineStr">
        <is>
          <t>0</t>
        </is>
      </c>
      <c r="Q277" s="10" t="inlineStr">
        <is>
          <t>0</t>
        </is>
      </c>
      <c r="R277" s="10" t="inlineStr">
        <is>
          <t>0</t>
        </is>
      </c>
      <c r="S277" s="10" t="inlineStr">
        <is>
          <t>0</t>
        </is>
      </c>
    </row>
    <row r="278" ht="409.5" customHeight="1">
      <c r="A278" s="6">
        <f>IFERROR(__xludf.DUMMYFUNCTION("""COMPUTED_VALUE"""),"How do light and temperature affect photosynthesis in plants? - Version A")</f>
        <v/>
      </c>
      <c r="B278" s="6">
        <f>IFERROR(__xludf.DUMMYFUNCTION("""COMPUTED_VALUE"""),"Application")</f>
        <v/>
      </c>
      <c r="C278" s="6">
        <f>IFERROR(__xludf.DUMMYFUNCTION("""COMPUTED_VALUE"""),"SpeakUp")</f>
        <v/>
      </c>
      <c r="D278" s="7">
        <f>IFERROR(__xludf.DUMMYFUNCTION("""COMPUTED_VALUE"""),"No task description")</f>
        <v/>
      </c>
      <c r="E278"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78" s="7" t="inlineStr">
        <is>
          <t>Students use Golabz app/labs with tasks and teaching tips provided; artifacts include seesaw and chat labs.</t>
        </is>
      </c>
      <c r="G278" s="8" t="inlineStr">
        <is>
          <t>0</t>
        </is>
      </c>
      <c r="H278" s="8" t="inlineStr">
        <is>
          <t>1</t>
        </is>
      </c>
      <c r="I278" s="8" t="inlineStr">
        <is>
          <t>1</t>
        </is>
      </c>
      <c r="J278" s="8" t="inlineStr">
        <is>
          <t>1</t>
        </is>
      </c>
      <c r="K278" s="9" t="inlineStr">
        <is>
          <t>0</t>
        </is>
      </c>
      <c r="L278" s="9" t="inlineStr">
        <is>
          <t>0</t>
        </is>
      </c>
      <c r="M278" s="9" t="inlineStr">
        <is>
          <t>1</t>
        </is>
      </c>
      <c r="N278" s="9" t="inlineStr">
        <is>
          <t>1</t>
        </is>
      </c>
      <c r="O278" s="10" t="inlineStr">
        <is>
          <t>0</t>
        </is>
      </c>
      <c r="P278" s="10" t="inlineStr">
        <is>
          <t>0</t>
        </is>
      </c>
      <c r="Q278" s="10" t="inlineStr">
        <is>
          <t>0</t>
        </is>
      </c>
      <c r="R278" s="10" t="inlineStr">
        <is>
          <t>0</t>
        </is>
      </c>
      <c r="S278" s="10" t="inlineStr">
        <is>
          <t>1</t>
        </is>
      </c>
    </row>
    <row r="279" ht="329" customHeight="1">
      <c r="A279" s="6">
        <f>IFERROR(__xludf.DUMMYFUNCTION("""COMPUTED_VALUE"""),"How do light and temperature affect photosynthesis in plants? - Version A")</f>
        <v/>
      </c>
      <c r="B279" s="6">
        <f>IFERROR(__xludf.DUMMYFUNCTION("""COMPUTED_VALUE"""),"Application")</f>
        <v/>
      </c>
      <c r="C279" s="6">
        <f>IFERROR(__xludf.DUMMYFUNCTION("""COMPUTED_VALUE"""),"Input Box 1")</f>
        <v/>
      </c>
      <c r="D279" s="7">
        <f>IFERROR(__xludf.DUMMYFUNCTION("""COMPUTED_VALUE"""),"&lt;p&gt;&lt;strong&gt;3. &lt;/strong&gt;&lt;strong&gt;Question&lt;/strong&gt;&lt;/p&gt;&lt;p&gt;Is it possible to balance the seesaw using a total of 3 objects on the seesaw? If so, then describe exactly how in the space below.&lt;/p&gt;")</f>
        <v/>
      </c>
      <c r="E27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79" s="7" t="inlineStr">
        <is>
          <t>No task descriptions for Items 1 and 2; Item 3 asks about balancing a seesaw with 3 objects. Embedded artifacts include images, Golabz apps (SpeakUp and input box), and labs.</t>
        </is>
      </c>
      <c r="G279" s="8" t="inlineStr">
        <is>
          <t>0</t>
        </is>
      </c>
      <c r="H279" s="8" t="inlineStr">
        <is>
          <t>1</t>
        </is>
      </c>
      <c r="I279" s="8" t="inlineStr">
        <is>
          <t>1</t>
        </is>
      </c>
      <c r="J279" s="8" t="inlineStr">
        <is>
          <t>1</t>
        </is>
      </c>
      <c r="K279" s="9" t="inlineStr">
        <is>
          <t>0</t>
        </is>
      </c>
      <c r="L279" s="9" t="inlineStr">
        <is>
          <t>1</t>
        </is>
      </c>
      <c r="M279" s="9" t="inlineStr">
        <is>
          <t>0</t>
        </is>
      </c>
      <c r="N279" s="9" t="inlineStr">
        <is>
          <t>0</t>
        </is>
      </c>
      <c r="O279" s="10" t="inlineStr">
        <is>
          <t>1</t>
        </is>
      </c>
      <c r="P279" s="10" t="inlineStr">
        <is>
          <t>1</t>
        </is>
      </c>
      <c r="Q279" s="10" t="inlineStr">
        <is>
          <t>1</t>
        </is>
      </c>
      <c r="R279" s="10" t="inlineStr">
        <is>
          <t>1</t>
        </is>
      </c>
      <c r="S279" s="10" t="inlineStr">
        <is>
          <t>1</t>
        </is>
      </c>
    </row>
    <row r="280" ht="229" customHeight="1">
      <c r="A280" s="6">
        <f>IFERROR(__xludf.DUMMYFUNCTION("""COMPUTED_VALUE"""),"How do light and temperature affect photosynthesis in plants? - Version A")</f>
        <v/>
      </c>
      <c r="B280" s="6">
        <f>IFERROR(__xludf.DUMMYFUNCTION("""COMPUTED_VALUE"""),"Resource")</f>
        <v/>
      </c>
      <c r="C280" s="6">
        <f>IFERROR(__xludf.DUMMYFUNCTION("""COMPUTED_VALUE"""),"Text 4.graasp")</f>
        <v/>
      </c>
      <c r="D280"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280" s="7">
        <f>IFERROR(__xludf.DUMMYFUNCTION("""COMPUTED_VALUE"""),"No artifact embedded")</f>
        <v/>
      </c>
      <c r="F280" s="7" t="inlineStr">
        <is>
          <t>Students received tasks with varying descriptions and embedded artifacts, including apps for discussion and note-taking.</t>
        </is>
      </c>
      <c r="G280" s="8" t="inlineStr">
        <is>
          <t>0</t>
        </is>
      </c>
      <c r="H280" s="8" t="inlineStr">
        <is>
          <t>0</t>
        </is>
      </c>
      <c r="I280" s="8" t="inlineStr">
        <is>
          <t>0</t>
        </is>
      </c>
      <c r="J280" s="8" t="inlineStr">
        <is>
          <t>0</t>
        </is>
      </c>
      <c r="K280" s="9" t="inlineStr">
        <is>
          <t>1</t>
        </is>
      </c>
      <c r="L280" s="9" t="inlineStr">
        <is>
          <t>1</t>
        </is>
      </c>
      <c r="M280" s="9" t="inlineStr">
        <is>
          <t>0</t>
        </is>
      </c>
      <c r="N280" s="9" t="inlineStr">
        <is>
          <t>0</t>
        </is>
      </c>
      <c r="O280" s="10" t="inlineStr">
        <is>
          <t>0</t>
        </is>
      </c>
      <c r="P280" s="10" t="inlineStr">
        <is>
          <t>0</t>
        </is>
      </c>
      <c r="Q280" s="10" t="inlineStr">
        <is>
          <t>0</t>
        </is>
      </c>
      <c r="R280" s="10" t="inlineStr">
        <is>
          <t>0</t>
        </is>
      </c>
      <c r="S280" s="10" t="inlineStr">
        <is>
          <t>0</t>
        </is>
      </c>
    </row>
    <row r="281" ht="25" customHeight="1">
      <c r="A281" s="6">
        <f>IFERROR(__xludf.DUMMYFUNCTION("""COMPUTED_VALUE"""),"How do light and temperature affect photosynthesis in plants? - Version A")</f>
        <v/>
      </c>
      <c r="B281" s="6">
        <f>IFERROR(__xludf.DUMMYFUNCTION("""COMPUTED_VALUE"""),"Space")</f>
        <v/>
      </c>
      <c r="C281" s="6">
        <f>IFERROR(__xludf.DUMMYFUNCTION("""COMPUTED_VALUE"""),"Intro")</f>
        <v/>
      </c>
      <c r="D281" s="7">
        <f>IFERROR(__xludf.DUMMYFUNCTION("""COMPUTED_VALUE"""),"No task description")</f>
        <v/>
      </c>
      <c r="E281" s="7">
        <f>IFERROR(__xludf.DUMMYFUNCTION("""COMPUTED_VALUE"""),"No artifact embedded")</f>
        <v/>
      </c>
      <c r="F281" s="7" t="inlineStr">
        <is>
          <t>Students balance a seesaw with 3 objects and describe the process, using the Golabz app for note-taking.</t>
        </is>
      </c>
      <c r="G281" s="8" t="inlineStr">
        <is>
          <t>0</t>
        </is>
      </c>
      <c r="H281" s="8" t="inlineStr">
        <is>
          <t>0</t>
        </is>
      </c>
      <c r="I281" s="8" t="inlineStr">
        <is>
          <t>0</t>
        </is>
      </c>
      <c r="J281" s="8" t="inlineStr">
        <is>
          <t>0</t>
        </is>
      </c>
      <c r="K281" s="9" t="inlineStr">
        <is>
          <t>0</t>
        </is>
      </c>
      <c r="L281" s="9" t="inlineStr">
        <is>
          <t>0</t>
        </is>
      </c>
      <c r="M281" s="9" t="inlineStr">
        <is>
          <t>0</t>
        </is>
      </c>
      <c r="N281" s="9" t="inlineStr">
        <is>
          <t>0</t>
        </is>
      </c>
      <c r="O281" s="10" t="inlineStr">
        <is>
          <t>0</t>
        </is>
      </c>
      <c r="P281" s="10" t="inlineStr">
        <is>
          <t>0</t>
        </is>
      </c>
      <c r="Q281" s="10" t="inlineStr">
        <is>
          <t>0</t>
        </is>
      </c>
      <c r="R281" s="10" t="inlineStr">
        <is>
          <t>0</t>
        </is>
      </c>
      <c r="S281" s="10" t="inlineStr">
        <is>
          <t>0</t>
        </is>
      </c>
    </row>
    <row r="282" ht="318" customHeight="1">
      <c r="A282" s="6">
        <f>IFERROR(__xludf.DUMMYFUNCTION("""COMPUTED_VALUE"""),"How do light and temperature affect photosynthesis in plants? - Version A")</f>
        <v/>
      </c>
      <c r="B282" s="6">
        <f>IFERROR(__xludf.DUMMYFUNCTION("""COMPUTED_VALUE"""),"Resource")</f>
        <v/>
      </c>
      <c r="C282" s="6">
        <f>IFERROR(__xludf.DUMMYFUNCTION("""COMPUTED_VALUE"""),"Teooria.graasp")</f>
        <v/>
      </c>
      <c r="D282"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282" s="7">
        <f>IFERROR(__xludf.DUMMYFUNCTION("""COMPUTED_VALUE"""),"No artifact embedded")</f>
        <v/>
      </c>
      <c r="F282" s="7" t="inlineStr">
        <is>
          <t>Students are given task descriptions, including one about plant photosynthesis, with no embedded artifacts provided.</t>
        </is>
      </c>
      <c r="G282" s="8" t="inlineStr">
        <is>
          <t>1</t>
        </is>
      </c>
      <c r="H282" s="8" t="inlineStr">
        <is>
          <t>0</t>
        </is>
      </c>
      <c r="I282" s="8" t="inlineStr">
        <is>
          <t>0</t>
        </is>
      </c>
      <c r="J282" s="8" t="inlineStr">
        <is>
          <t>0</t>
        </is>
      </c>
      <c r="K282" s="9" t="inlineStr">
        <is>
          <t>1</t>
        </is>
      </c>
      <c r="L282" s="9" t="inlineStr">
        <is>
          <t>0</t>
        </is>
      </c>
      <c r="M282" s="9" t="inlineStr">
        <is>
          <t>0</t>
        </is>
      </c>
      <c r="N282" s="9" t="inlineStr">
        <is>
          <t>0</t>
        </is>
      </c>
      <c r="O282" s="10" t="inlineStr">
        <is>
          <t>1</t>
        </is>
      </c>
      <c r="P282" s="10" t="inlineStr">
        <is>
          <t>0</t>
        </is>
      </c>
      <c r="Q282" s="10" t="inlineStr">
        <is>
          <t>0</t>
        </is>
      </c>
      <c r="R282" s="10" t="inlineStr">
        <is>
          <t>0</t>
        </is>
      </c>
      <c r="S282" s="10" t="inlineStr">
        <is>
          <t>0</t>
        </is>
      </c>
    </row>
    <row r="283" ht="121" customHeight="1">
      <c r="A283" s="6">
        <f>IFERROR(__xludf.DUMMYFUNCTION("""COMPUTED_VALUE"""),"How do light and temperature affect photosynthesis in plants? - Version A")</f>
        <v/>
      </c>
      <c r="B283" s="6">
        <f>IFERROR(__xludf.DUMMYFUNCTION("""COMPUTED_VALUE"""),"Resource")</f>
        <v/>
      </c>
      <c r="C283" s="6">
        <f>IFERROR(__xludf.DUMMYFUNCTION("""COMPUTED_VALUE"""),"photosynthesis.jpg")</f>
        <v/>
      </c>
      <c r="D283" s="7">
        <f>IFERROR(__xludf.DUMMYFUNCTION("""COMPUTED_VALUE"""),"CARBON DIOXIDE _—v .7 WATER &amp; MINERALS")</f>
        <v/>
      </c>
      <c r="E283" s="7">
        <f>IFERROR(__xludf.DUMMYFUNCTION("""COMPUTED_VALUE"""),"image/jpeg – A digital photograph or web image stored in a compressed format, often used for photography and web graphics.")</f>
        <v/>
      </c>
      <c r="F283" s="7" t="inlineStr">
        <is>
          <t>Students are introduced to photosynthesis. Embedded artifacts include no items in Item1 and Item2, but an image/jpeg in Item3.</t>
        </is>
      </c>
      <c r="G283" s="8" t="inlineStr">
        <is>
          <t>1</t>
        </is>
      </c>
      <c r="H283" s="8" t="inlineStr">
        <is>
          <t>0</t>
        </is>
      </c>
      <c r="I283" s="8" t="inlineStr">
        <is>
          <t>0</t>
        </is>
      </c>
      <c r="J283" s="8" t="inlineStr">
        <is>
          <t>0</t>
        </is>
      </c>
      <c r="K283" s="9" t="inlineStr">
        <is>
          <t>1</t>
        </is>
      </c>
      <c r="L283" s="9" t="inlineStr">
        <is>
          <t>0</t>
        </is>
      </c>
      <c r="M283" s="9" t="inlineStr">
        <is>
          <t>0</t>
        </is>
      </c>
      <c r="N283" s="9" t="inlineStr">
        <is>
          <t>0</t>
        </is>
      </c>
      <c r="O283" s="10" t="inlineStr">
        <is>
          <t>0</t>
        </is>
      </c>
      <c r="P283" s="10" t="inlineStr">
        <is>
          <t>0</t>
        </is>
      </c>
      <c r="Q283" s="10" t="inlineStr">
        <is>
          <t>0</t>
        </is>
      </c>
      <c r="R283" s="10" t="inlineStr">
        <is>
          <t>0</t>
        </is>
      </c>
      <c r="S283" s="10" t="inlineStr">
        <is>
          <t>0</t>
        </is>
      </c>
    </row>
    <row r="284" ht="409.5" customHeight="1">
      <c r="A284" s="6">
        <f>IFERROR(__xludf.DUMMYFUNCTION("""COMPUTED_VALUE"""),"How do light and temperature affect photosynthesis in plants? - Version A")</f>
        <v/>
      </c>
      <c r="B284" s="6">
        <f>IFERROR(__xludf.DUMMYFUNCTION("""COMPUTED_VALUE"""),"Resource")</f>
        <v/>
      </c>
      <c r="C284" s="6">
        <f>IFERROR(__xludf.DUMMYFUNCTION("""COMPUTED_VALUE"""),"Veetaimedest.graasp")</f>
        <v/>
      </c>
      <c r="D284"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284" s="7">
        <f>IFERROR(__xludf.DUMMYFUNCTION("""COMPUTED_VALUE"""),"No artifact embedded")</f>
        <v/>
      </c>
      <c r="F284" s="7" t="inlineStr">
        <is>
          <t>Students learn about plant photosynthesis and complete a quiz with single-response questions. Embedded artifacts include a digital photograph in Item 2.</t>
        </is>
      </c>
      <c r="G284" s="8" t="inlineStr">
        <is>
          <t>1</t>
        </is>
      </c>
      <c r="H284" s="8" t="inlineStr">
        <is>
          <t>0</t>
        </is>
      </c>
      <c r="I284" s="8" t="inlineStr">
        <is>
          <t>0</t>
        </is>
      </c>
      <c r="J284" s="8" t="inlineStr">
        <is>
          <t>1</t>
        </is>
      </c>
      <c r="K284" s="9" t="inlineStr">
        <is>
          <t>1</t>
        </is>
      </c>
      <c r="L284" s="9" t="inlineStr">
        <is>
          <t>1</t>
        </is>
      </c>
      <c r="M284" s="9" t="inlineStr">
        <is>
          <t>0</t>
        </is>
      </c>
      <c r="N284" s="9" t="inlineStr">
        <is>
          <t>0</t>
        </is>
      </c>
      <c r="O284" s="10" t="inlineStr">
        <is>
          <t>1</t>
        </is>
      </c>
      <c r="P284" s="10" t="inlineStr">
        <is>
          <t>0</t>
        </is>
      </c>
      <c r="Q284" s="10" t="inlineStr">
        <is>
          <t>0</t>
        </is>
      </c>
      <c r="R284" s="10" t="inlineStr">
        <is>
          <t>0</t>
        </is>
      </c>
      <c r="S284" s="10" t="inlineStr">
        <is>
          <t>0</t>
        </is>
      </c>
    </row>
    <row r="285" ht="296" customHeight="1">
      <c r="A285" s="6">
        <f>IFERROR(__xludf.DUMMYFUNCTION("""COMPUTED_VALUE"""),"How do light and temperature affect photosynthesis in plants? - Version A")</f>
        <v/>
      </c>
      <c r="B285" s="6">
        <f>IFERROR(__xludf.DUMMYFUNCTION("""COMPUTED_VALUE"""),"Application")</f>
        <v/>
      </c>
      <c r="C285" s="6">
        <f>IFERROR(__xludf.DUMMYFUNCTION("""COMPUTED_VALUE"""),"Quiz Tool")</f>
        <v/>
      </c>
      <c r="D285" s="7">
        <f>IFERROR(__xludf.DUMMYFUNCTION("""COMPUTED_VALUE"""),"No task description")</f>
        <v/>
      </c>
      <c r="E28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5" s="7" t="inlineStr">
        <is>
          <t>Students are given task descriptions on carbon dioxide, water, and photosynthesis, with some items including embedded artifacts like images or quizzes.</t>
        </is>
      </c>
      <c r="G285" s="8" t="inlineStr">
        <is>
          <t>0</t>
        </is>
      </c>
      <c r="H285" s="8" t="inlineStr">
        <is>
          <t>1</t>
        </is>
      </c>
      <c r="I285" s="8" t="inlineStr">
        <is>
          <t>1</t>
        </is>
      </c>
      <c r="J285" s="8" t="inlineStr">
        <is>
          <t>1</t>
        </is>
      </c>
      <c r="K285" s="9" t="inlineStr">
        <is>
          <t>1</t>
        </is>
      </c>
      <c r="L285" s="9" t="inlineStr">
        <is>
          <t>1</t>
        </is>
      </c>
      <c r="M285" s="9" t="inlineStr">
        <is>
          <t>0</t>
        </is>
      </c>
      <c r="N285" s="9" t="inlineStr">
        <is>
          <t>0</t>
        </is>
      </c>
      <c r="O285" s="10" t="inlineStr">
        <is>
          <t>0</t>
        </is>
      </c>
      <c r="P285" s="10" t="inlineStr">
        <is>
          <t>0</t>
        </is>
      </c>
      <c r="Q285" s="10" t="inlineStr">
        <is>
          <t>0</t>
        </is>
      </c>
      <c r="R285" s="10" t="inlineStr">
        <is>
          <t>0</t>
        </is>
      </c>
      <c r="S285" s="10" t="inlineStr">
        <is>
          <t>1</t>
        </is>
      </c>
    </row>
    <row r="286" ht="157" customHeight="1">
      <c r="A286" s="6">
        <f>IFERROR(__xludf.DUMMYFUNCTION("""COMPUTED_VALUE"""),"How do light and temperature affect photosynthesis in plants? - Version A")</f>
        <v/>
      </c>
      <c r="B286" s="6">
        <f>IFERROR(__xludf.DUMMYFUNCTION("""COMPUTED_VALUE"""),"Resource")</f>
        <v/>
      </c>
      <c r="C286" s="6">
        <f>IFERROR(__xludf.DUMMYFUNCTION("""COMPUTED_VALUE"""),"Edasi juhatus.graasp")</f>
        <v/>
      </c>
      <c r="D286" s="7">
        <f>IFERROR(__xludf.DUMMYFUNCTION("""COMPUTED_VALUE"""),"&lt;p&gt;Next you will explore how light and season of year affect photosynthesis in aquarium plants. Click on the tab &lt;strong&gt;Explore&lt;/strong&gt; at the top of your screen.&lt;/p&gt;&lt;p&gt;&lt;br&gt;&lt;/p&gt;&lt;p&gt;&lt;br&gt;&lt;/p&gt;")</f>
        <v/>
      </c>
      <c r="E286" s="7">
        <f>IFERROR(__xludf.DUMMYFUNCTION("""COMPUTED_VALUE"""),"No artifact embedded")</f>
        <v/>
      </c>
      <c r="F286" s="7" t="inlineStr">
        <is>
          <t>Students complete a quiz on aquatic plant photosynthesis, with one attempt per question, and then explore how light and season affect photosynthesis using an interactive tool.</t>
        </is>
      </c>
      <c r="G286" s="8" t="inlineStr">
        <is>
          <t>0</t>
        </is>
      </c>
      <c r="H286" s="8" t="inlineStr">
        <is>
          <t>1</t>
        </is>
      </c>
      <c r="I286" s="8" t="inlineStr">
        <is>
          <t>0</t>
        </is>
      </c>
      <c r="J286" s="8" t="inlineStr">
        <is>
          <t>1</t>
        </is>
      </c>
      <c r="K286" s="9" t="inlineStr">
        <is>
          <t>1</t>
        </is>
      </c>
      <c r="L286" s="9" t="inlineStr">
        <is>
          <t>0</t>
        </is>
      </c>
      <c r="M286" s="9" t="inlineStr">
        <is>
          <t>0</t>
        </is>
      </c>
      <c r="N286" s="9" t="inlineStr">
        <is>
          <t>0</t>
        </is>
      </c>
      <c r="O286" s="10" t="inlineStr">
        <is>
          <t>1</t>
        </is>
      </c>
      <c r="P286" s="10" t="inlineStr">
        <is>
          <t>0</t>
        </is>
      </c>
      <c r="Q286" s="10" t="inlineStr">
        <is>
          <t>1</t>
        </is>
      </c>
      <c r="R286" s="10" t="inlineStr">
        <is>
          <t>0</t>
        </is>
      </c>
      <c r="S286" s="10" t="inlineStr">
        <is>
          <t>0</t>
        </is>
      </c>
    </row>
    <row r="287" ht="25" customHeight="1">
      <c r="A287" s="6">
        <f>IFERROR(__xludf.DUMMYFUNCTION("""COMPUTED_VALUE"""),"How do light and temperature affect photosynthesis in plants? - Version A")</f>
        <v/>
      </c>
      <c r="B287" s="6">
        <f>IFERROR(__xludf.DUMMYFUNCTION("""COMPUTED_VALUE"""),"Space")</f>
        <v/>
      </c>
      <c r="C287" s="6">
        <f>IFERROR(__xludf.DUMMYFUNCTION("""COMPUTED_VALUE"""),"Explore")</f>
        <v/>
      </c>
      <c r="D287" s="7">
        <f>IFERROR(__xludf.DUMMYFUNCTION("""COMPUTED_VALUE"""),"No task description")</f>
        <v/>
      </c>
      <c r="E287" s="7">
        <f>IFERROR(__xludf.DUMMYFUNCTION("""COMPUTED_VALUE"""),"No artifact embedded")</f>
        <v/>
      </c>
      <c r="F287" s="7" t="inlineStr">
        <is>
          <t>Students received varying instructions, with Item1 featuring a quiz app, Item2 exploring photosynthesis, and Items 1 and 3 having embedded artifacts.</t>
        </is>
      </c>
      <c r="G287" s="8" t="inlineStr">
        <is>
          <t>0</t>
        </is>
      </c>
      <c r="H287" s="8" t="inlineStr">
        <is>
          <t>0</t>
        </is>
      </c>
      <c r="I287" s="8" t="inlineStr">
        <is>
          <t>0</t>
        </is>
      </c>
      <c r="J287" s="8" t="inlineStr">
        <is>
          <t>0</t>
        </is>
      </c>
      <c r="K287" s="9" t="inlineStr">
        <is>
          <t>0</t>
        </is>
      </c>
      <c r="L287" s="9" t="inlineStr">
        <is>
          <t>0</t>
        </is>
      </c>
      <c r="M287" s="9" t="inlineStr">
        <is>
          <t>0</t>
        </is>
      </c>
      <c r="N287" s="9" t="inlineStr">
        <is>
          <t>0</t>
        </is>
      </c>
      <c r="O287" s="10" t="inlineStr">
        <is>
          <t>0</t>
        </is>
      </c>
      <c r="P287" s="10" t="inlineStr">
        <is>
          <t>0</t>
        </is>
      </c>
      <c r="Q287" s="10" t="inlineStr">
        <is>
          <t>0</t>
        </is>
      </c>
      <c r="R287" s="10" t="inlineStr">
        <is>
          <t>0</t>
        </is>
      </c>
      <c r="S287" s="10" t="inlineStr">
        <is>
          <t>0</t>
        </is>
      </c>
    </row>
    <row r="288" ht="97" customHeight="1">
      <c r="A288" s="6">
        <f>IFERROR(__xludf.DUMMYFUNCTION("""COMPUTED_VALUE"""),"How do light and temperature affect photosynthesis in plants? - Version A")</f>
        <v/>
      </c>
      <c r="B288" s="6">
        <f>IFERROR(__xludf.DUMMYFUNCTION("""COMPUTED_VALUE"""),"Resource")</f>
        <v/>
      </c>
      <c r="C288" s="6">
        <f>IFERROR(__xludf.DUMMYFUNCTION("""COMPUTED_VALUE"""),"elodea.gif")</f>
        <v/>
      </c>
      <c r="D288" s="7">
        <f>IFERROR(__xludf.DUMMYFUNCTION("""COMPUTED_VALUE"""),"No task description")</f>
        <v/>
      </c>
      <c r="E288" s="7">
        <f>IFERROR(__xludf.DUMMYFUNCTION("""COMPUTED_VALUE"""),"image/gif – An animated or static graphic using the GIF format, often seen in memes and web animations.")</f>
        <v/>
      </c>
      <c r="F288" s="7" t="inlineStr">
        <is>
          <t>Students explore photosynthesis in aquarium plants via "Explore" tab. Embedded artifacts include a GIF image in Item 3.</t>
        </is>
      </c>
      <c r="G288" s="8" t="inlineStr">
        <is>
          <t>1</t>
        </is>
      </c>
      <c r="H288" s="8" t="inlineStr">
        <is>
          <t>0</t>
        </is>
      </c>
      <c r="I288" s="8" t="inlineStr">
        <is>
          <t>0</t>
        </is>
      </c>
      <c r="J288" s="8" t="inlineStr">
        <is>
          <t>0</t>
        </is>
      </c>
      <c r="K288" s="9" t="inlineStr">
        <is>
          <t>1</t>
        </is>
      </c>
      <c r="L288" s="9" t="inlineStr">
        <is>
          <t>0</t>
        </is>
      </c>
      <c r="M288" s="9" t="inlineStr">
        <is>
          <t>0</t>
        </is>
      </c>
      <c r="N288" s="9" t="inlineStr">
        <is>
          <t>0</t>
        </is>
      </c>
      <c r="O288" s="10" t="inlineStr">
        <is>
          <t>0</t>
        </is>
      </c>
      <c r="P288" s="10" t="inlineStr">
        <is>
          <t>0</t>
        </is>
      </c>
      <c r="Q288" s="10" t="inlineStr">
        <is>
          <t>0</t>
        </is>
      </c>
      <c r="R288" s="10" t="inlineStr">
        <is>
          <t>0</t>
        </is>
      </c>
      <c r="S288" s="10" t="inlineStr">
        <is>
          <t>0</t>
        </is>
      </c>
    </row>
    <row r="289" ht="49" customHeight="1">
      <c r="A289" s="6">
        <f>IFERROR(__xludf.DUMMYFUNCTION("""COMPUTED_VALUE"""),"How do light and temperature affect photosynthesis in plants? - Version A")</f>
        <v/>
      </c>
      <c r="B289" s="6">
        <f>IFERROR(__xludf.DUMMYFUNCTION("""COMPUTED_VALUE"""),"Resource")</f>
        <v/>
      </c>
      <c r="C289" s="6">
        <f>IFERROR(__xludf.DUMMYFUNCTION("""COMPUTED_VALUE"""),"tekst4.graasp")</f>
        <v/>
      </c>
      <c r="D289" s="7">
        <f>IFERROR(__xludf.DUMMYFUNCTION("""COMPUTED_VALUE"""),"&lt;p&gt;Look at the video clip and answer these questions.&lt;/p&gt;")</f>
        <v/>
      </c>
      <c r="E289" s="7">
        <f>IFERROR(__xludf.DUMMYFUNCTION("""COMPUTED_VALUE"""),"No artifact embedded")</f>
        <v/>
      </c>
      <c r="F289" s="7" t="inlineStr">
        <is>
          <t>Students received task descriptions and artifacts, including a GIF image, to complete assignments with varying levels of guidance.</t>
        </is>
      </c>
      <c r="G289" s="8" t="inlineStr">
        <is>
          <t>0</t>
        </is>
      </c>
      <c r="H289" s="8" t="inlineStr">
        <is>
          <t>0</t>
        </is>
      </c>
      <c r="I289" s="8" t="inlineStr">
        <is>
          <t>1</t>
        </is>
      </c>
      <c r="J289" s="8" t="inlineStr">
        <is>
          <t>1</t>
        </is>
      </c>
      <c r="K289" s="9" t="inlineStr">
        <is>
          <t>0</t>
        </is>
      </c>
      <c r="L289" s="9" t="inlineStr">
        <is>
          <t>1</t>
        </is>
      </c>
      <c r="M289" s="9" t="inlineStr">
        <is>
          <t>0</t>
        </is>
      </c>
      <c r="N289" s="9" t="inlineStr">
        <is>
          <t>0</t>
        </is>
      </c>
      <c r="O289" s="10" t="inlineStr">
        <is>
          <t>0</t>
        </is>
      </c>
      <c r="P289" s="10" t="inlineStr">
        <is>
          <t>0</t>
        </is>
      </c>
      <c r="Q289" s="10" t="inlineStr">
        <is>
          <t>0</t>
        </is>
      </c>
      <c r="R289" s="10" t="inlineStr">
        <is>
          <t>0</t>
        </is>
      </c>
      <c r="S289" s="10" t="inlineStr">
        <is>
          <t>0</t>
        </is>
      </c>
    </row>
    <row r="290" ht="296" customHeight="1">
      <c r="A290" s="6">
        <f>IFERROR(__xludf.DUMMYFUNCTION("""COMPUTED_VALUE"""),"How do light and temperature affect photosynthesis in plants? - Version A")</f>
        <v/>
      </c>
      <c r="B290" s="6">
        <f>IFERROR(__xludf.DUMMYFUNCTION("""COMPUTED_VALUE"""),"Application")</f>
        <v/>
      </c>
      <c r="C290" s="6">
        <f>IFERROR(__xludf.DUMMYFUNCTION("""COMPUTED_VALUE"""),"Quiz Tool")</f>
        <v/>
      </c>
      <c r="D290" s="7">
        <f>IFERROR(__xludf.DUMMYFUNCTION("""COMPUTED_VALUE"""),"No task description")</f>
        <v/>
      </c>
      <c r="E29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90" s="7" t="inlineStr">
        <is>
          <t>Students received tasks with varying descriptions and embedded artifacts, including GIF images and a quiz app.</t>
        </is>
      </c>
      <c r="G290" s="8" t="inlineStr">
        <is>
          <t>0</t>
        </is>
      </c>
      <c r="H290" s="8" t="inlineStr">
        <is>
          <t>1</t>
        </is>
      </c>
      <c r="I290" s="8" t="inlineStr">
        <is>
          <t>1</t>
        </is>
      </c>
      <c r="J290" s="8" t="inlineStr">
        <is>
          <t>1</t>
        </is>
      </c>
      <c r="K290" s="9" t="inlineStr">
        <is>
          <t>1</t>
        </is>
      </c>
      <c r="L290" s="9" t="inlineStr">
        <is>
          <t>1</t>
        </is>
      </c>
      <c r="M290" s="9" t="inlineStr">
        <is>
          <t>0</t>
        </is>
      </c>
      <c r="N290" s="9" t="inlineStr">
        <is>
          <t>0</t>
        </is>
      </c>
      <c r="O290" s="10" t="inlineStr">
        <is>
          <t>0</t>
        </is>
      </c>
      <c r="P290" s="10" t="inlineStr">
        <is>
          <t>0</t>
        </is>
      </c>
      <c r="Q290" s="10" t="inlineStr">
        <is>
          <t>0</t>
        </is>
      </c>
      <c r="R290" s="10" t="inlineStr">
        <is>
          <t>0</t>
        </is>
      </c>
      <c r="S290" s="10" t="inlineStr">
        <is>
          <t>1</t>
        </is>
      </c>
    </row>
    <row r="291" ht="409.5" customHeight="1">
      <c r="A291" s="6">
        <f>IFERROR(__xludf.DUMMYFUNCTION("""COMPUTED_VALUE"""),"How do light and temperature affect photosynthesis in plants? - Version A")</f>
        <v/>
      </c>
      <c r="B291" s="6">
        <f>IFERROR(__xludf.DUMMYFUNCTION("""COMPUTED_VALUE"""),"Resource")</f>
        <v/>
      </c>
      <c r="C291" s="6">
        <f>IFERROR(__xludf.DUMMYFUNCTION("""COMPUTED_VALUE"""),"Text 1.graasp")</f>
        <v/>
      </c>
      <c r="D291"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291" s="7">
        <f>IFERROR(__xludf.DUMMYFUNCTION("""COMPUTED_VALUE"""),"No artifact embedded")</f>
        <v/>
      </c>
      <c r="F291" s="7" t="inlineStr">
        <is>
          <t>Students are given tasks with varying instructions and tools, including video clips, quizzes, and collaborative simulations. Embedded artifacts include a quiz app and interactive configurations.</t>
        </is>
      </c>
      <c r="G291" s="8" t="inlineStr">
        <is>
          <t>0</t>
        </is>
      </c>
      <c r="H291" s="8" t="inlineStr">
        <is>
          <t>1</t>
        </is>
      </c>
      <c r="I291" s="8" t="inlineStr">
        <is>
          <t>0</t>
        </is>
      </c>
      <c r="J291" s="8" t="inlineStr">
        <is>
          <t>1</t>
        </is>
      </c>
      <c r="K291" s="9" t="inlineStr">
        <is>
          <t>0</t>
        </is>
      </c>
      <c r="L291" s="9" t="inlineStr">
        <is>
          <t>0</t>
        </is>
      </c>
      <c r="M291" s="9" t="inlineStr">
        <is>
          <t>1</t>
        </is>
      </c>
      <c r="N291" s="9" t="inlineStr">
        <is>
          <t>1</t>
        </is>
      </c>
      <c r="O291" s="10" t="inlineStr">
        <is>
          <t>1</t>
        </is>
      </c>
      <c r="P291" s="10" t="inlineStr">
        <is>
          <t>1</t>
        </is>
      </c>
      <c r="Q291" s="10" t="inlineStr">
        <is>
          <t>1</t>
        </is>
      </c>
      <c r="R291" s="10" t="inlineStr">
        <is>
          <t>0</t>
        </is>
      </c>
      <c r="S291" s="10" t="inlineStr">
        <is>
          <t>1</t>
        </is>
      </c>
    </row>
    <row r="292" ht="373" customHeight="1">
      <c r="A292" s="6">
        <f>IFERROR(__xludf.DUMMYFUNCTION("""COMPUTED_VALUE"""),"How do light and temperature affect photosynthesis in plants? - Version A")</f>
        <v/>
      </c>
      <c r="B292" s="6">
        <f>IFERROR(__xludf.DUMMYFUNCTION("""COMPUTED_VALUE"""),"Resource")</f>
        <v/>
      </c>
      <c r="C292" s="6">
        <f>IFERROR(__xludf.DUMMYFUNCTION("""COMPUTED_VALUE"""),"instructions for the simulation and chat app.graasp")</f>
        <v/>
      </c>
      <c r="D292"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292" s="7">
        <f>IFERROR(__xludf.DUMMYFUNCTION("""COMPUTED_VALUE"""),"No artifact embedded")</f>
        <v/>
      </c>
      <c r="F292" s="7" t="inlineStr">
        <is>
          <t>Students received task descriptions and interacted with embedded artifacts, including a quiz app and simulation/chat application.</t>
        </is>
      </c>
      <c r="G292" s="8" t="inlineStr">
        <is>
          <t>0</t>
        </is>
      </c>
      <c r="H292" s="8" t="inlineStr">
        <is>
          <t>1</t>
        </is>
      </c>
      <c r="I292" s="8" t="inlineStr">
        <is>
          <t>0</t>
        </is>
      </c>
      <c r="J292" s="8" t="inlineStr">
        <is>
          <t>1</t>
        </is>
      </c>
      <c r="K292" s="9" t="inlineStr">
        <is>
          <t>1</t>
        </is>
      </c>
      <c r="L292" s="9" t="inlineStr">
        <is>
          <t>0</t>
        </is>
      </c>
      <c r="M292" s="9" t="inlineStr">
        <is>
          <t>0</t>
        </is>
      </c>
      <c r="N292" s="9" t="inlineStr">
        <is>
          <t>0</t>
        </is>
      </c>
      <c r="O292" s="10" t="inlineStr">
        <is>
          <t>0</t>
        </is>
      </c>
      <c r="P292" s="10" t="inlineStr">
        <is>
          <t>0</t>
        </is>
      </c>
      <c r="Q292" s="10" t="inlineStr">
        <is>
          <t>0</t>
        </is>
      </c>
      <c r="R292" s="10" t="inlineStr">
        <is>
          <t>0</t>
        </is>
      </c>
      <c r="S292" s="10" t="inlineStr">
        <is>
          <t>0</t>
        </is>
      </c>
    </row>
    <row r="293" ht="409.5" customHeight="1">
      <c r="A293" s="6">
        <f>IFERROR(__xludf.DUMMYFUNCTION("""COMPUTED_VALUE"""),"How do light and temperature affect photosynthesis in plants? - Version A")</f>
        <v/>
      </c>
      <c r="B293" s="6">
        <f>IFERROR(__xludf.DUMMYFUNCTION("""COMPUTED_VALUE"""),"Application")</f>
        <v/>
      </c>
      <c r="C293" s="6">
        <f>IFERROR(__xludf.DUMMYFUNCTION("""COMPUTED_VALUE"""),"Rate of Photosynthesis Lab - only season control")</f>
        <v/>
      </c>
      <c r="D293" s="7">
        <f>IFERROR(__xludf.DUMMYFUNCTION("""COMPUTED_VALUE"""),"No task description")</f>
        <v/>
      </c>
      <c r="E293"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293" s="7" t="inlineStr">
        <is>
          <t>Students collaborate to solve a problem using a simulation and chat app, answering questions about photosynthesis.</t>
        </is>
      </c>
      <c r="G293" s="8" t="inlineStr">
        <is>
          <t>0</t>
        </is>
      </c>
      <c r="H293" s="8" t="inlineStr">
        <is>
          <t>1</t>
        </is>
      </c>
      <c r="I293" s="8" t="inlineStr">
        <is>
          <t>0</t>
        </is>
      </c>
      <c r="J293" s="8" t="inlineStr">
        <is>
          <t>1</t>
        </is>
      </c>
      <c r="K293" s="9" t="inlineStr">
        <is>
          <t>0</t>
        </is>
      </c>
      <c r="L293" s="9" t="inlineStr">
        <is>
          <t>0</t>
        </is>
      </c>
      <c r="M293" s="9" t="inlineStr">
        <is>
          <t>1</t>
        </is>
      </c>
      <c r="N293" s="9" t="inlineStr">
        <is>
          <t>1</t>
        </is>
      </c>
      <c r="O293" s="10" t="inlineStr">
        <is>
          <t>0</t>
        </is>
      </c>
      <c r="P293" s="10" t="inlineStr">
        <is>
          <t>1</t>
        </is>
      </c>
      <c r="Q293" s="10" t="inlineStr">
        <is>
          <t>1</t>
        </is>
      </c>
      <c r="R293" s="10" t="inlineStr">
        <is>
          <t>0</t>
        </is>
      </c>
      <c r="S293" s="10" t="inlineStr">
        <is>
          <t>1</t>
        </is>
      </c>
    </row>
    <row r="294" ht="97" customHeight="1">
      <c r="A294" s="6">
        <f>IFERROR(__xludf.DUMMYFUNCTION("""COMPUTED_VALUE"""),"How do light and temperature affect photosynthesis in plants? - Version A")</f>
        <v/>
      </c>
      <c r="B294" s="6">
        <f>IFERROR(__xludf.DUMMYFUNCTION("""COMPUTED_VALUE"""),"Resource")</f>
        <v/>
      </c>
      <c r="C294" s="6">
        <f>IFERROR(__xludf.DUMMYFUNCTION("""COMPUTED_VALUE"""),"tips.png")</f>
        <v/>
      </c>
      <c r="D294" s="7">
        <f>IFERROR(__xludf.DUMMYFUNCTION("""COMPUTED_VALUE"""),"No task description")</f>
        <v/>
      </c>
      <c r="E294" s="7">
        <f>IFERROR(__xludf.DUMMYFUNCTION("""COMPUTED_VALUE"""),"image/png – A high-quality image with support for transparency, often used in design and web applications.")</f>
        <v/>
      </c>
      <c r="F294" s="7" t="inlineStr">
        <is>
          <t>Students enter numbers to join simulations and chats. Embedded artifacts include Golabz app/lab and a PNG image.</t>
        </is>
      </c>
      <c r="G294" s="8" t="inlineStr">
        <is>
          <t>1</t>
        </is>
      </c>
      <c r="H294" s="8" t="inlineStr">
        <is>
          <t>0</t>
        </is>
      </c>
      <c r="I294" s="8" t="inlineStr">
        <is>
          <t>0</t>
        </is>
      </c>
      <c r="J294" s="8" t="inlineStr">
        <is>
          <t>0</t>
        </is>
      </c>
      <c r="K294" s="9" t="inlineStr">
        <is>
          <t>1</t>
        </is>
      </c>
      <c r="L294" s="9" t="inlineStr">
        <is>
          <t>0</t>
        </is>
      </c>
      <c r="M294" s="9" t="inlineStr">
        <is>
          <t>0</t>
        </is>
      </c>
      <c r="N294" s="9" t="inlineStr">
        <is>
          <t>0</t>
        </is>
      </c>
      <c r="O294" s="10" t="inlineStr">
        <is>
          <t>0</t>
        </is>
      </c>
      <c r="P294" s="10" t="inlineStr">
        <is>
          <t>0</t>
        </is>
      </c>
      <c r="Q294" s="10" t="inlineStr">
        <is>
          <t>0</t>
        </is>
      </c>
      <c r="R294" s="10" t="inlineStr">
        <is>
          <t>0</t>
        </is>
      </c>
      <c r="S294" s="10" t="inlineStr">
        <is>
          <t>0</t>
        </is>
      </c>
    </row>
    <row r="295" ht="409.5" customHeight="1">
      <c r="A295" s="6">
        <f>IFERROR(__xludf.DUMMYFUNCTION("""COMPUTED_VALUE"""),"How do light and temperature affect photosynthesis in plants? - Version A")</f>
        <v/>
      </c>
      <c r="B295" s="6">
        <f>IFERROR(__xludf.DUMMYFUNCTION("""COMPUTED_VALUE"""),"Application")</f>
        <v/>
      </c>
      <c r="C295" s="6">
        <f>IFERROR(__xludf.DUMMYFUNCTION("""COMPUTED_VALUE"""),"SpeakUp")</f>
        <v/>
      </c>
      <c r="D295" s="7">
        <f>IFERROR(__xludf.DUMMYFUNCTION("""COMPUTED_VALUE"""),"No task description")</f>
        <v/>
      </c>
      <c r="E295"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95" s="7" t="inlineStr">
        <is>
          <t>Students use Golabz lab and SpeakUp app for collaborative problem-solving, with instructions to create spaces and chat rooms for shared simulations.</t>
        </is>
      </c>
      <c r="G295" s="8" t="inlineStr">
        <is>
          <t>0</t>
        </is>
      </c>
      <c r="H295" s="8" t="inlineStr">
        <is>
          <t>1</t>
        </is>
      </c>
      <c r="I295" s="8" t="inlineStr">
        <is>
          <t>1</t>
        </is>
      </c>
      <c r="J295" s="8" t="inlineStr">
        <is>
          <t>1</t>
        </is>
      </c>
      <c r="K295" s="9" t="inlineStr">
        <is>
          <t>0</t>
        </is>
      </c>
      <c r="L295" s="9" t="inlineStr">
        <is>
          <t>0</t>
        </is>
      </c>
      <c r="M295" s="9" t="inlineStr">
        <is>
          <t>1</t>
        </is>
      </c>
      <c r="N295" s="9" t="inlineStr">
        <is>
          <t>1</t>
        </is>
      </c>
      <c r="O295" s="10" t="inlineStr">
        <is>
          <t>1</t>
        </is>
      </c>
      <c r="P295" s="10" t="inlineStr">
        <is>
          <t>0</t>
        </is>
      </c>
      <c r="Q295" s="10" t="inlineStr">
        <is>
          <t>0</t>
        </is>
      </c>
      <c r="R295" s="10" t="inlineStr">
        <is>
          <t>0</t>
        </is>
      </c>
      <c r="S295" s="10" t="inlineStr">
        <is>
          <t>1</t>
        </is>
      </c>
    </row>
    <row r="296" ht="37" customHeight="1">
      <c r="A296" s="6">
        <f>IFERROR(__xludf.DUMMYFUNCTION("""COMPUTED_VALUE"""),"How do light and temperature affect photosynthesis in plants? - Version A")</f>
        <v/>
      </c>
      <c r="B296" s="6">
        <f>IFERROR(__xludf.DUMMYFUNCTION("""COMPUTED_VALUE"""),"Resource")</f>
        <v/>
      </c>
      <c r="C296" s="6">
        <f>IFERROR(__xludf.DUMMYFUNCTION("""COMPUTED_VALUE"""),"tekst2.graasp")</f>
        <v/>
      </c>
      <c r="D296" s="7">
        <f>IFERROR(__xludf.DUMMYFUNCTION("""COMPUTED_VALUE"""),"&lt;p&gt;&lt;strong&gt;QUESTIONS&lt;/strong&gt;&lt;/p&gt;")</f>
        <v/>
      </c>
      <c r="E296" s="7">
        <f>IFERROR(__xludf.DUMMYFUNCTION("""COMPUTED_VALUE"""),"No artifact embedded")</f>
        <v/>
      </c>
      <c r="F296" s="7" t="inlineStr">
        <is>
          <t>No task descriptions for Items 1 and 2; Item 1 has a PNG image, Item 2 has a Golabz app/lab with SpeakUp, and Item 3 has questions only.</t>
        </is>
      </c>
      <c r="G296" s="8" t="inlineStr">
        <is>
          <t>0</t>
        </is>
      </c>
      <c r="H296" s="8" t="inlineStr">
        <is>
          <t>0</t>
        </is>
      </c>
      <c r="I296" s="8" t="inlineStr">
        <is>
          <t>0</t>
        </is>
      </c>
      <c r="J296" s="8" t="inlineStr">
        <is>
          <t>0</t>
        </is>
      </c>
      <c r="K296" s="9" t="inlineStr">
        <is>
          <t>1</t>
        </is>
      </c>
      <c r="L296" s="9" t="inlineStr">
        <is>
          <t>1</t>
        </is>
      </c>
      <c r="M296" s="9" t="inlineStr">
        <is>
          <t>0</t>
        </is>
      </c>
      <c r="N296" s="9" t="inlineStr">
        <is>
          <t>0</t>
        </is>
      </c>
      <c r="O296" s="10" t="inlineStr">
        <is>
          <t>0</t>
        </is>
      </c>
      <c r="P296" s="10" t="inlineStr">
        <is>
          <t>0</t>
        </is>
      </c>
      <c r="Q296" s="10" t="inlineStr">
        <is>
          <t>0</t>
        </is>
      </c>
      <c r="R296" s="10" t="inlineStr">
        <is>
          <t>0</t>
        </is>
      </c>
      <c r="S296" s="10" t="inlineStr">
        <is>
          <t>0</t>
        </is>
      </c>
    </row>
    <row r="297" ht="329" customHeight="1">
      <c r="A297" s="6">
        <f>IFERROR(__xludf.DUMMYFUNCTION("""COMPUTED_VALUE"""),"How do light and temperature affect photosynthesis in plants? - Version A")</f>
        <v/>
      </c>
      <c r="B297" s="6">
        <f>IFERROR(__xludf.DUMMYFUNCTION("""COMPUTED_VALUE"""),"Application")</f>
        <v/>
      </c>
      <c r="C297" s="6">
        <f>IFERROR(__xludf.DUMMYFUNCTION("""COMPUTED_VALUE"""),"Input Box")</f>
        <v/>
      </c>
      <c r="D297" s="7">
        <f>IFERROR(__xludf.DUMMYFUNCTION("""COMPUTED_VALUE"""),"&lt;p&gt;1. How does photosynthesis in aquarium plants depend on light intensity?&lt;/p&gt;")</f>
        <v/>
      </c>
      <c r="E29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7" s="7" t="inlineStr">
        <is>
          <t>Students received tasks with varying descriptions and embedded artifacts, including Golabz apps for discussion and note-taking.</t>
        </is>
      </c>
      <c r="G297" s="8" t="inlineStr">
        <is>
          <t>0</t>
        </is>
      </c>
      <c r="H297" s="8" t="inlineStr">
        <is>
          <t>1</t>
        </is>
      </c>
      <c r="I297" s="8" t="inlineStr">
        <is>
          <t>1</t>
        </is>
      </c>
      <c r="J297" s="8" t="inlineStr">
        <is>
          <t>1</t>
        </is>
      </c>
      <c r="K297" s="9" t="inlineStr">
        <is>
          <t>0</t>
        </is>
      </c>
      <c r="L297" s="9" t="inlineStr">
        <is>
          <t>1</t>
        </is>
      </c>
      <c r="M297" s="9" t="inlineStr">
        <is>
          <t>0</t>
        </is>
      </c>
      <c r="N297" s="9" t="inlineStr">
        <is>
          <t>0</t>
        </is>
      </c>
      <c r="O297" s="10" t="inlineStr">
        <is>
          <t>1</t>
        </is>
      </c>
      <c r="P297" s="10" t="inlineStr">
        <is>
          <t>1</t>
        </is>
      </c>
      <c r="Q297" s="10" t="inlineStr">
        <is>
          <t>1</t>
        </is>
      </c>
      <c r="R297" s="10" t="inlineStr">
        <is>
          <t>0</t>
        </is>
      </c>
      <c r="S297" s="10" t="inlineStr">
        <is>
          <t>0</t>
        </is>
      </c>
    </row>
    <row r="298" ht="329" customHeight="1">
      <c r="A298" s="6">
        <f>IFERROR(__xludf.DUMMYFUNCTION("""COMPUTED_VALUE"""),"How do light and temperature affect photosynthesis in plants? - Version A")</f>
        <v/>
      </c>
      <c r="B298" s="6">
        <f>IFERROR(__xludf.DUMMYFUNCTION("""COMPUTED_VALUE"""),"Application")</f>
        <v/>
      </c>
      <c r="C298" s="6">
        <f>IFERROR(__xludf.DUMMYFUNCTION("""COMPUTED_VALUE"""),"Input Box (1)")</f>
        <v/>
      </c>
      <c r="D298" s="7">
        <f>IFERROR(__xludf.DUMMYFUNCTION("""COMPUTED_VALUE"""),"&lt;p&gt;2. How does photosynthesis in aquarium plants depend on the season of the year?&lt;/p&gt;")</f>
        <v/>
      </c>
      <c r="E29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8" s="7" t="inlineStr">
        <is>
          <t>Students answer questions on photosynthesis, using a note-taking app with optional collaboration mode.</t>
        </is>
      </c>
      <c r="G298" s="8" t="inlineStr">
        <is>
          <t>0</t>
        </is>
      </c>
      <c r="H298" s="8" t="inlineStr">
        <is>
          <t>1</t>
        </is>
      </c>
      <c r="I298" s="8" t="inlineStr">
        <is>
          <t>1</t>
        </is>
      </c>
      <c r="J298" s="8" t="inlineStr">
        <is>
          <t>1</t>
        </is>
      </c>
      <c r="K298" s="9" t="inlineStr">
        <is>
          <t>1</t>
        </is>
      </c>
      <c r="L298" s="9" t="inlineStr">
        <is>
          <t>1</t>
        </is>
      </c>
      <c r="M298" s="9" t="inlineStr">
        <is>
          <t>0</t>
        </is>
      </c>
      <c r="N298" s="9" t="inlineStr">
        <is>
          <t>0</t>
        </is>
      </c>
      <c r="O298" s="10" t="inlineStr">
        <is>
          <t>1</t>
        </is>
      </c>
      <c r="P298" s="10" t="inlineStr">
        <is>
          <t>1</t>
        </is>
      </c>
      <c r="Q298" s="10" t="inlineStr">
        <is>
          <t>1</t>
        </is>
      </c>
      <c r="R298" s="10" t="inlineStr">
        <is>
          <t>0</t>
        </is>
      </c>
      <c r="S298" s="10" t="inlineStr">
        <is>
          <t>1</t>
        </is>
      </c>
    </row>
    <row r="299" ht="263" customHeight="1">
      <c r="A299" s="6">
        <f>IFERROR(__xludf.DUMMYFUNCTION("""COMPUTED_VALUE"""),"How do light and temperature affect photosynthesis in plants? - Version A")</f>
        <v/>
      </c>
      <c r="B299" s="6">
        <f>IFERROR(__xludf.DUMMYFUNCTION("""COMPUTED_VALUE"""),"Resource")</f>
        <v/>
      </c>
      <c r="C299" s="6">
        <f>IFERROR(__xludf.DUMMYFUNCTION("""COMPUTED_VALUE"""),"tekst3.graasp")</f>
        <v/>
      </c>
      <c r="D299"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299" s="7">
        <f>IFERROR(__xludf.DUMMYFUNCTION("""COMPUTED_VALUE"""),"No artifact embedded")</f>
        <v/>
      </c>
      <c r="F299" s="7" t="inlineStr">
        <is>
          <t>Students investigate photosynthesis in aquarium plants via tasks and note-taking apps, with options for collaboration and teacher overview.</t>
        </is>
      </c>
      <c r="G299" s="8" t="inlineStr">
        <is>
          <t>0</t>
        </is>
      </c>
      <c r="H299" s="8" t="inlineStr">
        <is>
          <t>0</t>
        </is>
      </c>
      <c r="I299" s="8" t="inlineStr">
        <is>
          <t>0</t>
        </is>
      </c>
      <c r="J299" s="8" t="inlineStr">
        <is>
          <t>0</t>
        </is>
      </c>
      <c r="K299" s="9" t="inlineStr">
        <is>
          <t>1</t>
        </is>
      </c>
      <c r="L299" s="9" t="inlineStr">
        <is>
          <t>1</t>
        </is>
      </c>
      <c r="M299" s="9" t="inlineStr">
        <is>
          <t>0</t>
        </is>
      </c>
      <c r="N299" s="9" t="inlineStr">
        <is>
          <t>0</t>
        </is>
      </c>
      <c r="O299" s="10" t="inlineStr">
        <is>
          <t>0</t>
        </is>
      </c>
      <c r="P299" s="10" t="inlineStr">
        <is>
          <t>0</t>
        </is>
      </c>
      <c r="Q299" s="10" t="inlineStr">
        <is>
          <t>0</t>
        </is>
      </c>
      <c r="R299" s="10" t="inlineStr">
        <is>
          <t>0</t>
        </is>
      </c>
      <c r="S299" s="10" t="inlineStr">
        <is>
          <t>1</t>
        </is>
      </c>
    </row>
    <row r="300" ht="25" customHeight="1">
      <c r="A300" s="6">
        <f>IFERROR(__xludf.DUMMYFUNCTION("""COMPUTED_VALUE"""),"How do light and temperature affect photosynthesis in plants? - Version A")</f>
        <v/>
      </c>
      <c r="B300" s="6">
        <f>IFERROR(__xludf.DUMMYFUNCTION("""COMPUTED_VALUE"""),"Space")</f>
        <v/>
      </c>
      <c r="C300" s="6">
        <f>IFERROR(__xludf.DUMMYFUNCTION("""COMPUTED_VALUE"""),"Reflection")</f>
        <v/>
      </c>
      <c r="D300" s="7">
        <f>IFERROR(__xludf.DUMMYFUNCTION("""COMPUTED_VALUE"""),"No task description")</f>
        <v/>
      </c>
      <c r="E300" s="7">
        <f>IFERROR(__xludf.DUMMYFUNCTION("""COMPUTED_VALUE"""),"No artifact embedded")</f>
        <v/>
      </c>
      <c r="F300" s="7" t="inlineStr">
        <is>
          <t>Students investigate seasonal effects on photosynthesis and take notes using the Golabz app, then reflect on experiments.</t>
        </is>
      </c>
      <c r="G300" s="8" t="inlineStr">
        <is>
          <t>0</t>
        </is>
      </c>
      <c r="H300" s="8" t="inlineStr">
        <is>
          <t>0</t>
        </is>
      </c>
      <c r="I300" s="8" t="inlineStr">
        <is>
          <t>0</t>
        </is>
      </c>
      <c r="J300" s="8" t="inlineStr">
        <is>
          <t>0</t>
        </is>
      </c>
      <c r="K300" s="9" t="inlineStr">
        <is>
          <t>0</t>
        </is>
      </c>
      <c r="L300" s="9" t="inlineStr">
        <is>
          <t>0</t>
        </is>
      </c>
      <c r="M300" s="9" t="inlineStr">
        <is>
          <t>0</t>
        </is>
      </c>
      <c r="N300" s="9" t="inlineStr">
        <is>
          <t>0</t>
        </is>
      </c>
      <c r="O300" s="10" t="inlineStr">
        <is>
          <t>0</t>
        </is>
      </c>
      <c r="P300" s="10" t="inlineStr">
        <is>
          <t>0</t>
        </is>
      </c>
      <c r="Q300" s="10" t="inlineStr">
        <is>
          <t>0</t>
        </is>
      </c>
      <c r="R300" s="10" t="inlineStr">
        <is>
          <t>0</t>
        </is>
      </c>
      <c r="S300" s="10" t="inlineStr">
        <is>
          <t>0</t>
        </is>
      </c>
    </row>
    <row r="301" ht="73" customHeight="1">
      <c r="A301" s="6">
        <f>IFERROR(__xludf.DUMMYFUNCTION("""COMPUTED_VALUE"""),"How do light and temperature affect photosynthesis in plants? - Version A")</f>
        <v/>
      </c>
      <c r="B301" s="6">
        <f>IFERROR(__xludf.DUMMYFUNCTION("""COMPUTED_VALUE"""),"Resource")</f>
        <v/>
      </c>
      <c r="C301" s="6">
        <f>IFERROR(__xludf.DUMMYFUNCTION("""COMPUTED_VALUE"""),"text1.graasp")</f>
        <v/>
      </c>
      <c r="D301" s="7">
        <f>IFERROR(__xludf.DUMMYFUNCTION("""COMPUTED_VALUE"""),"&lt;p&gt;Think about your collaborative experience and anwer these questions:&lt;/p&gt;")</f>
        <v/>
      </c>
      <c r="E301" s="7">
        <f>IFERROR(__xludf.DUMMYFUNCTION("""COMPUTED_VALUE"""),"No artifact embedded")</f>
        <v/>
      </c>
      <c r="F301" s="7" t="inlineStr">
        <is>
          <t>Students were instructed to complete experiments, answer questions, and reflect. No artifacts were embedded in the items.</t>
        </is>
      </c>
      <c r="G301" s="8" t="inlineStr">
        <is>
          <t>0</t>
        </is>
      </c>
      <c r="H301" s="8" t="inlineStr">
        <is>
          <t>0</t>
        </is>
      </c>
      <c r="I301" s="8" t="inlineStr">
        <is>
          <t>1</t>
        </is>
      </c>
      <c r="J301" s="8" t="inlineStr">
        <is>
          <t>1</t>
        </is>
      </c>
      <c r="K301" s="9" t="inlineStr">
        <is>
          <t>0</t>
        </is>
      </c>
      <c r="L301" s="9" t="inlineStr">
        <is>
          <t>1</t>
        </is>
      </c>
      <c r="M301" s="9" t="inlineStr">
        <is>
          <t>0</t>
        </is>
      </c>
      <c r="N301" s="9" t="inlineStr">
        <is>
          <t>0</t>
        </is>
      </c>
      <c r="O301" s="10" t="inlineStr">
        <is>
          <t>0</t>
        </is>
      </c>
      <c r="P301" s="10" t="inlineStr">
        <is>
          <t>0</t>
        </is>
      </c>
      <c r="Q301" s="10" t="inlineStr">
        <is>
          <t>0</t>
        </is>
      </c>
      <c r="R301" s="10" t="inlineStr">
        <is>
          <t>0</t>
        </is>
      </c>
      <c r="S301" s="10" t="inlineStr">
        <is>
          <t>1</t>
        </is>
      </c>
    </row>
    <row r="302" ht="329" customHeight="1">
      <c r="A302" s="6">
        <f>IFERROR(__xludf.DUMMYFUNCTION("""COMPUTED_VALUE"""),"How do light and temperature affect photosynthesis in plants? - Version A")</f>
        <v/>
      </c>
      <c r="B302" s="6">
        <f>IFERROR(__xludf.DUMMYFUNCTION("""COMPUTED_VALUE"""),"Application")</f>
        <v/>
      </c>
      <c r="C302" s="6">
        <f>IFERROR(__xludf.DUMMYFUNCTION("""COMPUTED_VALUE"""),"Input Box")</f>
        <v/>
      </c>
      <c r="D302" s="7">
        <f>IFERROR(__xludf.DUMMYFUNCTION("""COMPUTED_VALUE"""),"&lt;p&gt;1. What was most difficult when working collaboratively? Why?&lt;/p&gt;")</f>
        <v/>
      </c>
      <c r="E3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2" s="7" t="inlineStr">
        <is>
          <t>Students were given tasks with questions about collaborative experiences. Some items had no embedded artifacts, while Item3 included a Golabz app/lab for note-taking and collaboration.</t>
        </is>
      </c>
      <c r="G302" s="8" t="inlineStr">
        <is>
          <t>0</t>
        </is>
      </c>
      <c r="H302" s="8" t="inlineStr">
        <is>
          <t>0</t>
        </is>
      </c>
      <c r="I302" s="8" t="inlineStr">
        <is>
          <t>1</t>
        </is>
      </c>
      <c r="J302" s="8" t="inlineStr">
        <is>
          <t>1</t>
        </is>
      </c>
      <c r="K302" s="9" t="inlineStr">
        <is>
          <t>0</t>
        </is>
      </c>
      <c r="L302" s="9" t="inlineStr">
        <is>
          <t>1</t>
        </is>
      </c>
      <c r="M302" s="9" t="inlineStr">
        <is>
          <t>0</t>
        </is>
      </c>
      <c r="N302" s="9" t="inlineStr">
        <is>
          <t>1</t>
        </is>
      </c>
      <c r="O302" s="10" t="inlineStr">
        <is>
          <t>0</t>
        </is>
      </c>
      <c r="P302" s="10" t="inlineStr">
        <is>
          <t>1</t>
        </is>
      </c>
      <c r="Q302" s="10" t="inlineStr">
        <is>
          <t>0</t>
        </is>
      </c>
      <c r="R302" s="10" t="inlineStr">
        <is>
          <t>0</t>
        </is>
      </c>
      <c r="S302" s="10" t="inlineStr">
        <is>
          <t>1</t>
        </is>
      </c>
    </row>
    <row r="303" ht="329" customHeight="1">
      <c r="A303" s="6">
        <f>IFERROR(__xludf.DUMMYFUNCTION("""COMPUTED_VALUE"""),"How do light and temperature affect photosynthesis in plants? - Version A")</f>
        <v/>
      </c>
      <c r="B303" s="6">
        <f>IFERROR(__xludf.DUMMYFUNCTION("""COMPUTED_VALUE"""),"Application")</f>
        <v/>
      </c>
      <c r="C303" s="6">
        <f>IFERROR(__xludf.DUMMYFUNCTION("""COMPUTED_VALUE"""),"Input Box (1)")</f>
        <v/>
      </c>
      <c r="D303" s="7">
        <f>IFERROR(__xludf.DUMMYFUNCTION("""COMPUTED_VALUE"""),"&lt;p&gt;2. What would you do differently next time you have to solve a similar collaborative task?&lt;/p&gt;")</f>
        <v/>
      </c>
      <c r="E3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3" s="7" t="inlineStr">
        <is>
          <t>Students answer questions about collaborative experiences. Embedded artifacts include a note-taking app with optional collaboration mode via Golabz and Graasp tools.</t>
        </is>
      </c>
      <c r="G303" s="8" t="inlineStr">
        <is>
          <t>0</t>
        </is>
      </c>
      <c r="H303" s="8" t="inlineStr">
        <is>
          <t>0</t>
        </is>
      </c>
      <c r="I303" s="8" t="inlineStr">
        <is>
          <t>1</t>
        </is>
      </c>
      <c r="J303" s="8" t="inlineStr">
        <is>
          <t>1</t>
        </is>
      </c>
      <c r="K303" s="9" t="inlineStr">
        <is>
          <t>1</t>
        </is>
      </c>
      <c r="L303" s="9" t="inlineStr">
        <is>
          <t>1</t>
        </is>
      </c>
      <c r="M303" s="9" t="inlineStr">
        <is>
          <t>0</t>
        </is>
      </c>
      <c r="N303" s="9" t="inlineStr">
        <is>
          <t>0</t>
        </is>
      </c>
      <c r="O303" s="10" t="inlineStr">
        <is>
          <t>0</t>
        </is>
      </c>
      <c r="P303" s="10" t="inlineStr">
        <is>
          <t>0</t>
        </is>
      </c>
      <c r="Q303" s="10" t="inlineStr">
        <is>
          <t>0</t>
        </is>
      </c>
      <c r="R303" s="10" t="inlineStr">
        <is>
          <t>0</t>
        </is>
      </c>
      <c r="S303" s="10" t="inlineStr">
        <is>
          <t>1</t>
        </is>
      </c>
    </row>
    <row r="304" ht="85" customHeight="1">
      <c r="A304" s="6">
        <f>IFERROR(__xludf.DUMMYFUNCTION("""COMPUTED_VALUE"""),"How do light and temperature affect photosynthesis in plants? - Version A")</f>
        <v/>
      </c>
      <c r="B304" s="6">
        <f>IFERROR(__xludf.DUMMYFUNCTION("""COMPUTED_VALUE"""),"Resource")</f>
        <v/>
      </c>
      <c r="C304" s="6">
        <f>IFERROR(__xludf.DUMMYFUNCTION("""COMPUTED_VALUE"""),"text2.graasp")</f>
        <v/>
      </c>
      <c r="D304" s="7">
        <f>IFERROR(__xludf.DUMMYFUNCTION("""COMPUTED_VALUE"""),"&lt;p&gt;After both of the questions you can continue to the next phase called &lt;strong&gt;Predict&lt;/strong&gt;.&lt;/p&gt;")</f>
        <v/>
      </c>
      <c r="E304" s="7">
        <f>IFERROR(__xludf.DUMMYFUNCTION("""COMPUTED_VALUE"""),"No artifact embedded")</f>
        <v/>
      </c>
      <c r="F304" s="7" t="inlineStr">
        <is>
          <t>Students answer collaborative task difficulties and improvements. Embedded artifacts include Golabz app/lab for note-taking and collaboration overview.</t>
        </is>
      </c>
      <c r="G304" s="8" t="inlineStr">
        <is>
          <t>0</t>
        </is>
      </c>
      <c r="H304" s="8" t="inlineStr">
        <is>
          <t>0</t>
        </is>
      </c>
      <c r="I304" s="8" t="inlineStr">
        <is>
          <t>0</t>
        </is>
      </c>
      <c r="J304" s="8" t="inlineStr">
        <is>
          <t>0</t>
        </is>
      </c>
      <c r="K304" s="9" t="inlineStr">
        <is>
          <t>1</t>
        </is>
      </c>
      <c r="L304" s="9" t="inlineStr">
        <is>
          <t>0</t>
        </is>
      </c>
      <c r="M304" s="9" t="inlineStr">
        <is>
          <t>0</t>
        </is>
      </c>
      <c r="N304" s="9" t="inlineStr">
        <is>
          <t>0</t>
        </is>
      </c>
      <c r="O304" s="10" t="inlineStr">
        <is>
          <t>0</t>
        </is>
      </c>
      <c r="P304" s="10" t="inlineStr">
        <is>
          <t>0</t>
        </is>
      </c>
      <c r="Q304" s="10" t="inlineStr">
        <is>
          <t>0</t>
        </is>
      </c>
      <c r="R304" s="10" t="inlineStr">
        <is>
          <t>0</t>
        </is>
      </c>
      <c r="S304" s="10" t="inlineStr">
        <is>
          <t>0</t>
        </is>
      </c>
    </row>
    <row r="305" ht="25" customHeight="1">
      <c r="A305" s="6">
        <f>IFERROR(__xludf.DUMMYFUNCTION("""COMPUTED_VALUE"""),"How do light and temperature affect photosynthesis in plants? - Version A")</f>
        <v/>
      </c>
      <c r="B305" s="6">
        <f>IFERROR(__xludf.DUMMYFUNCTION("""COMPUTED_VALUE"""),"Space")</f>
        <v/>
      </c>
      <c r="C305" s="6">
        <f>IFERROR(__xludf.DUMMYFUNCTION("""COMPUTED_VALUE"""),"Predict")</f>
        <v/>
      </c>
      <c r="D305" s="7">
        <f>IFERROR(__xludf.DUMMYFUNCTION("""COMPUTED_VALUE"""),"No task description")</f>
        <v/>
      </c>
      <c r="E305" s="7">
        <f>IFERROR(__xludf.DUMMYFUNCTION("""COMPUTED_VALUE"""),"No artifact embedded")</f>
        <v/>
      </c>
      <c r="F305" s="7" t="inlineStr">
        <is>
          <t>Students reflect on collaborative tasks and use Golabz app/lab for note-taking, with optional collaboration mode.</t>
        </is>
      </c>
      <c r="G305" s="8" t="inlineStr">
        <is>
          <t>0</t>
        </is>
      </c>
      <c r="H305" s="8" t="inlineStr">
        <is>
          <t>0</t>
        </is>
      </c>
      <c r="I305" s="8" t="inlineStr">
        <is>
          <t>0</t>
        </is>
      </c>
      <c r="J305" s="8" t="inlineStr">
        <is>
          <t>0</t>
        </is>
      </c>
      <c r="K305" s="9" t="inlineStr">
        <is>
          <t>0</t>
        </is>
      </c>
      <c r="L305" s="9" t="inlineStr">
        <is>
          <t>0</t>
        </is>
      </c>
      <c r="M305" s="9" t="inlineStr">
        <is>
          <t>0</t>
        </is>
      </c>
      <c r="N305" s="9" t="inlineStr">
        <is>
          <t>0</t>
        </is>
      </c>
      <c r="O305" s="10" t="inlineStr">
        <is>
          <t>0</t>
        </is>
      </c>
      <c r="P305" s="10" t="inlineStr">
        <is>
          <t>0</t>
        </is>
      </c>
      <c r="Q305" s="10" t="inlineStr">
        <is>
          <t>0</t>
        </is>
      </c>
      <c r="R305" s="10" t="inlineStr">
        <is>
          <t>0</t>
        </is>
      </c>
      <c r="S305" s="10" t="inlineStr">
        <is>
          <t>0</t>
        </is>
      </c>
    </row>
    <row r="306" ht="133" customHeight="1">
      <c r="A306" s="6">
        <f>IFERROR(__xludf.DUMMYFUNCTION("""COMPUTED_VALUE"""),"How do light and temperature affect photosynthesis in plants? - Version A")</f>
        <v/>
      </c>
      <c r="B306" s="6">
        <f>IFERROR(__xludf.DUMMYFUNCTION("""COMPUTED_VALUE"""),"Resource")</f>
        <v/>
      </c>
      <c r="C306" s="6">
        <f>IFERROR(__xludf.DUMMYFUNCTION("""COMPUTED_VALUE"""),"tekst3.graasp")</f>
        <v/>
      </c>
      <c r="D306" s="7">
        <f>IFERROR(__xludf.DUMMYFUNCTION("""COMPUTED_VALUE"""),"&lt;p&gt;&lt;strong&gt;Good job!&lt;/strong&gt; You have completed the first half of this lesson. After answering the two questions below, you will begin with a new experiment.&lt;/p&gt;")</f>
        <v/>
      </c>
      <c r="E306" s="7">
        <f>IFERROR(__xludf.DUMMYFUNCTION("""COMPUTED_VALUE"""),"No artifact embedded")</f>
        <v/>
      </c>
      <c r="F306" s="7" t="inlineStr">
        <is>
          <t>Students proceed after answering questions to next phases, such as "Predict". No artifacts are embedded in any items.</t>
        </is>
      </c>
      <c r="G306" s="8" t="inlineStr">
        <is>
          <t>0</t>
        </is>
      </c>
      <c r="H306" s="8" t="inlineStr">
        <is>
          <t>0</t>
        </is>
      </c>
      <c r="I306" s="8" t="inlineStr">
        <is>
          <t>0</t>
        </is>
      </c>
      <c r="J306" s="8" t="inlineStr">
        <is>
          <t>1</t>
        </is>
      </c>
      <c r="K306" s="9" t="inlineStr">
        <is>
          <t>1</t>
        </is>
      </c>
      <c r="L306" s="9" t="inlineStr">
        <is>
          <t>1</t>
        </is>
      </c>
      <c r="M306" s="9" t="inlineStr">
        <is>
          <t>0</t>
        </is>
      </c>
      <c r="N306" s="9" t="inlineStr">
        <is>
          <t>0</t>
        </is>
      </c>
      <c r="O306" s="10" t="inlineStr">
        <is>
          <t>0</t>
        </is>
      </c>
      <c r="P306" s="10" t="inlineStr">
        <is>
          <t>0</t>
        </is>
      </c>
      <c r="Q306" s="10" t="inlineStr">
        <is>
          <t>0</t>
        </is>
      </c>
      <c r="R306" s="10" t="inlineStr">
        <is>
          <t>0</t>
        </is>
      </c>
      <c r="S306" s="10" t="inlineStr">
        <is>
          <t>0</t>
        </is>
      </c>
    </row>
    <row r="307" ht="296" customHeight="1">
      <c r="A307" s="6">
        <f>IFERROR(__xludf.DUMMYFUNCTION("""COMPUTED_VALUE"""),"How do light and temperature affect photosynthesis in plants? - Version A")</f>
        <v/>
      </c>
      <c r="B307" s="6">
        <f>IFERROR(__xludf.DUMMYFUNCTION("""COMPUTED_VALUE"""),"Application")</f>
        <v/>
      </c>
      <c r="C307" s="6">
        <f>IFERROR(__xludf.DUMMYFUNCTION("""COMPUTED_VALUE"""),"Quiz Tool")</f>
        <v/>
      </c>
      <c r="D307" s="7">
        <f>IFERROR(__xludf.DUMMYFUNCTION("""COMPUTED_VALUE"""),"No task description")</f>
        <v/>
      </c>
      <c r="E3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307" s="7" t="inlineStr">
        <is>
          <t>Students receive minimal instructions. Items 1 and 3 lack task descriptions, while Item 2 congratulates students on completing half the lesson. Embedded artifacts are mostly absent, except for a Golabz app/lab description in Item 3.</t>
        </is>
      </c>
      <c r="G307" s="8" t="inlineStr">
        <is>
          <t>1</t>
        </is>
      </c>
      <c r="H307" s="8" t="inlineStr">
        <is>
          <t>1</t>
        </is>
      </c>
      <c r="I307" s="8" t="inlineStr">
        <is>
          <t>1</t>
        </is>
      </c>
      <c r="J307" s="8" t="inlineStr">
        <is>
          <t>0</t>
        </is>
      </c>
      <c r="K307" s="9" t="inlineStr">
        <is>
          <t>1</t>
        </is>
      </c>
      <c r="L307" s="9" t="inlineStr">
        <is>
          <t>1</t>
        </is>
      </c>
      <c r="M307" s="9" t="inlineStr">
        <is>
          <t>0</t>
        </is>
      </c>
      <c r="N307" s="9" t="inlineStr">
        <is>
          <t>0</t>
        </is>
      </c>
      <c r="O307" s="10" t="inlineStr">
        <is>
          <t>0</t>
        </is>
      </c>
      <c r="P307" s="10" t="inlineStr">
        <is>
          <t>0</t>
        </is>
      </c>
      <c r="Q307" s="10" t="inlineStr">
        <is>
          <t>0</t>
        </is>
      </c>
      <c r="R307" s="10" t="inlineStr">
        <is>
          <t>0</t>
        </is>
      </c>
      <c r="S307" s="10" t="inlineStr">
        <is>
          <t>0</t>
        </is>
      </c>
    </row>
    <row r="308" ht="409.5" customHeight="1">
      <c r="A308" s="6">
        <f>IFERROR(__xludf.DUMMYFUNCTION("""COMPUTED_VALUE"""),"How do light and temperature affect photosynthesis in plants? - Version A")</f>
        <v/>
      </c>
      <c r="B308" s="6">
        <f>IFERROR(__xludf.DUMMYFUNCTION("""COMPUTED_VALUE"""),"Resource")</f>
        <v/>
      </c>
      <c r="C308" s="6">
        <f>IFERROR(__xludf.DUMMYFUNCTION("""COMPUTED_VALUE"""),"tekst1.graasp")</f>
        <v/>
      </c>
      <c r="D308"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308" s="7">
        <f>IFERROR(__xludf.DUMMYFUNCTION("""COMPUTED_VALUE"""),"No artifact embedded")</f>
        <v/>
      </c>
      <c r="F308" s="7" t="inlineStr">
        <is>
          <t>Students receive task instructions and interact with embedded artifacts, including a quiz app and scratchpad tool.</t>
        </is>
      </c>
      <c r="G308" s="8" t="inlineStr">
        <is>
          <t>0</t>
        </is>
      </c>
      <c r="H308" s="8" t="inlineStr">
        <is>
          <t>1</t>
        </is>
      </c>
      <c r="I308" s="8" t="inlineStr">
        <is>
          <t>1</t>
        </is>
      </c>
      <c r="J308" s="8" t="inlineStr">
        <is>
          <t>1</t>
        </is>
      </c>
      <c r="K308" s="9" t="inlineStr">
        <is>
          <t>0</t>
        </is>
      </c>
      <c r="L308" s="9" t="inlineStr">
        <is>
          <t>1</t>
        </is>
      </c>
      <c r="M308" s="9" t="inlineStr">
        <is>
          <t>0</t>
        </is>
      </c>
      <c r="N308" s="9" t="inlineStr">
        <is>
          <t>0</t>
        </is>
      </c>
      <c r="O308" s="10" t="inlineStr">
        <is>
          <t>1</t>
        </is>
      </c>
      <c r="P308" s="10" t="inlineStr">
        <is>
          <t>1</t>
        </is>
      </c>
      <c r="Q308" s="10" t="inlineStr">
        <is>
          <t>1</t>
        </is>
      </c>
      <c r="R308" s="10" t="inlineStr">
        <is>
          <t>0</t>
        </is>
      </c>
      <c r="S308" s="10" t="inlineStr">
        <is>
          <t>0</t>
        </is>
      </c>
    </row>
    <row r="309" ht="409.5" customHeight="1">
      <c r="A309" s="6">
        <f>IFERROR(__xludf.DUMMYFUNCTION("""COMPUTED_VALUE"""),"How do light and temperature affect photosynthesis in plants? - Version A")</f>
        <v/>
      </c>
      <c r="B309" s="6">
        <f>IFERROR(__xludf.DUMMYFUNCTION("""COMPUTED_VALUE"""),"Application")</f>
        <v/>
      </c>
      <c r="C309" s="6">
        <f>IFERROR(__xludf.DUMMYFUNCTION("""COMPUTED_VALUE"""),"Hypothesis Scratchpad")</f>
        <v/>
      </c>
      <c r="D309" s="7">
        <f>IFERROR(__xludf.DUMMYFUNCTION("""COMPUTED_VALUE"""),"No task description")</f>
        <v/>
      </c>
      <c r="E30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09" s="7" t="inlineStr">
        <is>
          <t>Students receive tasks and interact with Golabz apps, including quiz and hypothesis scratchpad tools, with some tasks requiring individual work and hypothesis formulation based on research questions.</t>
        </is>
      </c>
      <c r="G309" s="8" t="inlineStr">
        <is>
          <t>0</t>
        </is>
      </c>
      <c r="H309" s="8" t="inlineStr">
        <is>
          <t>1</t>
        </is>
      </c>
      <c r="I309" s="8" t="inlineStr">
        <is>
          <t>1</t>
        </is>
      </c>
      <c r="J309" s="8" t="inlineStr">
        <is>
          <t>0</t>
        </is>
      </c>
      <c r="K309" s="9" t="inlineStr">
        <is>
          <t>0</t>
        </is>
      </c>
      <c r="L309" s="9" t="inlineStr">
        <is>
          <t>1</t>
        </is>
      </c>
      <c r="M309" s="9" t="inlineStr">
        <is>
          <t>0</t>
        </is>
      </c>
      <c r="N309" s="9" t="inlineStr">
        <is>
          <t>1</t>
        </is>
      </c>
      <c r="O309" s="10" t="inlineStr">
        <is>
          <t>0</t>
        </is>
      </c>
      <c r="P309" s="10" t="inlineStr">
        <is>
          <t>1</t>
        </is>
      </c>
      <c r="Q309" s="10" t="inlineStr">
        <is>
          <t>1</t>
        </is>
      </c>
      <c r="R309" s="10" t="inlineStr">
        <is>
          <t>0</t>
        </is>
      </c>
      <c r="S309" s="10" t="inlineStr">
        <is>
          <t>0</t>
        </is>
      </c>
    </row>
    <row r="310" ht="157" customHeight="1">
      <c r="A310" s="6">
        <f>IFERROR(__xludf.DUMMYFUNCTION("""COMPUTED_VALUE"""),"How do light and temperature affect photosynthesis in plants? - Version A")</f>
        <v/>
      </c>
      <c r="B310" s="6">
        <f>IFERROR(__xludf.DUMMYFUNCTION("""COMPUTED_VALUE"""),"Resource")</f>
        <v/>
      </c>
      <c r="C310" s="6">
        <f>IFERROR(__xludf.DUMMYFUNCTION("""COMPUTED_VALUE"""),"tekst2.graasp")</f>
        <v/>
      </c>
      <c r="D310" s="7">
        <f>IFERROR(__xludf.DUMMYFUNCTION("""COMPUTED_VALUE"""),"&lt;p&gt;When you finished making your prediction (hypothesis) click on the tab &lt;strong&gt;Investigate&lt;/strong&gt; in the top of your screen.&lt;br&gt;&lt;/p&gt;&lt;p&gt;&lt;br&gt;&lt;/p&gt;&lt;p&gt;&lt;br&gt;&lt;/p&gt;&lt;p&gt;&lt;br&gt;&lt;/p&gt;&lt;p&gt;&lt;br&gt;&lt;/p&gt;")</f>
        <v/>
      </c>
      <c r="E310" s="7">
        <f>IFERROR(__xludf.DUMMYFUNCTION("""COMPUTED_VALUE"""),"No artifact embedded")</f>
        <v/>
      </c>
      <c r="F310" s="7" t="inlineStr">
        <is>
          <t>Students predict how photosynthesis depends on temperature, then investigate using a scratchpad tool to formulate a hypothesis. The Golabz app/lab's Hypothesis Scratchpad is used.</t>
        </is>
      </c>
      <c r="G310" s="8" t="inlineStr">
        <is>
          <t>0</t>
        </is>
      </c>
      <c r="H310" s="8" t="inlineStr">
        <is>
          <t>0</t>
        </is>
      </c>
      <c r="I310" s="8" t="inlineStr">
        <is>
          <t>0</t>
        </is>
      </c>
      <c r="J310" s="8" t="inlineStr">
        <is>
          <t>0</t>
        </is>
      </c>
      <c r="K310" s="9" t="inlineStr">
        <is>
          <t>1</t>
        </is>
      </c>
      <c r="L310" s="9" t="inlineStr">
        <is>
          <t>0</t>
        </is>
      </c>
      <c r="M310" s="9" t="inlineStr">
        <is>
          <t>0</t>
        </is>
      </c>
      <c r="N310" s="9" t="inlineStr">
        <is>
          <t>0</t>
        </is>
      </c>
      <c r="O310" s="10" t="inlineStr">
        <is>
          <t>0</t>
        </is>
      </c>
      <c r="P310" s="10" t="inlineStr">
        <is>
          <t>0</t>
        </is>
      </c>
      <c r="Q310" s="10" t="inlineStr">
        <is>
          <t>0</t>
        </is>
      </c>
      <c r="R310" s="10" t="inlineStr">
        <is>
          <t>0</t>
        </is>
      </c>
      <c r="S310" s="10" t="inlineStr">
        <is>
          <t>0</t>
        </is>
      </c>
    </row>
    <row r="311" ht="25" customHeight="1">
      <c r="A311" s="6">
        <f>IFERROR(__xludf.DUMMYFUNCTION("""COMPUTED_VALUE"""),"How do light and temperature affect photosynthesis in plants? - Version A")</f>
        <v/>
      </c>
      <c r="B311" s="6">
        <f>IFERROR(__xludf.DUMMYFUNCTION("""COMPUTED_VALUE"""),"Space")</f>
        <v/>
      </c>
      <c r="C311" s="6">
        <f>IFERROR(__xludf.DUMMYFUNCTION("""COMPUTED_VALUE"""),"Investigation")</f>
        <v/>
      </c>
      <c r="D311" s="7">
        <f>IFERROR(__xludf.DUMMYFUNCTION("""COMPUTED_VALUE"""),"No task description")</f>
        <v/>
      </c>
      <c r="E311" s="7">
        <f>IFERROR(__xludf.DUMMYFUNCTION("""COMPUTED_VALUE"""),"No artifact embedded")</f>
        <v/>
      </c>
      <c r="F311" s="7" t="inlineStr">
        <is>
          <t>Students use the Hypothesis Scratchpad to formulate hypotheses. Tasks include making predictions and clicking the "Investigate" tab.</t>
        </is>
      </c>
      <c r="G311" s="8" t="inlineStr">
        <is>
          <t>0</t>
        </is>
      </c>
      <c r="H311" s="8" t="inlineStr">
        <is>
          <t>0</t>
        </is>
      </c>
      <c r="I311" s="8" t="inlineStr">
        <is>
          <t>0</t>
        </is>
      </c>
      <c r="J311" s="8" t="inlineStr">
        <is>
          <t>0</t>
        </is>
      </c>
      <c r="K311" s="9" t="inlineStr">
        <is>
          <t>0</t>
        </is>
      </c>
      <c r="L311" s="9" t="inlineStr">
        <is>
          <t>0</t>
        </is>
      </c>
      <c r="M311" s="9" t="inlineStr">
        <is>
          <t>0</t>
        </is>
      </c>
      <c r="N311" s="9" t="inlineStr">
        <is>
          <t>0</t>
        </is>
      </c>
      <c r="O311" s="10" t="inlineStr">
        <is>
          <t>0</t>
        </is>
      </c>
      <c r="P311" s="10" t="inlineStr">
        <is>
          <t>0</t>
        </is>
      </c>
      <c r="Q311" s="10" t="inlineStr">
        <is>
          <t>0</t>
        </is>
      </c>
      <c r="R311" s="10" t="inlineStr">
        <is>
          <t>0</t>
        </is>
      </c>
      <c r="S311" s="10" t="inlineStr">
        <is>
          <t>0</t>
        </is>
      </c>
    </row>
    <row r="312" ht="285" customHeight="1">
      <c r="A312" s="6">
        <f>IFERROR(__xludf.DUMMYFUNCTION("""COMPUTED_VALUE"""),"How do light and temperature affect photosynthesis in plants? - Version A")</f>
        <v/>
      </c>
      <c r="B312" s="6">
        <f>IFERROR(__xludf.DUMMYFUNCTION("""COMPUTED_VALUE"""),"Resource")</f>
        <v/>
      </c>
      <c r="C312" s="6">
        <f>IFERROR(__xludf.DUMMYFUNCTION("""COMPUTED_VALUE"""),"Vaatluste selgitus.graasp")</f>
        <v/>
      </c>
      <c r="D312"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312" s="7">
        <f>IFERROR(__xludf.DUMMYFUNCTION("""COMPUTED_VALUE"""),"No artifact embedded")</f>
        <v/>
      </c>
      <c r="F312" s="7" t="inlineStr">
        <is>
          <t>Students are instructed to test predictions, conduct experiments, and record results. No artifacts are embedded in Items 1-3.</t>
        </is>
      </c>
      <c r="G312" s="8" t="inlineStr">
        <is>
          <t>0</t>
        </is>
      </c>
      <c r="H312" s="8" t="inlineStr">
        <is>
          <t>1</t>
        </is>
      </c>
      <c r="I312" s="8" t="inlineStr">
        <is>
          <t>1</t>
        </is>
      </c>
      <c r="J312" s="8" t="inlineStr">
        <is>
          <t>1</t>
        </is>
      </c>
      <c r="K312" s="9" t="inlineStr">
        <is>
          <t>0</t>
        </is>
      </c>
      <c r="L312" s="9" t="inlineStr">
        <is>
          <t>1</t>
        </is>
      </c>
      <c r="M312" s="9" t="inlineStr">
        <is>
          <t>0</t>
        </is>
      </c>
      <c r="N312" s="9" t="inlineStr">
        <is>
          <t>0</t>
        </is>
      </c>
      <c r="O312" s="10" t="inlineStr">
        <is>
          <t>0</t>
        </is>
      </c>
      <c r="P312" s="10" t="inlineStr">
        <is>
          <t>0</t>
        </is>
      </c>
      <c r="Q312" s="10" t="inlineStr">
        <is>
          <t>1</t>
        </is>
      </c>
      <c r="R312" s="10" t="inlineStr">
        <is>
          <t>0</t>
        </is>
      </c>
      <c r="S312" s="10" t="inlineStr">
        <is>
          <t>0</t>
        </is>
      </c>
    </row>
    <row r="313" ht="351" customHeight="1">
      <c r="A313" s="6">
        <f>IFERROR(__xludf.DUMMYFUNCTION("""COMPUTED_VALUE"""),"How do light and temperature affect photosynthesis in plants? - Version A")</f>
        <v/>
      </c>
      <c r="B313" s="6">
        <f>IFERROR(__xludf.DUMMYFUNCTION("""COMPUTED_VALUE"""),"Application")</f>
        <v/>
      </c>
      <c r="C313" s="6">
        <f>IFERROR(__xludf.DUMMYFUNCTION("""COMPUTED_VALUE"""),"Viewer")</f>
        <v/>
      </c>
      <c r="D313" s="7">
        <f>IFERROR(__xludf.DUMMYFUNCTION("""COMPUTED_VALUE"""),"No task description")</f>
        <v/>
      </c>
      <c r="E313"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313" s="7" t="inlineStr">
        <is>
          <t>Students test hypotheses on photosynthesis via simulation, recording results with "Observation" tool. Embedded artifacts include Golabz app/lab viewer.</t>
        </is>
      </c>
      <c r="G313" s="8" t="inlineStr">
        <is>
          <t>1</t>
        </is>
      </c>
      <c r="H313" s="8" t="inlineStr">
        <is>
          <t>1</t>
        </is>
      </c>
      <c r="I313" s="8" t="inlineStr">
        <is>
          <t>1</t>
        </is>
      </c>
      <c r="J313" s="8" t="inlineStr">
        <is>
          <t>0</t>
        </is>
      </c>
      <c r="K313" s="9" t="inlineStr">
        <is>
          <t>1</t>
        </is>
      </c>
      <c r="L313" s="9" t="inlineStr">
        <is>
          <t>1</t>
        </is>
      </c>
      <c r="M313" s="9" t="inlineStr">
        <is>
          <t>0</t>
        </is>
      </c>
      <c r="N313" s="9" t="inlineStr">
        <is>
          <t>0</t>
        </is>
      </c>
      <c r="O313" s="10" t="inlineStr">
        <is>
          <t>0</t>
        </is>
      </c>
      <c r="P313" s="10" t="inlineStr">
        <is>
          <t>1</t>
        </is>
      </c>
      <c r="Q313" s="10" t="inlineStr">
        <is>
          <t>0</t>
        </is>
      </c>
      <c r="R313" s="10" t="inlineStr">
        <is>
          <t>0</t>
        </is>
      </c>
      <c r="S313" s="10" t="inlineStr">
        <is>
          <t>0</t>
        </is>
      </c>
    </row>
    <row r="314" ht="409.5" customHeight="1">
      <c r="A314" s="6">
        <f>IFERROR(__xludf.DUMMYFUNCTION("""COMPUTED_VALUE"""),"How do light and temperature affect photosynthesis in plants? - Version A")</f>
        <v/>
      </c>
      <c r="B314" s="6">
        <f>IFERROR(__xludf.DUMMYFUNCTION("""COMPUTED_VALUE"""),"Application")</f>
        <v/>
      </c>
      <c r="C314" s="6">
        <f>IFERROR(__xludf.DUMMYFUNCTION("""COMPUTED_VALUE"""),"Rate of Photosynthesis Lab (HTML5)")</f>
        <v/>
      </c>
      <c r="D314" s="7">
        <f>IFERROR(__xludf.DUMMYFUNCTION("""COMPUTED_VALUE"""),"No task description")</f>
        <v/>
      </c>
      <c r="E314"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314" s="7" t="inlineStr">
        <is>
          <t>Students test hypotheses on photosynthesis, recording results with the "Observation" tool. Embedded artifacts include Golabz apps and labs simulating plant experiments.</t>
        </is>
      </c>
      <c r="G314" s="8" t="inlineStr">
        <is>
          <t>0</t>
        </is>
      </c>
      <c r="H314" s="8" t="inlineStr">
        <is>
          <t>1</t>
        </is>
      </c>
      <c r="I314" s="8" t="inlineStr">
        <is>
          <t>0</t>
        </is>
      </c>
      <c r="J314" s="8" t="inlineStr">
        <is>
          <t>1</t>
        </is>
      </c>
      <c r="K314" s="9" t="inlineStr">
        <is>
          <t>1</t>
        </is>
      </c>
      <c r="L314" s="9" t="inlineStr">
        <is>
          <t>0</t>
        </is>
      </c>
      <c r="M314" s="9" t="inlineStr">
        <is>
          <t>0</t>
        </is>
      </c>
      <c r="N314" s="9" t="inlineStr">
        <is>
          <t>0</t>
        </is>
      </c>
      <c r="O314" s="10" t="inlineStr">
        <is>
          <t>1</t>
        </is>
      </c>
      <c r="P314" s="10" t="inlineStr">
        <is>
          <t>0</t>
        </is>
      </c>
      <c r="Q314" s="10" t="inlineStr">
        <is>
          <t>1</t>
        </is>
      </c>
      <c r="R314" s="10" t="inlineStr">
        <is>
          <t>0</t>
        </is>
      </c>
      <c r="S314" s="10" t="inlineStr">
        <is>
          <t>0</t>
        </is>
      </c>
    </row>
    <row r="315" ht="263" customHeight="1">
      <c r="A315" s="6">
        <f>IFERROR(__xludf.DUMMYFUNCTION("""COMPUTED_VALUE"""),"How do light and temperature affect photosynthesis in plants? - Version A")</f>
        <v/>
      </c>
      <c r="B315" s="6">
        <f>IFERROR(__xludf.DUMMYFUNCTION("""COMPUTED_VALUE"""),"Resource")</f>
        <v/>
      </c>
      <c r="C315" s="6">
        <f>IFERROR(__xludf.DUMMYFUNCTION("""COMPUTED_VALUE"""),"Vaatluste selgitus 2.graasp")</f>
        <v/>
      </c>
      <c r="D315"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315" s="7">
        <f>IFERROR(__xludf.DUMMYFUNCTION("""COMPUTED_VALUE"""),"No artifact embedded")</f>
        <v/>
      </c>
      <c r="F315" s="7" t="inlineStr">
        <is>
          <t>Students have no task description for Items 1 and 2, but Item 3 instructs them to collect data. Embedded artifacts include Golabz apps for concept mapping and photosynthesis experiments.</t>
        </is>
      </c>
      <c r="G315" s="8" t="inlineStr">
        <is>
          <t>0</t>
        </is>
      </c>
      <c r="H315" s="8" t="inlineStr">
        <is>
          <t>1</t>
        </is>
      </c>
      <c r="I315" s="8" t="inlineStr">
        <is>
          <t>1</t>
        </is>
      </c>
      <c r="J315" s="8" t="inlineStr">
        <is>
          <t>1</t>
        </is>
      </c>
      <c r="K315" s="9" t="inlineStr">
        <is>
          <t>0</t>
        </is>
      </c>
      <c r="L315" s="9" t="inlineStr">
        <is>
          <t>1</t>
        </is>
      </c>
      <c r="M315" s="9" t="inlineStr">
        <is>
          <t>0</t>
        </is>
      </c>
      <c r="N315" s="9" t="inlineStr">
        <is>
          <t>0</t>
        </is>
      </c>
      <c r="O315" s="10" t="inlineStr">
        <is>
          <t>0</t>
        </is>
      </c>
      <c r="P315" s="10" t="inlineStr">
        <is>
          <t>0</t>
        </is>
      </c>
      <c r="Q315" s="10" t="inlineStr">
        <is>
          <t>1</t>
        </is>
      </c>
      <c r="R315" s="10" t="inlineStr">
        <is>
          <t>1</t>
        </is>
      </c>
      <c r="S315" s="10" t="inlineStr">
        <is>
          <t>0</t>
        </is>
      </c>
    </row>
    <row r="316" ht="395" customHeight="1">
      <c r="A316" s="6">
        <f>IFERROR(__xludf.DUMMYFUNCTION("""COMPUTED_VALUE"""),"How do light and temperature affect photosynthesis in plants? - Version A")</f>
        <v/>
      </c>
      <c r="B316" s="6">
        <f>IFERROR(__xludf.DUMMYFUNCTION("""COMPUTED_VALUE"""),"Application")</f>
        <v/>
      </c>
      <c r="C316" s="6">
        <f>IFERROR(__xludf.DUMMYFUNCTION("""COMPUTED_VALUE"""),"Observation Tool")</f>
        <v/>
      </c>
      <c r="D316" s="7">
        <f>IFERROR(__xludf.DUMMYFUNCTION("""COMPUTED_VALUE"""),"No task description")</f>
        <v/>
      </c>
      <c r="E316"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16" s="7" t="inlineStr">
        <is>
          <t>Students were instructed to collect data and write results using the Observation tool to test their hypothesis. Embedded artifacts include Golabz apps: Photolab and Observation tool.</t>
        </is>
      </c>
      <c r="G316" s="8" t="inlineStr">
        <is>
          <t>0</t>
        </is>
      </c>
      <c r="H316" s="8" t="inlineStr">
        <is>
          <t>1</t>
        </is>
      </c>
      <c r="I316" s="8" t="inlineStr">
        <is>
          <t>1</t>
        </is>
      </c>
      <c r="J316" s="8" t="inlineStr">
        <is>
          <t>1</t>
        </is>
      </c>
      <c r="K316" s="9" t="inlineStr">
        <is>
          <t>0</t>
        </is>
      </c>
      <c r="L316" s="9" t="inlineStr">
        <is>
          <t>1</t>
        </is>
      </c>
      <c r="M316" s="9" t="inlineStr">
        <is>
          <t>1</t>
        </is>
      </c>
      <c r="N316" s="9" t="inlineStr">
        <is>
          <t>1</t>
        </is>
      </c>
      <c r="O316" s="10" t="inlineStr">
        <is>
          <t>0</t>
        </is>
      </c>
      <c r="P316" s="10" t="inlineStr">
        <is>
          <t>0</t>
        </is>
      </c>
      <c r="Q316" s="10" t="inlineStr">
        <is>
          <t>1</t>
        </is>
      </c>
      <c r="R316" s="10" t="inlineStr">
        <is>
          <t>1</t>
        </is>
      </c>
      <c r="S316" s="10" t="inlineStr">
        <is>
          <t>1</t>
        </is>
      </c>
    </row>
    <row r="317" ht="169" customHeight="1">
      <c r="A317" s="6">
        <f>IFERROR(__xludf.DUMMYFUNCTION("""COMPUTED_VALUE"""),"How do light and temperature affect photosynthesis in plants? - Version A")</f>
        <v/>
      </c>
      <c r="B317" s="6">
        <f>IFERROR(__xludf.DUMMYFUNCTION("""COMPUTED_VALUE"""),"Resource")</f>
        <v/>
      </c>
      <c r="C317" s="6">
        <f>IFERROR(__xludf.DUMMYFUNCTION("""COMPUTED_VALUE"""),"Vaatlused edasi.graasp")</f>
        <v/>
      </c>
      <c r="D317" s="7">
        <f>IFERROR(__xludf.DUMMYFUNCTION("""COMPUTED_VALUE"""),"&lt;p&gt;When you have collected enough information to address your hypothesis, click on the tab &lt;strong&gt;Conclusion&lt;/strong&gt; on the top of your screen.&lt;/p&gt;&lt;p&gt;&lt;br&gt;&lt;/p&gt;&lt;p&gt;&lt;br&gt;&lt;/p&gt;&lt;p&gt;&lt;br&gt;&lt;/p&gt;")</f>
        <v/>
      </c>
      <c r="E317" s="7">
        <f>IFERROR(__xludf.DUMMYFUNCTION("""COMPUTED_VALUE"""),"No artifact embedded")</f>
        <v/>
      </c>
      <c r="F317" s="7" t="inlineStr">
        <is>
          <t>Students collect data through experiments and record results using the Observation tool, then review data to make a conclusion. The Golabz app/lab is an embedded artifact for recording observations.</t>
        </is>
      </c>
      <c r="G317" s="8" t="inlineStr">
        <is>
          <t>0</t>
        </is>
      </c>
      <c r="H317" s="8" t="inlineStr">
        <is>
          <t>0</t>
        </is>
      </c>
      <c r="I317" s="8" t="inlineStr">
        <is>
          <t>0</t>
        </is>
      </c>
      <c r="J317" s="8" t="inlineStr">
        <is>
          <t>0</t>
        </is>
      </c>
      <c r="K317" s="9" t="inlineStr">
        <is>
          <t>1</t>
        </is>
      </c>
      <c r="L317" s="9" t="inlineStr">
        <is>
          <t>0</t>
        </is>
      </c>
      <c r="M317" s="9" t="inlineStr">
        <is>
          <t>0</t>
        </is>
      </c>
      <c r="N317" s="9" t="inlineStr">
        <is>
          <t>0</t>
        </is>
      </c>
      <c r="O317" s="10" t="inlineStr">
        <is>
          <t>0</t>
        </is>
      </c>
      <c r="P317" s="10" t="inlineStr">
        <is>
          <t>0</t>
        </is>
      </c>
      <c r="Q317" s="10" t="inlineStr">
        <is>
          <t>0</t>
        </is>
      </c>
      <c r="R317" s="10" t="inlineStr">
        <is>
          <t>0</t>
        </is>
      </c>
      <c r="S317" s="10" t="inlineStr">
        <is>
          <t>0</t>
        </is>
      </c>
    </row>
    <row r="318" ht="25" customHeight="1">
      <c r="A318" s="6">
        <f>IFERROR(__xludf.DUMMYFUNCTION("""COMPUTED_VALUE"""),"How do light and temperature affect photosynthesis in plants? - Version A")</f>
        <v/>
      </c>
      <c r="B318" s="6">
        <f>IFERROR(__xludf.DUMMYFUNCTION("""COMPUTED_VALUE"""),"Space")</f>
        <v/>
      </c>
      <c r="C318" s="6">
        <f>IFERROR(__xludf.DUMMYFUNCTION("""COMPUTED_VALUE"""),"Conclusion")</f>
        <v/>
      </c>
      <c r="D318" s="7">
        <f>IFERROR(__xludf.DUMMYFUNCTION("""COMPUTED_VALUE"""),"No task description")</f>
        <v/>
      </c>
      <c r="E318" s="7">
        <f>IFERROR(__xludf.DUMMYFUNCTION("""COMPUTED_VALUE"""),"No artifact embedded")</f>
        <v/>
      </c>
      <c r="F318" s="7" t="inlineStr">
        <is>
          <t>Students were instructed to use Golabz app for observations and data analysis, and click "Conclusion" tab when ready. Embedded artifacts include the Golabz observation tool.</t>
        </is>
      </c>
      <c r="G318" s="8" t="inlineStr">
        <is>
          <t>0</t>
        </is>
      </c>
      <c r="H318" s="8" t="inlineStr">
        <is>
          <t>0</t>
        </is>
      </c>
      <c r="I318" s="8" t="inlineStr">
        <is>
          <t>0</t>
        </is>
      </c>
      <c r="J318" s="8" t="inlineStr">
        <is>
          <t>0</t>
        </is>
      </c>
      <c r="K318" s="9" t="inlineStr">
        <is>
          <t>0</t>
        </is>
      </c>
      <c r="L318" s="9" t="inlineStr">
        <is>
          <t>0</t>
        </is>
      </c>
      <c r="M318" s="9" t="inlineStr">
        <is>
          <t>0</t>
        </is>
      </c>
      <c r="N318" s="9" t="inlineStr">
        <is>
          <t>0</t>
        </is>
      </c>
      <c r="O318" s="10" t="inlineStr">
        <is>
          <t>0</t>
        </is>
      </c>
      <c r="P318" s="10" t="inlineStr">
        <is>
          <t>0</t>
        </is>
      </c>
      <c r="Q318" s="10" t="inlineStr">
        <is>
          <t>0</t>
        </is>
      </c>
      <c r="R318" s="10" t="inlineStr">
        <is>
          <t>0</t>
        </is>
      </c>
      <c r="S318" s="10" t="inlineStr">
        <is>
          <t>0</t>
        </is>
      </c>
    </row>
    <row r="319" ht="373" customHeight="1">
      <c r="A319" s="6">
        <f>IFERROR(__xludf.DUMMYFUNCTION("""COMPUTED_VALUE"""),"How do light and temperature affect photosynthesis in plants? - Version A")</f>
        <v/>
      </c>
      <c r="B319" s="6">
        <f>IFERROR(__xludf.DUMMYFUNCTION("""COMPUTED_VALUE"""),"Resource")</f>
        <v/>
      </c>
      <c r="C319" s="6">
        <f>IFERROR(__xludf.DUMMYFUNCTION("""COMPUTED_VALUE"""),"tekst1.graasp")</f>
        <v/>
      </c>
      <c r="D319"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319" s="7">
        <f>IFERROR(__xludf.DUMMYFUNCTION("""COMPUTED_VALUE"""),"No artifact embedded")</f>
        <v/>
      </c>
      <c r="F319" s="7" t="inlineStr">
        <is>
          <t>Students were instructed to conclude their hypothesis with a final statement, adding observations and explaining acceptance or rejection. No artifacts were embedded in any items.</t>
        </is>
      </c>
      <c r="G319" s="8" t="inlineStr">
        <is>
          <t>0</t>
        </is>
      </c>
      <c r="H319" s="8" t="inlineStr">
        <is>
          <t>1</t>
        </is>
      </c>
      <c r="I319" s="8" t="inlineStr">
        <is>
          <t>1</t>
        </is>
      </c>
      <c r="J319" s="8" t="inlineStr">
        <is>
          <t>1</t>
        </is>
      </c>
      <c r="K319" s="9" t="inlineStr">
        <is>
          <t>0</t>
        </is>
      </c>
      <c r="L319" s="9" t="inlineStr">
        <is>
          <t>1</t>
        </is>
      </c>
      <c r="M319" s="9" t="inlineStr">
        <is>
          <t>0</t>
        </is>
      </c>
      <c r="N319" s="9" t="inlineStr">
        <is>
          <t>0</t>
        </is>
      </c>
      <c r="O319" s="10" t="inlineStr">
        <is>
          <t>0</t>
        </is>
      </c>
      <c r="P319" s="10" t="inlineStr">
        <is>
          <t>0</t>
        </is>
      </c>
      <c r="Q319" s="10" t="inlineStr">
        <is>
          <t>0</t>
        </is>
      </c>
      <c r="R319" s="10" t="inlineStr">
        <is>
          <t>1</t>
        </is>
      </c>
      <c r="S319" s="10" t="inlineStr">
        <is>
          <t>0</t>
        </is>
      </c>
    </row>
    <row r="320" ht="409.5" customHeight="1">
      <c r="A320" s="6">
        <f>IFERROR(__xludf.DUMMYFUNCTION("""COMPUTED_VALUE"""),"How do light and temperature affect photosynthesis in plants? - Version A")</f>
        <v/>
      </c>
      <c r="B320" s="6">
        <f>IFERROR(__xludf.DUMMYFUNCTION("""COMPUTED_VALUE"""),"Application")</f>
        <v/>
      </c>
      <c r="C320" s="6">
        <f>IFERROR(__xludf.DUMMYFUNCTION("""COMPUTED_VALUE"""),"Conclusion Tool")</f>
        <v/>
      </c>
      <c r="D320" s="7">
        <f>IFERROR(__xludf.DUMMYFUNCTION("""COMPUTED_VALUE"""),"No task description")</f>
        <v/>
      </c>
      <c r="E32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320" s="7" t="inlineStr">
        <is>
          <t>Students write a final conclusion using the Conclusion tool, adding observations and explaining whether they accept or reject their hypothesis. No artifacts are embedded in Items 1 and 2.</t>
        </is>
      </c>
      <c r="G320" s="8" t="inlineStr">
        <is>
          <t>0</t>
        </is>
      </c>
      <c r="H320" s="8" t="inlineStr">
        <is>
          <t>1</t>
        </is>
      </c>
      <c r="I320" s="8" t="inlineStr">
        <is>
          <t>1</t>
        </is>
      </c>
      <c r="J320" s="8" t="inlineStr">
        <is>
          <t>0</t>
        </is>
      </c>
      <c r="K320" s="9" t="inlineStr">
        <is>
          <t>0</t>
        </is>
      </c>
      <c r="L320" s="9" t="inlineStr">
        <is>
          <t>1</t>
        </is>
      </c>
      <c r="M320" s="9" t="inlineStr">
        <is>
          <t>0</t>
        </is>
      </c>
      <c r="N320" s="9" t="inlineStr">
        <is>
          <t>0</t>
        </is>
      </c>
      <c r="O320" s="10" t="inlineStr">
        <is>
          <t>0</t>
        </is>
      </c>
      <c r="P320" s="10" t="inlineStr">
        <is>
          <t>0</t>
        </is>
      </c>
      <c r="Q320" s="10" t="inlineStr">
        <is>
          <t>0</t>
        </is>
      </c>
      <c r="R320" s="10" t="inlineStr">
        <is>
          <t>1</t>
        </is>
      </c>
      <c r="S320" s="10" t="inlineStr">
        <is>
          <t>1</t>
        </is>
      </c>
    </row>
    <row r="321" ht="145" customHeight="1">
      <c r="A321" s="6">
        <f>IFERROR(__xludf.DUMMYFUNCTION("""COMPUTED_VALUE"""),"How do light and temperature affect photosynthesis in plants? - Version A")</f>
        <v/>
      </c>
      <c r="B321" s="6">
        <f>IFERROR(__xludf.DUMMYFUNCTION("""COMPUTED_VALUE"""),"Resource")</f>
        <v/>
      </c>
      <c r="C321" s="6">
        <f>IFERROR(__xludf.DUMMYFUNCTION("""COMPUTED_VALUE"""),"tekst2.graasp")</f>
        <v/>
      </c>
      <c r="D321" s="7">
        <f>IFERROR(__xludf.DUMMYFUNCTION("""COMPUTED_VALUE"""),"&lt;p&gt;&lt;strong&gt;All done? Very good you have now finished with this assignment!&lt;/strong&gt;&lt;/p&gt;&lt;p&gt;&lt;strong&gt;&lt;br&gt;&lt;/strong&gt;&lt;/p&gt;&lt;p&gt;&lt;strong&gt;&lt;br&gt;&lt;/strong&gt;&lt;/p&gt;&lt;p&gt;&lt;strong&gt;&lt;br&gt;&lt;/strong&gt;&lt;/p&gt;")</f>
        <v/>
      </c>
      <c r="E321" s="7">
        <f>IFERROR(__xludf.DUMMYFUNCTION("""COMPUTED_VALUE"""),"No artifact embedded")</f>
        <v/>
      </c>
      <c r="F321" s="7" t="inlineStr">
        <is>
          <t>Students write a final conclusion using evidence and observations, then explain whether they accept or reject their hypothesis. Embedded artifacts include the Conclusion tool and Golabz app/lab for data analysis.</t>
        </is>
      </c>
      <c r="G321" s="8" t="inlineStr">
        <is>
          <t>0</t>
        </is>
      </c>
      <c r="H321" s="8" t="inlineStr">
        <is>
          <t>0</t>
        </is>
      </c>
      <c r="I321" s="8" t="inlineStr">
        <is>
          <t>0</t>
        </is>
      </c>
      <c r="J321" s="8" t="inlineStr">
        <is>
          <t>0</t>
        </is>
      </c>
      <c r="K321" s="9" t="inlineStr">
        <is>
          <t>1</t>
        </is>
      </c>
      <c r="L321" s="9" t="inlineStr">
        <is>
          <t>0</t>
        </is>
      </c>
      <c r="M321" s="9" t="inlineStr">
        <is>
          <t>0</t>
        </is>
      </c>
      <c r="N321" s="9" t="inlineStr">
        <is>
          <t>0</t>
        </is>
      </c>
      <c r="O321" s="10" t="inlineStr">
        <is>
          <t>0</t>
        </is>
      </c>
      <c r="P321" s="10" t="inlineStr">
        <is>
          <t>0</t>
        </is>
      </c>
      <c r="Q321" s="10" t="inlineStr">
        <is>
          <t>0</t>
        </is>
      </c>
      <c r="R321" s="10" t="inlineStr">
        <is>
          <t>0</t>
        </is>
      </c>
      <c r="S321" s="10" t="inlineStr">
        <is>
          <t>0</t>
        </is>
      </c>
    </row>
    <row r="322" ht="37" customHeight="1">
      <c r="A322" s="6">
        <f>IFERROR(__xludf.DUMMYFUNCTION("""COMPUTED_VALUE"""),"Transcription &amp; Translation")</f>
        <v/>
      </c>
      <c r="B322" s="6">
        <f>IFERROR(__xludf.DUMMYFUNCTION("""COMPUTED_VALUE"""),"Space")</f>
        <v/>
      </c>
      <c r="C322" s="6">
        <f>IFERROR(__xludf.DUMMYFUNCTION("""COMPUTED_VALUE"""),"Orientation")</f>
        <v/>
      </c>
      <c r="D322" s="7">
        <f>IFERROR(__xludf.DUMMYFUNCTION("""COMPUTED_VALUE"""),"This is the Orientation phase.")</f>
        <v/>
      </c>
      <c r="E322" s="7">
        <f>IFERROR(__xludf.DUMMYFUNCTION("""COMPUTED_VALUE"""),"No artifact embedded")</f>
        <v/>
      </c>
      <c r="F322" s="7" t="inlineStr">
        <is>
          <t>Students received task descriptions and used Golabz app/lab to validate hypotheses, with configurable settings.</t>
        </is>
      </c>
      <c r="G322" s="8" t="inlineStr">
        <is>
          <t>1</t>
        </is>
      </c>
      <c r="H322" s="8" t="inlineStr">
        <is>
          <t>0</t>
        </is>
      </c>
      <c r="I322" s="8" t="inlineStr">
        <is>
          <t>0</t>
        </is>
      </c>
      <c r="J322" s="8" t="inlineStr">
        <is>
          <t>0</t>
        </is>
      </c>
      <c r="K322" s="9" t="inlineStr">
        <is>
          <t>1</t>
        </is>
      </c>
      <c r="L322" s="9" t="inlineStr">
        <is>
          <t>0</t>
        </is>
      </c>
      <c r="M322" s="9" t="inlineStr">
        <is>
          <t>0</t>
        </is>
      </c>
      <c r="N322" s="9" t="inlineStr">
        <is>
          <t>0</t>
        </is>
      </c>
      <c r="O322" s="10" t="inlineStr">
        <is>
          <t>0</t>
        </is>
      </c>
      <c r="P322" s="10" t="inlineStr">
        <is>
          <t>0</t>
        </is>
      </c>
      <c r="Q322" s="10" t="inlineStr">
        <is>
          <t>0</t>
        </is>
      </c>
      <c r="R322" s="10" t="inlineStr">
        <is>
          <t>0</t>
        </is>
      </c>
      <c r="S322" s="10" t="inlineStr">
        <is>
          <t>0</t>
        </is>
      </c>
    </row>
    <row r="323" ht="157" customHeight="1">
      <c r="A323" s="6">
        <f>IFERROR(__xludf.DUMMYFUNCTION("""COMPUTED_VALUE"""),"Transcription &amp; Translation")</f>
        <v/>
      </c>
      <c r="B323" s="6">
        <f>IFERROR(__xludf.DUMMYFUNCTION("""COMPUTED_VALUE"""),"Resource")</f>
        <v/>
      </c>
      <c r="C323" s="6">
        <f>IFERROR(__xludf.DUMMYFUNCTION("""COMPUTED_VALUE"""),"Introduction.graasp")</f>
        <v/>
      </c>
      <c r="D323" s="7">
        <f>IFERROR(__xludf.DUMMYFUNCTION("""COMPUTED_VALUE"""),"&lt;p&gt;This is a short investigation in how you deal with the concepts of transcription and translation.&lt;/p&gt;&lt;p&gt;&lt;br&gt;&lt;/p&gt;&lt;p&gt;Please watch the following YouTube video:&lt;/p&gt;")</f>
        <v/>
      </c>
      <c r="E323" s="7">
        <f>IFERROR(__xludf.DUMMYFUNCTION("""COMPUTED_VALUE"""),"No artifact embedded")</f>
        <v/>
      </c>
      <c r="F323" s="7" t="inlineStr">
        <is>
          <t>Students were given 3 tasks: completing an assignment, orientation, and investigating transcription/translation concepts via a YouTube video. No artifacts were embedded in any task.</t>
        </is>
      </c>
      <c r="G323" s="8" t="inlineStr">
        <is>
          <t>1</t>
        </is>
      </c>
      <c r="H323" s="8" t="inlineStr">
        <is>
          <t>0</t>
        </is>
      </c>
      <c r="I323" s="8" t="inlineStr">
        <is>
          <t>0</t>
        </is>
      </c>
      <c r="J323" s="8" t="inlineStr">
        <is>
          <t>0</t>
        </is>
      </c>
      <c r="K323" s="9" t="inlineStr">
        <is>
          <t>1</t>
        </is>
      </c>
      <c r="L323" s="9" t="inlineStr">
        <is>
          <t>0</t>
        </is>
      </c>
      <c r="M323" s="9" t="inlineStr">
        <is>
          <t>0</t>
        </is>
      </c>
      <c r="N323" s="9" t="inlineStr">
        <is>
          <t>0</t>
        </is>
      </c>
      <c r="O323" s="10" t="inlineStr">
        <is>
          <t>0</t>
        </is>
      </c>
      <c r="P323" s="10" t="inlineStr">
        <is>
          <t>0</t>
        </is>
      </c>
      <c r="Q323" s="10" t="inlineStr">
        <is>
          <t>0</t>
        </is>
      </c>
      <c r="R323" s="10" t="inlineStr">
        <is>
          <t>0</t>
        </is>
      </c>
      <c r="S323" s="10" t="inlineStr">
        <is>
          <t>0</t>
        </is>
      </c>
    </row>
    <row r="324" ht="121" customHeight="1">
      <c r="A324" s="6">
        <f>IFERROR(__xludf.DUMMYFUNCTION("""COMPUTED_VALUE"""),"Transcription &amp; Translation")</f>
        <v/>
      </c>
      <c r="B324" s="6">
        <f>IFERROR(__xludf.DUMMYFUNCTION("""COMPUTED_VALUE"""),"Resource")</f>
        <v/>
      </c>
      <c r="C324" s="6">
        <f>IFERROR(__xludf.DUMMYFUNCTION("""COMPUTED_VALUE"""),"DNA translation and transcription [HD animation]")</f>
        <v/>
      </c>
      <c r="D324" s="7">
        <f>IFERROR(__xludf.DUMMYFUNCTION("""COMPUTED_VALUE"""),"No task description")</f>
        <v/>
      </c>
      <c r="E324" s="7">
        <f>IFERROR(__xludf.DUMMYFUNCTION("""COMPUTED_VALUE"""),"youtube.com: A widely known video-sharing platform where users can watch videos on a vast array of topics, including educational content.")</f>
        <v/>
      </c>
      <c r="F324" s="7" t="inlineStr">
        <is>
          <t>Students are given tasks with descriptions and some include YouTube videos, but no artifacts are embedded except in Item3, which mentions the youtube.com platform.</t>
        </is>
      </c>
      <c r="G324" s="8" t="inlineStr">
        <is>
          <t>1</t>
        </is>
      </c>
      <c r="H324" s="8" t="inlineStr">
        <is>
          <t>0</t>
        </is>
      </c>
      <c r="I324" s="8" t="inlineStr">
        <is>
          <t>0</t>
        </is>
      </c>
      <c r="J324" s="8" t="inlineStr">
        <is>
          <t>0</t>
        </is>
      </c>
      <c r="K324" s="9" t="inlineStr">
        <is>
          <t>1</t>
        </is>
      </c>
      <c r="L324" s="9" t="inlineStr">
        <is>
          <t>0</t>
        </is>
      </c>
      <c r="M324" s="9" t="inlineStr">
        <is>
          <t>0</t>
        </is>
      </c>
      <c r="N324" s="9" t="inlineStr">
        <is>
          <t>0</t>
        </is>
      </c>
      <c r="O324" s="10" t="inlineStr">
        <is>
          <t>0</t>
        </is>
      </c>
      <c r="P324" s="10" t="inlineStr">
        <is>
          <t>0</t>
        </is>
      </c>
      <c r="Q324" s="10" t="inlineStr">
        <is>
          <t>0</t>
        </is>
      </c>
      <c r="R324" s="10" t="inlineStr">
        <is>
          <t>0</t>
        </is>
      </c>
      <c r="S324" s="10" t="inlineStr">
        <is>
          <t>0</t>
        </is>
      </c>
    </row>
    <row r="325" ht="133" customHeight="1">
      <c r="A325" s="6">
        <f>IFERROR(__xludf.DUMMYFUNCTION("""COMPUTED_VALUE"""),"Transcription &amp; Translation")</f>
        <v/>
      </c>
      <c r="B325" s="6">
        <f>IFERROR(__xludf.DUMMYFUNCTION("""COMPUTED_VALUE"""),"Resource")</f>
        <v/>
      </c>
      <c r="C325" s="6">
        <f>IFERROR(__xludf.DUMMYFUNCTION("""COMPUTED_VALUE"""),"Question.graasp")</f>
        <v/>
      </c>
      <c r="D325" s="7">
        <f>IFERROR(__xludf.DUMMYFUNCTION("""COMPUTED_VALUE"""),"&lt;p&gt;In the box below give an explanation of why transcription and translation is so important for life and give a short overview of how these processes work.&lt;/p&gt;")</f>
        <v/>
      </c>
      <c r="E325" s="7">
        <f>IFERROR(__xludf.DUMMYFUNCTION("""COMPUTED_VALUE"""),"No artifact embedded")</f>
        <v/>
      </c>
      <c r="F325" s="7" t="inlineStr">
        <is>
          <t>Students were given tasks on transcription and translation, with one item requiring a video watch and another asking for an explanation. Embedded artifacts included a YouTube video link and a platform description.</t>
        </is>
      </c>
      <c r="G325" s="8" t="inlineStr">
        <is>
          <t>0</t>
        </is>
      </c>
      <c r="H325" s="8" t="inlineStr">
        <is>
          <t>0</t>
        </is>
      </c>
      <c r="I325" s="8" t="inlineStr">
        <is>
          <t>1</t>
        </is>
      </c>
      <c r="J325" s="8" t="inlineStr">
        <is>
          <t>1</t>
        </is>
      </c>
      <c r="K325" s="9" t="inlineStr">
        <is>
          <t>0</t>
        </is>
      </c>
      <c r="L325" s="9" t="inlineStr">
        <is>
          <t>1</t>
        </is>
      </c>
      <c r="M325" s="9" t="inlineStr">
        <is>
          <t>0</t>
        </is>
      </c>
      <c r="N325" s="9" t="inlineStr">
        <is>
          <t>0</t>
        </is>
      </c>
      <c r="O325" s="10" t="inlineStr">
        <is>
          <t>1</t>
        </is>
      </c>
      <c r="P325" s="10" t="inlineStr">
        <is>
          <t>0</t>
        </is>
      </c>
      <c r="Q325" s="10" t="inlineStr">
        <is>
          <t>0</t>
        </is>
      </c>
      <c r="R325" s="10" t="inlineStr">
        <is>
          <t>0</t>
        </is>
      </c>
      <c r="S325" s="10" t="inlineStr">
        <is>
          <t>0</t>
        </is>
      </c>
    </row>
    <row r="326" ht="329" customHeight="1">
      <c r="A326" s="6">
        <f>IFERROR(__xludf.DUMMYFUNCTION("""COMPUTED_VALUE"""),"Transcription &amp; Translation")</f>
        <v/>
      </c>
      <c r="B326" s="6">
        <f>IFERROR(__xludf.DUMMYFUNCTION("""COMPUTED_VALUE"""),"Application")</f>
        <v/>
      </c>
      <c r="C326" s="6">
        <f>IFERROR(__xludf.DUMMYFUNCTION("""COMPUTED_VALUE"""),"Input Box")</f>
        <v/>
      </c>
      <c r="D326" s="7">
        <f>IFERROR(__xludf.DUMMYFUNCTION("""COMPUTED_VALUE"""),"No task description")</f>
        <v/>
      </c>
      <c r="E3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26" s="7" t="inlineStr">
        <is>
          <t>Students were given tasks and tools, including YouTube and Golabz app, with varying instructions and artifact descriptions for each item.</t>
        </is>
      </c>
      <c r="G326" s="8" t="inlineStr">
        <is>
          <t>0</t>
        </is>
      </c>
      <c r="H326" s="8" t="inlineStr">
        <is>
          <t>1</t>
        </is>
      </c>
      <c r="I326" s="8" t="inlineStr">
        <is>
          <t>1</t>
        </is>
      </c>
      <c r="J326" s="8" t="inlineStr">
        <is>
          <t>1</t>
        </is>
      </c>
      <c r="K326" s="9" t="inlineStr">
        <is>
          <t>0</t>
        </is>
      </c>
      <c r="L326" s="9" t="inlineStr">
        <is>
          <t>1</t>
        </is>
      </c>
      <c r="M326" s="9" t="inlineStr">
        <is>
          <t>0</t>
        </is>
      </c>
      <c r="N326" s="9" t="inlineStr">
        <is>
          <t>0</t>
        </is>
      </c>
      <c r="O326" s="10" t="inlineStr">
        <is>
          <t>0</t>
        </is>
      </c>
      <c r="P326" s="10" t="inlineStr">
        <is>
          <t>0</t>
        </is>
      </c>
      <c r="Q326" s="10" t="inlineStr">
        <is>
          <t>0</t>
        </is>
      </c>
      <c r="R326" s="10" t="inlineStr">
        <is>
          <t>0</t>
        </is>
      </c>
      <c r="S326" s="10" t="inlineStr">
        <is>
          <t>1</t>
        </is>
      </c>
    </row>
    <row r="327" ht="73" customHeight="1">
      <c r="A327" s="6">
        <f>IFERROR(__xludf.DUMMYFUNCTION("""COMPUTED_VALUE"""),"Transcription &amp; Translation")</f>
        <v/>
      </c>
      <c r="B327" s="6">
        <f>IFERROR(__xludf.DUMMYFUNCTION("""COMPUTED_VALUE"""),"Application")</f>
        <v/>
      </c>
      <c r="C327" s="6">
        <f>IFERROR(__xludf.DUMMYFUNCTION("""COMPUTED_VALUE"""),"Teacher Feedback")</f>
        <v/>
      </c>
      <c r="D327" s="7">
        <f>IFERROR(__xludf.DUMMYFUNCTION("""COMPUTED_VALUE"""),"No task description")</f>
        <v/>
      </c>
      <c r="E327" s="7">
        <f>IFERROR(__xludf.DUMMYFUNCTION("""COMPUTED_VALUE"""),"Golabz app/lab: ""&lt;p&gt;A tool where teachers can provide feedback to students&lt;/p&gt;\r\n""")</f>
        <v/>
      </c>
      <c r="F327" s="7" t="inlineStr">
        <is>
          <t>Students explain transcription/translation importance and process. Embedded artifacts include note-taking apps and a teacher feedback tool.</t>
        </is>
      </c>
      <c r="G327" s="8" t="inlineStr">
        <is>
          <t>1</t>
        </is>
      </c>
      <c r="H327" s="8" t="inlineStr">
        <is>
          <t>1</t>
        </is>
      </c>
      <c r="I327" s="8" t="inlineStr">
        <is>
          <t>1</t>
        </is>
      </c>
      <c r="J327" s="8" t="inlineStr">
        <is>
          <t>0</t>
        </is>
      </c>
      <c r="K327" s="9" t="inlineStr">
        <is>
          <t>1</t>
        </is>
      </c>
      <c r="L327" s="9" t="inlineStr">
        <is>
          <t>1</t>
        </is>
      </c>
      <c r="M327" s="9" t="inlineStr">
        <is>
          <t>0</t>
        </is>
      </c>
      <c r="N327" s="9" t="inlineStr">
        <is>
          <t>0</t>
        </is>
      </c>
      <c r="O327" s="10" t="inlineStr">
        <is>
          <t>0</t>
        </is>
      </c>
      <c r="P327" s="10" t="inlineStr">
        <is>
          <t>0</t>
        </is>
      </c>
      <c r="Q327" s="10" t="inlineStr">
        <is>
          <t>0</t>
        </is>
      </c>
      <c r="R327" s="10" t="inlineStr">
        <is>
          <t>0</t>
        </is>
      </c>
      <c r="S327" s="10" t="inlineStr">
        <is>
          <t>1</t>
        </is>
      </c>
    </row>
    <row r="328" ht="25" customHeight="1">
      <c r="A328" s="6">
        <f>IFERROR(__xludf.DUMMYFUNCTION("""COMPUTED_VALUE"""),"Transcription &amp; Translation")</f>
        <v/>
      </c>
      <c r="B328" s="6">
        <f>IFERROR(__xludf.DUMMYFUNCTION("""COMPUTED_VALUE"""),"Space")</f>
        <v/>
      </c>
      <c r="C328" s="6">
        <f>IFERROR(__xludf.DUMMYFUNCTION("""COMPUTED_VALUE"""),"Learning Outcomes")</f>
        <v/>
      </c>
      <c r="D328" s="7">
        <f>IFERROR(__xludf.DUMMYFUNCTION("""COMPUTED_VALUE"""),"&lt;p&gt;Learning Outcomes.&lt;/p&gt;")</f>
        <v/>
      </c>
      <c r="E328" s="7">
        <f>IFERROR(__xludf.DUMMYFUNCTION("""COMPUTED_VALUE"""),"No artifact embedded")</f>
        <v/>
      </c>
      <c r="F328" s="7" t="inlineStr">
        <is>
          <t>No instructions provided. Embedded artifacts include note-taking and feedback tools in Golabz app/lab.</t>
        </is>
      </c>
      <c r="G328" s="8" t="inlineStr">
        <is>
          <t>0</t>
        </is>
      </c>
      <c r="H328" s="8" t="inlineStr">
        <is>
          <t>0</t>
        </is>
      </c>
      <c r="I328" s="8" t="inlineStr">
        <is>
          <t>0</t>
        </is>
      </c>
      <c r="J328" s="8" t="inlineStr">
        <is>
          <t>0</t>
        </is>
      </c>
      <c r="K328" s="9" t="inlineStr">
        <is>
          <t>1</t>
        </is>
      </c>
      <c r="L328" s="9" t="inlineStr">
        <is>
          <t>0</t>
        </is>
      </c>
      <c r="M328" s="9" t="inlineStr">
        <is>
          <t>0</t>
        </is>
      </c>
      <c r="N328" s="9" t="inlineStr">
        <is>
          <t>0</t>
        </is>
      </c>
      <c r="O328" s="10" t="inlineStr">
        <is>
          <t>0</t>
        </is>
      </c>
      <c r="P328" s="10" t="inlineStr">
        <is>
          <t>0</t>
        </is>
      </c>
      <c r="Q328" s="10" t="inlineStr">
        <is>
          <t>0</t>
        </is>
      </c>
      <c r="R328" s="10" t="inlineStr">
        <is>
          <t>0</t>
        </is>
      </c>
      <c r="S328" s="10" t="inlineStr">
        <is>
          <t>0</t>
        </is>
      </c>
    </row>
    <row r="329" ht="229" customHeight="1">
      <c r="A329" s="6">
        <f>IFERROR(__xludf.DUMMYFUNCTION("""COMPUTED_VALUE"""),"Transcription &amp; Translation")</f>
        <v/>
      </c>
      <c r="B329" s="6">
        <f>IFERROR(__xludf.DUMMYFUNCTION("""COMPUTED_VALUE"""),"Resource")</f>
        <v/>
      </c>
      <c r="C329" s="6">
        <f>IFERROR(__xludf.DUMMYFUNCTION("""COMPUTED_VALUE"""),"Learning Outcomes.graasp")</f>
        <v/>
      </c>
      <c r="D329" s="7">
        <f>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
      </c>
      <c r="E329" s="7">
        <f>IFERROR(__xludf.DUMMYFUNCTION("""COMPUTED_VALUE"""),"No artifact embedded")</f>
        <v/>
      </c>
      <c r="F329" s="7" t="inlineStr">
        <is>
          <t>Students received task descriptions and some had embedded artifacts, including the Golabz app/lab for teacher feedback.</t>
        </is>
      </c>
      <c r="G329" s="8" t="inlineStr">
        <is>
          <t>0</t>
        </is>
      </c>
      <c r="H329" s="8" t="inlineStr">
        <is>
          <t>0</t>
        </is>
      </c>
      <c r="I329" s="8" t="inlineStr">
        <is>
          <t>1</t>
        </is>
      </c>
      <c r="J329" s="8" t="inlineStr">
        <is>
          <t>0</t>
        </is>
      </c>
      <c r="K329" s="9" t="inlineStr">
        <is>
          <t>0</t>
        </is>
      </c>
      <c r="L329" s="9" t="inlineStr">
        <is>
          <t>1</t>
        </is>
      </c>
      <c r="M329" s="9" t="inlineStr">
        <is>
          <t>0</t>
        </is>
      </c>
      <c r="N329" s="9" t="inlineStr">
        <is>
          <t>0</t>
        </is>
      </c>
      <c r="O329" s="10" t="inlineStr">
        <is>
          <t>1</t>
        </is>
      </c>
      <c r="P329" s="10" t="inlineStr">
        <is>
          <t>1</t>
        </is>
      </c>
      <c r="Q329" s="10" t="inlineStr">
        <is>
          <t>0</t>
        </is>
      </c>
      <c r="R329" s="10" t="inlineStr">
        <is>
          <t>0</t>
        </is>
      </c>
      <c r="S329" s="10" t="inlineStr">
        <is>
          <t>0</t>
        </is>
      </c>
    </row>
    <row r="330" ht="37" customHeight="1">
      <c r="A330" s="6">
        <f>IFERROR(__xludf.DUMMYFUNCTION("""COMPUTED_VALUE"""),"Transcription &amp; Translation")</f>
        <v/>
      </c>
      <c r="B330" s="6">
        <f>IFERROR(__xludf.DUMMYFUNCTION("""COMPUTED_VALUE"""),"Space")</f>
        <v/>
      </c>
      <c r="C330" s="6">
        <f>IFERROR(__xludf.DUMMYFUNCTION("""COMPUTED_VALUE"""),"Investigation")</f>
        <v/>
      </c>
      <c r="D330" s="7">
        <f>IFERROR(__xludf.DUMMYFUNCTION("""COMPUTED_VALUE"""),"This is the Investigation phase.")</f>
        <v/>
      </c>
      <c r="E330" s="7">
        <f>IFERROR(__xludf.DUMMYFUNCTION("""COMPUTED_VALUE"""),"No artifact embedded")</f>
        <v/>
      </c>
      <c r="F330" s="7" t="inlineStr">
        <is>
          <t>Students are given tasks with learning outcomes, recalling transcription/translation, and investigation phases, all without embedded artifacts.</t>
        </is>
      </c>
      <c r="G330" s="8" t="inlineStr">
        <is>
          <t>0</t>
        </is>
      </c>
      <c r="H330" s="8" t="inlineStr">
        <is>
          <t>0</t>
        </is>
      </c>
      <c r="I330" s="8" t="inlineStr">
        <is>
          <t>0</t>
        </is>
      </c>
      <c r="J330" s="8" t="inlineStr">
        <is>
          <t>0</t>
        </is>
      </c>
      <c r="K330" s="9" t="inlineStr">
        <is>
          <t>1</t>
        </is>
      </c>
      <c r="L330" s="9" t="inlineStr">
        <is>
          <t>0</t>
        </is>
      </c>
      <c r="M330" s="9" t="inlineStr">
        <is>
          <t>0</t>
        </is>
      </c>
      <c r="N330" s="9" t="inlineStr">
        <is>
          <t>0</t>
        </is>
      </c>
      <c r="O330" s="10" t="inlineStr">
        <is>
          <t>0</t>
        </is>
      </c>
      <c r="P330" s="10" t="inlineStr">
        <is>
          <t>0</t>
        </is>
      </c>
      <c r="Q330" s="10" t="inlineStr">
        <is>
          <t>0</t>
        </is>
      </c>
      <c r="R330" s="10" t="inlineStr">
        <is>
          <t>0</t>
        </is>
      </c>
      <c r="S330" s="10" t="inlineStr">
        <is>
          <t>0</t>
        </is>
      </c>
    </row>
    <row r="331" ht="409.5" customHeight="1">
      <c r="A331" s="6">
        <f>IFERROR(__xludf.DUMMYFUNCTION("""COMPUTED_VALUE"""),"Transcription &amp; Translation")</f>
        <v/>
      </c>
      <c r="B331" s="6">
        <f>IFERROR(__xludf.DUMMYFUNCTION("""COMPUTED_VALUE"""),"Application")</f>
        <v/>
      </c>
      <c r="C331" s="6">
        <f>IFERROR(__xludf.DUMMYFUNCTION("""COMPUTED_VALUE"""),"DNA to Protein App")</f>
        <v/>
      </c>
      <c r="D331" s="7">
        <f>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
      </c>
      <c r="E331" s="7">
        <f>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
      </c>
      <c r="F331" s="7" t="inlineStr">
        <is>
          <t>Students recall transcription/translation basics, formulate questions, and explore DNA-to-protein conversion using Golabz app.</t>
        </is>
      </c>
      <c r="G331" s="8" t="inlineStr">
        <is>
          <t>1</t>
        </is>
      </c>
      <c r="H331" s="8" t="inlineStr">
        <is>
          <t>1</t>
        </is>
      </c>
      <c r="I331" s="8" t="inlineStr">
        <is>
          <t>1</t>
        </is>
      </c>
      <c r="J331" s="8" t="inlineStr">
        <is>
          <t>1</t>
        </is>
      </c>
      <c r="K331" s="9" t="inlineStr">
        <is>
          <t>1</t>
        </is>
      </c>
      <c r="L331" s="9" t="inlineStr">
        <is>
          <t>0</t>
        </is>
      </c>
      <c r="M331" s="9" t="inlineStr">
        <is>
          <t>0</t>
        </is>
      </c>
      <c r="N331" s="9" t="inlineStr">
        <is>
          <t>0</t>
        </is>
      </c>
      <c r="O331" s="10" t="inlineStr">
        <is>
          <t>1</t>
        </is>
      </c>
      <c r="P331" s="10" t="inlineStr">
        <is>
          <t>1</t>
        </is>
      </c>
      <c r="Q331" s="10" t="inlineStr">
        <is>
          <t>1</t>
        </is>
      </c>
      <c r="R331" s="10" t="inlineStr">
        <is>
          <t>0</t>
        </is>
      </c>
      <c r="S331" s="10" t="inlineStr">
        <is>
          <t>0</t>
        </is>
      </c>
    </row>
    <row r="332" ht="97" customHeight="1">
      <c r="A332" s="6">
        <f>IFERROR(__xludf.DUMMYFUNCTION("""COMPUTED_VALUE"""),"Transcription &amp; Translation")</f>
        <v/>
      </c>
      <c r="B332" s="6">
        <f>IFERROR(__xludf.DUMMYFUNCTION("""COMPUTED_VALUE"""),"Resource")</f>
        <v/>
      </c>
      <c r="C332" s="6">
        <f>IFERROR(__xludf.DUMMYFUNCTION("""COMPUTED_VALUE"""),"question KS4.graasp")</f>
        <v/>
      </c>
      <c r="D332" s="7">
        <f>IFERROR(__xludf.DUMMYFUNCTION("""COMPUTED_VALUE"""),"&lt;p&gt;In the box below write 3 questions on transcription with answers for KS 4 students based on the animation above:&lt;/p&gt;")</f>
        <v/>
      </c>
      <c r="E332" s="7">
        <f>IFERROR(__xludf.DUMMYFUNCTION("""COMPUTED_VALUE"""),"No artifact embedded")</f>
        <v/>
      </c>
      <c r="F332" s="7" t="inlineStr">
        <is>
          <t>Students explore DNA translation, create questions, and write about transcription with answers. Embedded artifacts include a Golabz app/lab.</t>
        </is>
      </c>
      <c r="G332" s="8" t="inlineStr">
        <is>
          <t>0</t>
        </is>
      </c>
      <c r="H332" s="8" t="inlineStr">
        <is>
          <t>0</t>
        </is>
      </c>
      <c r="I332" s="8" t="inlineStr">
        <is>
          <t>1</t>
        </is>
      </c>
      <c r="J332" s="8" t="inlineStr">
        <is>
          <t>1</t>
        </is>
      </c>
      <c r="K332" s="9" t="inlineStr">
        <is>
          <t>0</t>
        </is>
      </c>
      <c r="L332" s="9" t="inlineStr">
        <is>
          <t>1</t>
        </is>
      </c>
      <c r="M332" s="9" t="inlineStr">
        <is>
          <t>0</t>
        </is>
      </c>
      <c r="N332" s="9" t="inlineStr">
        <is>
          <t>0</t>
        </is>
      </c>
      <c r="O332" s="10" t="inlineStr">
        <is>
          <t>0</t>
        </is>
      </c>
      <c r="P332" s="10" t="inlineStr">
        <is>
          <t>1</t>
        </is>
      </c>
      <c r="Q332" s="10" t="inlineStr">
        <is>
          <t>0</t>
        </is>
      </c>
      <c r="R332" s="10" t="inlineStr">
        <is>
          <t>0</t>
        </is>
      </c>
      <c r="S332" s="10" t="inlineStr">
        <is>
          <t>0</t>
        </is>
      </c>
    </row>
    <row r="333" ht="329" customHeight="1">
      <c r="A333" s="6">
        <f>IFERROR(__xludf.DUMMYFUNCTION("""COMPUTED_VALUE"""),"Transcription &amp; Translation")</f>
        <v/>
      </c>
      <c r="B333" s="6">
        <f>IFERROR(__xludf.DUMMYFUNCTION("""COMPUTED_VALUE"""),"Application")</f>
        <v/>
      </c>
      <c r="C333" s="6">
        <f>IFERROR(__xludf.DUMMYFUNCTION("""COMPUTED_VALUE"""),"Input Box")</f>
        <v/>
      </c>
      <c r="D333" s="7">
        <f>IFERROR(__xludf.DUMMYFUNCTION("""COMPUTED_VALUE"""),"No task description")</f>
        <v/>
      </c>
      <c r="E3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3" s="7" t="inlineStr">
        <is>
          <t>Students learn about DNA translation into protein and create questions for KS4/KS5 students using Golabz app/lab.</t>
        </is>
      </c>
      <c r="G333" s="8" t="inlineStr">
        <is>
          <t>0</t>
        </is>
      </c>
      <c r="H333" s="8" t="inlineStr">
        <is>
          <t>1</t>
        </is>
      </c>
      <c r="I333" s="8" t="inlineStr">
        <is>
          <t>1</t>
        </is>
      </c>
      <c r="J333" s="8" t="inlineStr">
        <is>
          <t>1</t>
        </is>
      </c>
      <c r="K333" s="9" t="inlineStr">
        <is>
          <t>0</t>
        </is>
      </c>
      <c r="L333" s="9" t="inlineStr">
        <is>
          <t>1</t>
        </is>
      </c>
      <c r="M333" s="9" t="inlineStr">
        <is>
          <t>0</t>
        </is>
      </c>
      <c r="N333" s="9" t="inlineStr">
        <is>
          <t>1</t>
        </is>
      </c>
      <c r="O333" s="10" t="inlineStr">
        <is>
          <t>0</t>
        </is>
      </c>
      <c r="P333" s="10" t="inlineStr">
        <is>
          <t>0</t>
        </is>
      </c>
      <c r="Q333" s="10" t="inlineStr">
        <is>
          <t>0</t>
        </is>
      </c>
      <c r="R333" s="10" t="inlineStr">
        <is>
          <t>0</t>
        </is>
      </c>
      <c r="S333" s="10" t="inlineStr">
        <is>
          <t>1</t>
        </is>
      </c>
    </row>
    <row r="334" ht="73" customHeight="1">
      <c r="A334" s="6">
        <f>IFERROR(__xludf.DUMMYFUNCTION("""COMPUTED_VALUE"""),"Transcription &amp; Translation")</f>
        <v/>
      </c>
      <c r="B334" s="6">
        <f>IFERROR(__xludf.DUMMYFUNCTION("""COMPUTED_VALUE"""),"Application")</f>
        <v/>
      </c>
      <c r="C334" s="6">
        <f>IFERROR(__xludf.DUMMYFUNCTION("""COMPUTED_VALUE"""),"Teacher Feedback (1)")</f>
        <v/>
      </c>
      <c r="D334" s="7">
        <f>IFERROR(__xludf.DUMMYFUNCTION("""COMPUTED_VALUE"""),"No task description")</f>
        <v/>
      </c>
      <c r="E334" s="7">
        <f>IFERROR(__xludf.DUMMYFUNCTION("""COMPUTED_VALUE"""),"Golabz app/lab: ""&lt;p&gt;A tool where teachers can provide feedback to students&lt;/p&gt;\r\n""")</f>
        <v/>
      </c>
      <c r="F334" s="7" t="inlineStr">
        <is>
          <t>Students write 3 transcription questions with answers. Embedded artifacts include note-taking and feedback tools via the Golabz app/lab.</t>
        </is>
      </c>
      <c r="G334" s="8" t="inlineStr">
        <is>
          <t>1</t>
        </is>
      </c>
      <c r="H334" s="8" t="inlineStr">
        <is>
          <t>0</t>
        </is>
      </c>
      <c r="I334" s="8" t="inlineStr">
        <is>
          <t>0</t>
        </is>
      </c>
      <c r="J334" s="8" t="inlineStr">
        <is>
          <t>0</t>
        </is>
      </c>
      <c r="K334" s="9" t="inlineStr">
        <is>
          <t>0</t>
        </is>
      </c>
      <c r="L334" s="9" t="inlineStr">
        <is>
          <t>0</t>
        </is>
      </c>
      <c r="M334" s="9" t="inlineStr">
        <is>
          <t>0</t>
        </is>
      </c>
      <c r="N334" s="9" t="inlineStr">
        <is>
          <t>0</t>
        </is>
      </c>
      <c r="O334" s="10" t="inlineStr">
        <is>
          <t>0</t>
        </is>
      </c>
      <c r="P334" s="10" t="inlineStr">
        <is>
          <t>0</t>
        </is>
      </c>
      <c r="Q334" s="10" t="inlineStr">
        <is>
          <t>0</t>
        </is>
      </c>
      <c r="R334" s="10" t="inlineStr">
        <is>
          <t>0</t>
        </is>
      </c>
      <c r="S334" s="10" t="inlineStr">
        <is>
          <t>1</t>
        </is>
      </c>
    </row>
    <row r="335" ht="109" customHeight="1">
      <c r="A335" s="6">
        <f>IFERROR(__xludf.DUMMYFUNCTION("""COMPUTED_VALUE"""),"Transcription &amp; Translation")</f>
        <v/>
      </c>
      <c r="B335" s="6">
        <f>IFERROR(__xludf.DUMMYFUNCTION("""COMPUTED_VALUE"""),"Resource")</f>
        <v/>
      </c>
      <c r="C335" s="6">
        <f>IFERROR(__xludf.DUMMYFUNCTION("""COMPUTED_VALUE"""),"Question KS5.graasp")</f>
        <v/>
      </c>
      <c r="D335" s="7">
        <f>IFERROR(__xludf.DUMMYFUNCTION("""COMPUTED_VALUE"""),"&lt;p&gt;In the box below describe what is missing in the animation that is needed for understanding the process of transcription at KS 5 level:&lt;/p&gt;")</f>
        <v/>
      </c>
      <c r="E335" s="7">
        <f>IFERROR(__xludf.DUMMYFUNCTION("""COMPUTED_VALUE"""),"No artifact embedded")</f>
        <v/>
      </c>
      <c r="F335" s="7" t="inlineStr">
        <is>
          <t>Students have no task descriptions for Items 1 and 2. Item 3 requires describing what's missing in an animation about transcription. Embedded artifacts include note-taking and feedback tools.</t>
        </is>
      </c>
      <c r="G335" s="8" t="inlineStr">
        <is>
          <t>0</t>
        </is>
      </c>
      <c r="H335" s="8" t="inlineStr">
        <is>
          <t>0</t>
        </is>
      </c>
      <c r="I335" s="8" t="inlineStr">
        <is>
          <t>1</t>
        </is>
      </c>
      <c r="J335" s="8" t="inlineStr">
        <is>
          <t>1</t>
        </is>
      </c>
      <c r="K335" s="9" t="inlineStr">
        <is>
          <t>0</t>
        </is>
      </c>
      <c r="L335" s="9" t="inlineStr">
        <is>
          <t>1</t>
        </is>
      </c>
      <c r="M335" s="9" t="inlineStr">
        <is>
          <t>0</t>
        </is>
      </c>
      <c r="N335" s="9" t="inlineStr">
        <is>
          <t>0</t>
        </is>
      </c>
      <c r="O335" s="10" t="inlineStr">
        <is>
          <t>0</t>
        </is>
      </c>
      <c r="P335" s="10" t="inlineStr">
        <is>
          <t>1</t>
        </is>
      </c>
      <c r="Q335" s="10" t="inlineStr">
        <is>
          <t>0</t>
        </is>
      </c>
      <c r="R335" s="10" t="inlineStr">
        <is>
          <t>0</t>
        </is>
      </c>
      <c r="S335" s="10" t="inlineStr">
        <is>
          <t>1</t>
        </is>
      </c>
    </row>
    <row r="336" ht="329" customHeight="1">
      <c r="A336" s="6">
        <f>IFERROR(__xludf.DUMMYFUNCTION("""COMPUTED_VALUE"""),"Transcription &amp; Translation")</f>
        <v/>
      </c>
      <c r="B336" s="6">
        <f>IFERROR(__xludf.DUMMYFUNCTION("""COMPUTED_VALUE"""),"Application")</f>
        <v/>
      </c>
      <c r="C336" s="6">
        <f>IFERROR(__xludf.DUMMYFUNCTION("""COMPUTED_VALUE"""),"Input Box (1)")</f>
        <v/>
      </c>
      <c r="D336" s="7">
        <f>IFERROR(__xludf.DUMMYFUNCTION("""COMPUTED_VALUE"""),"No task description")</f>
        <v/>
      </c>
      <c r="E3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6" s="7" t="inlineStr">
        <is>
          <t>Students received tasks with some missing descriptions. Embedded artifacts include Golabz app/lab for feedback and note-taking.</t>
        </is>
      </c>
      <c r="G336" s="8" t="inlineStr">
        <is>
          <t>0</t>
        </is>
      </c>
      <c r="H336" s="8" t="inlineStr">
        <is>
          <t>1</t>
        </is>
      </c>
      <c r="I336" s="8" t="inlineStr">
        <is>
          <t>1</t>
        </is>
      </c>
      <c r="J336" s="8" t="inlineStr">
        <is>
          <t>1</t>
        </is>
      </c>
      <c r="K336" s="9" t="inlineStr">
        <is>
          <t>0</t>
        </is>
      </c>
      <c r="L336" s="9" t="inlineStr">
        <is>
          <t>1</t>
        </is>
      </c>
      <c r="M336" s="9" t="inlineStr">
        <is>
          <t>0</t>
        </is>
      </c>
      <c r="N336" s="9" t="inlineStr">
        <is>
          <t>1</t>
        </is>
      </c>
      <c r="O336" s="10" t="inlineStr">
        <is>
          <t>0</t>
        </is>
      </c>
      <c r="P336" s="10" t="inlineStr">
        <is>
          <t>0</t>
        </is>
      </c>
      <c r="Q336" s="10" t="inlineStr">
        <is>
          <t>0</t>
        </is>
      </c>
      <c r="R336" s="10" t="inlineStr">
        <is>
          <t>0</t>
        </is>
      </c>
      <c r="S336" s="10" t="inlineStr">
        <is>
          <t>1</t>
        </is>
      </c>
    </row>
    <row r="337" ht="73" customHeight="1">
      <c r="A337" s="6">
        <f>IFERROR(__xludf.DUMMYFUNCTION("""COMPUTED_VALUE"""),"Transcription &amp; Translation")</f>
        <v/>
      </c>
      <c r="B337" s="6">
        <f>IFERROR(__xludf.DUMMYFUNCTION("""COMPUTED_VALUE"""),"Application")</f>
        <v/>
      </c>
      <c r="C337" s="6">
        <f>IFERROR(__xludf.DUMMYFUNCTION("""COMPUTED_VALUE"""),"Teacher Feedback")</f>
        <v/>
      </c>
      <c r="D337" s="7">
        <f>IFERROR(__xludf.DUMMYFUNCTION("""COMPUTED_VALUE"""),"No task description")</f>
        <v/>
      </c>
      <c r="E337" s="7">
        <f>IFERROR(__xludf.DUMMYFUNCTION("""COMPUTED_VALUE"""),"Golabz app/lab: ""&lt;p&gt;A tool where teachers can provide feedback to students&lt;/p&gt;\r\n""")</f>
        <v/>
      </c>
      <c r="F337" s="7" t="inlineStr">
        <is>
          <t>Students describe what's missing in an animation for understanding transcription. Embedded artifacts include note-taking and feedback tools.</t>
        </is>
      </c>
      <c r="G337" s="8" t="inlineStr">
        <is>
          <t>1</t>
        </is>
      </c>
      <c r="H337" s="8" t="inlineStr">
        <is>
          <t>1</t>
        </is>
      </c>
      <c r="I337" s="8" t="inlineStr">
        <is>
          <t>1</t>
        </is>
      </c>
      <c r="J337" s="8" t="inlineStr">
        <is>
          <t>0</t>
        </is>
      </c>
      <c r="K337" s="9" t="inlineStr">
        <is>
          <t>0</t>
        </is>
      </c>
      <c r="L337" s="9" t="inlineStr">
        <is>
          <t>1</t>
        </is>
      </c>
      <c r="M337" s="9" t="inlineStr">
        <is>
          <t>0</t>
        </is>
      </c>
      <c r="N337" s="9" t="inlineStr">
        <is>
          <t>0</t>
        </is>
      </c>
      <c r="O337" s="10" t="inlineStr">
        <is>
          <t>0</t>
        </is>
      </c>
      <c r="P337" s="10" t="inlineStr">
        <is>
          <t>0</t>
        </is>
      </c>
      <c r="Q337" s="10" t="inlineStr">
        <is>
          <t>0</t>
        </is>
      </c>
      <c r="R337" s="10" t="inlineStr">
        <is>
          <t>0</t>
        </is>
      </c>
      <c r="S337" s="10" t="inlineStr">
        <is>
          <t>1</t>
        </is>
      </c>
    </row>
    <row r="338" ht="97" customHeight="1">
      <c r="A338" s="6">
        <f>IFERROR(__xludf.DUMMYFUNCTION("""COMPUTED_VALUE"""),"Transcription &amp; Translation")</f>
        <v/>
      </c>
      <c r="B338" s="6">
        <f>IFERROR(__xludf.DUMMYFUNCTION("""COMPUTED_VALUE"""),"Resource")</f>
        <v/>
      </c>
      <c r="C338" s="6">
        <f>IFERROR(__xludf.DUMMYFUNCTION("""COMPUTED_VALUE"""),"question ks4 2.graasp")</f>
        <v/>
      </c>
      <c r="D338" s="7">
        <f>IFERROR(__xludf.DUMMYFUNCTION("""COMPUTED_VALUE"""),"&lt;p&gt;In the box below write 3 questions on translation with answers for KS 4 students based on the animation above:&lt;/p&gt;")</f>
        <v/>
      </c>
      <c r="E338" s="7">
        <f>IFERROR(__xludf.DUMMYFUNCTION("""COMPUTED_VALUE"""),"No artifact embedded")</f>
        <v/>
      </c>
      <c r="F338" s="7" t="inlineStr">
        <is>
          <t>Students have no task descriptions for Items 1 and 2, but Item 3 requires writing 3 translation questions. Embedded artifacts include note-taking and feedback tools.</t>
        </is>
      </c>
      <c r="G338" s="8" t="inlineStr">
        <is>
          <t>0</t>
        </is>
      </c>
      <c r="H338" s="8" t="inlineStr">
        <is>
          <t>0</t>
        </is>
      </c>
      <c r="I338" s="8" t="inlineStr">
        <is>
          <t>1</t>
        </is>
      </c>
      <c r="J338" s="8" t="inlineStr">
        <is>
          <t>1</t>
        </is>
      </c>
      <c r="K338" s="9" t="inlineStr">
        <is>
          <t>0</t>
        </is>
      </c>
      <c r="L338" s="9" t="inlineStr">
        <is>
          <t>1</t>
        </is>
      </c>
      <c r="M338" s="9" t="inlineStr">
        <is>
          <t>0</t>
        </is>
      </c>
      <c r="N338" s="9" t="inlineStr">
        <is>
          <t>0</t>
        </is>
      </c>
      <c r="O338" s="10" t="inlineStr">
        <is>
          <t>0</t>
        </is>
      </c>
      <c r="P338" s="10" t="inlineStr">
        <is>
          <t>1</t>
        </is>
      </c>
      <c r="Q338" s="10" t="inlineStr">
        <is>
          <t>0</t>
        </is>
      </c>
      <c r="R338" s="10" t="inlineStr">
        <is>
          <t>0</t>
        </is>
      </c>
      <c r="S338" s="10" t="inlineStr">
        <is>
          <t>0</t>
        </is>
      </c>
    </row>
    <row r="339" ht="329" customHeight="1">
      <c r="A339" s="6">
        <f>IFERROR(__xludf.DUMMYFUNCTION("""COMPUTED_VALUE"""),"Transcription &amp; Translation")</f>
        <v/>
      </c>
      <c r="B339" s="6">
        <f>IFERROR(__xludf.DUMMYFUNCTION("""COMPUTED_VALUE"""),"Application")</f>
        <v/>
      </c>
      <c r="C339" s="6">
        <f>IFERROR(__xludf.DUMMYFUNCTION("""COMPUTED_VALUE"""),"Input Box (2)")</f>
        <v/>
      </c>
      <c r="D339" s="7">
        <f>IFERROR(__xludf.DUMMYFUNCTION("""COMPUTED_VALUE"""),"No task description")</f>
        <v/>
      </c>
      <c r="E33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9" s="7" t="inlineStr">
        <is>
          <t>Students received task descriptions and embedded artifacts, including Golabz app/lab tools for feedback and note-taking.</t>
        </is>
      </c>
      <c r="G339" s="8" t="inlineStr">
        <is>
          <t>0</t>
        </is>
      </c>
      <c r="H339" s="8" t="inlineStr">
        <is>
          <t>1</t>
        </is>
      </c>
      <c r="I339" s="8" t="inlineStr">
        <is>
          <t>1</t>
        </is>
      </c>
      <c r="J339" s="8" t="inlineStr">
        <is>
          <t>1</t>
        </is>
      </c>
      <c r="K339" s="9" t="inlineStr">
        <is>
          <t>0</t>
        </is>
      </c>
      <c r="L339" s="9" t="inlineStr">
        <is>
          <t>1</t>
        </is>
      </c>
      <c r="M339" s="9" t="inlineStr">
        <is>
          <t>0</t>
        </is>
      </c>
      <c r="N339" s="9" t="inlineStr">
        <is>
          <t>0</t>
        </is>
      </c>
      <c r="O339" s="10" t="inlineStr">
        <is>
          <t>0</t>
        </is>
      </c>
      <c r="P339" s="10" t="inlineStr">
        <is>
          <t>0</t>
        </is>
      </c>
      <c r="Q339" s="10" t="inlineStr">
        <is>
          <t>0</t>
        </is>
      </c>
      <c r="R339" s="10" t="inlineStr">
        <is>
          <t>0</t>
        </is>
      </c>
      <c r="S339" s="10" t="inlineStr">
        <is>
          <t>1</t>
        </is>
      </c>
    </row>
    <row r="340" ht="73" customHeight="1">
      <c r="A340" s="6">
        <f>IFERROR(__xludf.DUMMYFUNCTION("""COMPUTED_VALUE"""),"Transcription &amp; Translation")</f>
        <v/>
      </c>
      <c r="B340" s="6">
        <f>IFERROR(__xludf.DUMMYFUNCTION("""COMPUTED_VALUE"""),"Application")</f>
        <v/>
      </c>
      <c r="C340" s="6">
        <f>IFERROR(__xludf.DUMMYFUNCTION("""COMPUTED_VALUE"""),"Teacher Feedback (2)")</f>
        <v/>
      </c>
      <c r="D340" s="7">
        <f>IFERROR(__xludf.DUMMYFUNCTION("""COMPUTED_VALUE"""),"No task description")</f>
        <v/>
      </c>
      <c r="E340" s="7">
        <f>IFERROR(__xludf.DUMMYFUNCTION("""COMPUTED_VALUE"""),"Golabz app/lab: ""&lt;p&gt;A tool where teachers can provide feedback to students&lt;/p&gt;\r\n""")</f>
        <v/>
      </c>
      <c r="F340" s="7" t="inlineStr">
        <is>
          <t>Students write 3 translation questions with answers. Embedded artifacts include note-taking and feedback tools.</t>
        </is>
      </c>
      <c r="G340" s="8" t="inlineStr">
        <is>
          <t>1</t>
        </is>
      </c>
      <c r="H340" s="8" t="inlineStr">
        <is>
          <t>0</t>
        </is>
      </c>
      <c r="I340" s="8" t="inlineStr">
        <is>
          <t>1</t>
        </is>
      </c>
      <c r="J340" s="8" t="inlineStr">
        <is>
          <t>0</t>
        </is>
      </c>
      <c r="K340" s="9" t="inlineStr">
        <is>
          <t>0</t>
        </is>
      </c>
      <c r="L340" s="9" t="inlineStr">
        <is>
          <t>1</t>
        </is>
      </c>
      <c r="M340" s="9" t="inlineStr">
        <is>
          <t>0</t>
        </is>
      </c>
      <c r="N340" s="9" t="inlineStr">
        <is>
          <t>0</t>
        </is>
      </c>
      <c r="O340" s="10" t="inlineStr">
        <is>
          <t>0</t>
        </is>
      </c>
      <c r="P340" s="10" t="inlineStr">
        <is>
          <t>0</t>
        </is>
      </c>
      <c r="Q340" s="10" t="inlineStr">
        <is>
          <t>0</t>
        </is>
      </c>
      <c r="R340" s="10" t="inlineStr">
        <is>
          <t>0</t>
        </is>
      </c>
      <c r="S340" s="10" t="inlineStr">
        <is>
          <t>1</t>
        </is>
      </c>
    </row>
    <row r="341" ht="109" customHeight="1">
      <c r="A341" s="6">
        <f>IFERROR(__xludf.DUMMYFUNCTION("""COMPUTED_VALUE"""),"Transcription &amp; Translation")</f>
        <v/>
      </c>
      <c r="B341" s="6">
        <f>IFERROR(__xludf.DUMMYFUNCTION("""COMPUTED_VALUE"""),"Resource")</f>
        <v/>
      </c>
      <c r="C341" s="6">
        <f>IFERROR(__xludf.DUMMYFUNCTION("""COMPUTED_VALUE"""),"question ks5 2.graasp")</f>
        <v/>
      </c>
      <c r="D341" s="7">
        <f>IFERROR(__xludf.DUMMYFUNCTION("""COMPUTED_VALUE"""),"&lt;p&gt;In the box below describe what is missing in the animation that is needed for understanding the process of translation at KS 5 level:&lt;/p&gt;")</f>
        <v/>
      </c>
      <c r="E341" s="7">
        <f>IFERROR(__xludf.DUMMYFUNCTION("""COMPUTED_VALUE"""),"No artifact embedded")</f>
        <v/>
      </c>
      <c r="F341" s="7" t="inlineStr">
        <is>
          <t>Students have no task descriptions for Items 1 and 2, but are given apps to take notes and provide feedback. Item 3 asks students to describe what's missing in an animation about translation.</t>
        </is>
      </c>
      <c r="G341" s="8" t="inlineStr">
        <is>
          <t>0</t>
        </is>
      </c>
      <c r="H341" s="8" t="inlineStr">
        <is>
          <t>0</t>
        </is>
      </c>
      <c r="I341" s="8" t="inlineStr">
        <is>
          <t>1</t>
        </is>
      </c>
      <c r="J341" s="8" t="inlineStr">
        <is>
          <t>1</t>
        </is>
      </c>
      <c r="K341" s="9" t="inlineStr">
        <is>
          <t>0</t>
        </is>
      </c>
      <c r="L341" s="9" t="inlineStr">
        <is>
          <t>1</t>
        </is>
      </c>
      <c r="M341" s="9" t="inlineStr">
        <is>
          <t>0</t>
        </is>
      </c>
      <c r="N341" s="9" t="inlineStr">
        <is>
          <t>0</t>
        </is>
      </c>
      <c r="O341" s="10" t="inlineStr">
        <is>
          <t>0</t>
        </is>
      </c>
      <c r="P341" s="10" t="inlineStr">
        <is>
          <t>1</t>
        </is>
      </c>
      <c r="Q341" s="10" t="inlineStr">
        <is>
          <t>0</t>
        </is>
      </c>
      <c r="R341" s="10" t="inlineStr">
        <is>
          <t>0</t>
        </is>
      </c>
      <c r="S341" s="10" t="inlineStr">
        <is>
          <t>1</t>
        </is>
      </c>
    </row>
    <row r="342" ht="329" customHeight="1">
      <c r="A342" s="6">
        <f>IFERROR(__xludf.DUMMYFUNCTION("""COMPUTED_VALUE"""),"Transcription &amp; Translation")</f>
        <v/>
      </c>
      <c r="B342" s="6">
        <f>IFERROR(__xludf.DUMMYFUNCTION("""COMPUTED_VALUE"""),"Application")</f>
        <v/>
      </c>
      <c r="C342" s="6">
        <f>IFERROR(__xludf.DUMMYFUNCTION("""COMPUTED_VALUE"""),"Input Box (3)")</f>
        <v/>
      </c>
      <c r="D342" s="7">
        <f>IFERROR(__xludf.DUMMYFUNCTION("""COMPUTED_VALUE"""),"No task description")</f>
        <v/>
      </c>
      <c r="E34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2" s="7" t="inlineStr">
        <is>
          <t>Students received 3 tasks with varying levels of description and embedded artifacts, including Golabz apps for feedback and note-taking.</t>
        </is>
      </c>
      <c r="G342" s="8" t="inlineStr">
        <is>
          <t>0</t>
        </is>
      </c>
      <c r="H342" s="8" t="inlineStr">
        <is>
          <t>1</t>
        </is>
      </c>
      <c r="I342" s="8" t="inlineStr">
        <is>
          <t>1</t>
        </is>
      </c>
      <c r="J342" s="8" t="inlineStr">
        <is>
          <t>1</t>
        </is>
      </c>
      <c r="K342" s="9" t="inlineStr">
        <is>
          <t>0</t>
        </is>
      </c>
      <c r="L342" s="9" t="inlineStr">
        <is>
          <t>1</t>
        </is>
      </c>
      <c r="M342" s="9" t="inlineStr">
        <is>
          <t>0</t>
        </is>
      </c>
      <c r="N342" s="9" t="inlineStr">
        <is>
          <t>0</t>
        </is>
      </c>
      <c r="O342" s="10" t="inlineStr">
        <is>
          <t>0</t>
        </is>
      </c>
      <c r="P342" s="10" t="inlineStr">
        <is>
          <t>0</t>
        </is>
      </c>
      <c r="Q342" s="10" t="inlineStr">
        <is>
          <t>0</t>
        </is>
      </c>
      <c r="R342" s="10" t="inlineStr">
        <is>
          <t>0</t>
        </is>
      </c>
      <c r="S342" s="10" t="inlineStr">
        <is>
          <t>1</t>
        </is>
      </c>
    </row>
    <row r="343" ht="73" customHeight="1">
      <c r="A343" s="6">
        <f>IFERROR(__xludf.DUMMYFUNCTION("""COMPUTED_VALUE"""),"Transcription &amp; Translation")</f>
        <v/>
      </c>
      <c r="B343" s="6">
        <f>IFERROR(__xludf.DUMMYFUNCTION("""COMPUTED_VALUE"""),"Application")</f>
        <v/>
      </c>
      <c r="C343" s="6">
        <f>IFERROR(__xludf.DUMMYFUNCTION("""COMPUTED_VALUE"""),"Teacher Feedback (3)")</f>
        <v/>
      </c>
      <c r="D343" s="7">
        <f>IFERROR(__xludf.DUMMYFUNCTION("""COMPUTED_VALUE"""),"No task description")</f>
        <v/>
      </c>
      <c r="E343" s="7">
        <f>IFERROR(__xludf.DUMMYFUNCTION("""COMPUTED_VALUE"""),"Golabz app/lab: ""&lt;p&gt;A tool where teachers can provide feedback to students&lt;/p&gt;\r\n""")</f>
        <v/>
      </c>
      <c r="F343" s="7" t="inlineStr">
        <is>
          <t>Students describe what's missing in an animation for understanding translation. Embedded artifacts include note-taking and feedback tools.</t>
        </is>
      </c>
      <c r="G343" s="8" t="inlineStr">
        <is>
          <t>1</t>
        </is>
      </c>
      <c r="H343" s="8" t="inlineStr">
        <is>
          <t>0</t>
        </is>
      </c>
      <c r="I343" s="8" t="inlineStr">
        <is>
          <t>1</t>
        </is>
      </c>
      <c r="J343" s="8" t="inlineStr">
        <is>
          <t>0</t>
        </is>
      </c>
      <c r="K343" s="9" t="inlineStr">
        <is>
          <t>0</t>
        </is>
      </c>
      <c r="L343" s="9" t="inlineStr">
        <is>
          <t>1</t>
        </is>
      </c>
      <c r="M343" s="9" t="inlineStr">
        <is>
          <t>0</t>
        </is>
      </c>
      <c r="N343" s="9" t="inlineStr">
        <is>
          <t>0</t>
        </is>
      </c>
      <c r="O343" s="10" t="inlineStr">
        <is>
          <t>0</t>
        </is>
      </c>
      <c r="P343" s="10" t="inlineStr">
        <is>
          <t>0</t>
        </is>
      </c>
      <c r="Q343" s="10" t="inlineStr">
        <is>
          <t>0</t>
        </is>
      </c>
      <c r="R343" s="10" t="inlineStr">
        <is>
          <t>0</t>
        </is>
      </c>
      <c r="S343" s="10" t="inlineStr">
        <is>
          <t>1</t>
        </is>
      </c>
    </row>
    <row r="344" ht="37" customHeight="1">
      <c r="A344" s="6">
        <f>IFERROR(__xludf.DUMMYFUNCTION("""COMPUTED_VALUE"""),"Transcription &amp; Translation")</f>
        <v/>
      </c>
      <c r="B344" s="6">
        <f>IFERROR(__xludf.DUMMYFUNCTION("""COMPUTED_VALUE"""),"Space")</f>
        <v/>
      </c>
      <c r="C344" s="6">
        <f>IFERROR(__xludf.DUMMYFUNCTION("""COMPUTED_VALUE"""),"Conclusion")</f>
        <v/>
      </c>
      <c r="D344" s="7">
        <f>IFERROR(__xludf.DUMMYFUNCTION("""COMPUTED_VALUE"""),"This is the Conclusion phase.")</f>
        <v/>
      </c>
      <c r="E344" s="7">
        <f>IFERROR(__xludf.DUMMYFUNCTION("""COMPUTED_VALUE"""),"No artifact embedded")</f>
        <v/>
      </c>
      <c r="F344" s="7" t="inlineStr">
        <is>
          <t>No instructions are provided. Embedded artifacts include a note-taking app and a feedback tool.</t>
        </is>
      </c>
      <c r="G344" s="8" t="inlineStr">
        <is>
          <t>0</t>
        </is>
      </c>
      <c r="H344" s="8" t="inlineStr">
        <is>
          <t>0</t>
        </is>
      </c>
      <c r="I344" s="8" t="inlineStr">
        <is>
          <t>0</t>
        </is>
      </c>
      <c r="J344" s="8" t="inlineStr">
        <is>
          <t>0</t>
        </is>
      </c>
      <c r="K344" s="9" t="inlineStr">
        <is>
          <t>1</t>
        </is>
      </c>
      <c r="L344" s="9" t="inlineStr">
        <is>
          <t>0</t>
        </is>
      </c>
      <c r="M344" s="9" t="inlineStr">
        <is>
          <t>0</t>
        </is>
      </c>
      <c r="N344" s="9" t="inlineStr">
        <is>
          <t>0</t>
        </is>
      </c>
      <c r="O344" s="10" t="inlineStr">
        <is>
          <t>0</t>
        </is>
      </c>
      <c r="P344" s="10" t="inlineStr">
        <is>
          <t>0</t>
        </is>
      </c>
      <c r="Q344" s="10" t="inlineStr">
        <is>
          <t>0</t>
        </is>
      </c>
      <c r="R344" s="10" t="inlineStr">
        <is>
          <t>0</t>
        </is>
      </c>
      <c r="S344" s="10" t="inlineStr">
        <is>
          <t>0</t>
        </is>
      </c>
    </row>
    <row r="345" ht="61" customHeight="1">
      <c r="A345" s="6">
        <f>IFERROR(__xludf.DUMMYFUNCTION("""COMPUTED_VALUE"""),"Transcription &amp; Translation")</f>
        <v/>
      </c>
      <c r="B345" s="6">
        <f>IFERROR(__xludf.DUMMYFUNCTION("""COMPUTED_VALUE"""),"Resource")</f>
        <v/>
      </c>
      <c r="C345" s="6">
        <f>IFERROR(__xludf.DUMMYFUNCTION("""COMPUTED_VALUE"""),"Conclusion 1.graasp")</f>
        <v/>
      </c>
      <c r="D345" s="7">
        <f>IFERROR(__xludf.DUMMYFUNCTION("""COMPUTED_VALUE"""),"&lt;p&gt;Write a short conclusion on the main things you have learned today&lt;/p&gt;")</f>
        <v/>
      </c>
      <c r="E345" s="7">
        <f>IFERROR(__xludf.DUMMYFUNCTION("""COMPUTED_VALUE"""),"No artifact embedded")</f>
        <v/>
      </c>
      <c r="F345" s="7" t="inlineStr">
        <is>
          <t>Students were given tasks with descriptions and some had embedded artifacts, including Golabz app for teacher feedback.</t>
        </is>
      </c>
      <c r="G345" s="8" t="inlineStr">
        <is>
          <t>0</t>
        </is>
      </c>
      <c r="H345" s="8" t="inlineStr">
        <is>
          <t>0</t>
        </is>
      </c>
      <c r="I345" s="8" t="inlineStr">
        <is>
          <t>1</t>
        </is>
      </c>
      <c r="J345" s="8" t="inlineStr">
        <is>
          <t>1</t>
        </is>
      </c>
      <c r="K345" s="9" t="inlineStr">
        <is>
          <t>0</t>
        </is>
      </c>
      <c r="L345" s="9" t="inlineStr">
        <is>
          <t>1</t>
        </is>
      </c>
      <c r="M345" s="9" t="inlineStr">
        <is>
          <t>0</t>
        </is>
      </c>
      <c r="N345" s="9" t="inlineStr">
        <is>
          <t>0</t>
        </is>
      </c>
      <c r="O345" s="10" t="inlineStr">
        <is>
          <t>0</t>
        </is>
      </c>
      <c r="P345" s="10" t="inlineStr">
        <is>
          <t>0</t>
        </is>
      </c>
      <c r="Q345" s="10" t="inlineStr">
        <is>
          <t>0</t>
        </is>
      </c>
      <c r="R345" s="10" t="inlineStr">
        <is>
          <t>1</t>
        </is>
      </c>
      <c r="S345" s="10" t="inlineStr">
        <is>
          <t>1</t>
        </is>
      </c>
    </row>
    <row r="346" ht="329" customHeight="1">
      <c r="A346" s="6">
        <f>IFERROR(__xludf.DUMMYFUNCTION("""COMPUTED_VALUE"""),"Transcription &amp; Translation")</f>
        <v/>
      </c>
      <c r="B346" s="6">
        <f>IFERROR(__xludf.DUMMYFUNCTION("""COMPUTED_VALUE"""),"Application")</f>
        <v/>
      </c>
      <c r="C346" s="6">
        <f>IFERROR(__xludf.DUMMYFUNCTION("""COMPUTED_VALUE"""),"Input Box")</f>
        <v/>
      </c>
      <c r="D346" s="7">
        <f>IFERROR(__xludf.DUMMYFUNCTION("""COMPUTED_VALUE"""),"No task description")</f>
        <v/>
      </c>
      <c r="E3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6" s="7" t="inlineStr">
        <is>
          <t>Students were instructed to conclude their learnings. Embedded artifacts include a note-taking app, Golabz, which allows teachers to overview student inputs and enables collaboration.</t>
        </is>
      </c>
      <c r="G346" s="8" t="inlineStr">
        <is>
          <t>0</t>
        </is>
      </c>
      <c r="H346" s="8" t="inlineStr">
        <is>
          <t>1</t>
        </is>
      </c>
      <c r="I346" s="8" t="inlineStr">
        <is>
          <t>1</t>
        </is>
      </c>
      <c r="J346" s="8" t="inlineStr">
        <is>
          <t>1</t>
        </is>
      </c>
      <c r="K346" s="9" t="inlineStr">
        <is>
          <t>0</t>
        </is>
      </c>
      <c r="L346" s="9" t="inlineStr">
        <is>
          <t>1</t>
        </is>
      </c>
      <c r="M346" s="9" t="inlineStr">
        <is>
          <t>1</t>
        </is>
      </c>
      <c r="N346" s="9" t="inlineStr">
        <is>
          <t>1</t>
        </is>
      </c>
      <c r="O346" s="10" t="inlineStr">
        <is>
          <t>0</t>
        </is>
      </c>
      <c r="P346" s="10" t="inlineStr">
        <is>
          <t>0</t>
        </is>
      </c>
      <c r="Q346" s="10" t="inlineStr">
        <is>
          <t>0</t>
        </is>
      </c>
      <c r="R346" s="10" t="inlineStr">
        <is>
          <t>0</t>
        </is>
      </c>
      <c r="S346" s="10" t="inlineStr">
        <is>
          <t>1</t>
        </is>
      </c>
    </row>
    <row r="347" ht="73" customHeight="1">
      <c r="A347" s="6">
        <f>IFERROR(__xludf.DUMMYFUNCTION("""COMPUTED_VALUE"""),"Transcription &amp; Translation")</f>
        <v/>
      </c>
      <c r="B347" s="6">
        <f>IFERROR(__xludf.DUMMYFUNCTION("""COMPUTED_VALUE"""),"Application")</f>
        <v/>
      </c>
      <c r="C347" s="6">
        <f>IFERROR(__xludf.DUMMYFUNCTION("""COMPUTED_VALUE"""),"Teacher Feedback")</f>
        <v/>
      </c>
      <c r="D347" s="7">
        <f>IFERROR(__xludf.DUMMYFUNCTION("""COMPUTED_VALUE"""),"No task description")</f>
        <v/>
      </c>
      <c r="E347" s="7">
        <f>IFERROR(__xludf.DUMMYFUNCTION("""COMPUTED_VALUE"""),"Golabz app/lab: ""&lt;p&gt;A tool where teachers can provide feedback to students&lt;/p&gt;\r\n""")</f>
        <v/>
      </c>
      <c r="F347" s="7" t="inlineStr">
        <is>
          <t>Students were instructed to write a conclusion on main learnings. Embedded artifacts include note-taking and feedback tools in the Golabz app/lab.</t>
        </is>
      </c>
      <c r="G347" s="8" t="inlineStr">
        <is>
          <t>1</t>
        </is>
      </c>
      <c r="H347" s="8" t="inlineStr">
        <is>
          <t>0</t>
        </is>
      </c>
      <c r="I347" s="8" t="inlineStr">
        <is>
          <t>0</t>
        </is>
      </c>
      <c r="J347" s="8" t="inlineStr">
        <is>
          <t>0</t>
        </is>
      </c>
      <c r="K347" s="9" t="inlineStr">
        <is>
          <t>0</t>
        </is>
      </c>
      <c r="L347" s="9" t="inlineStr">
        <is>
          <t>0</t>
        </is>
      </c>
      <c r="M347" s="9" t="inlineStr">
        <is>
          <t>0</t>
        </is>
      </c>
      <c r="N347" s="9" t="inlineStr">
        <is>
          <t>0</t>
        </is>
      </c>
      <c r="O347" s="10" t="inlineStr">
        <is>
          <t>0</t>
        </is>
      </c>
      <c r="P347" s="10" t="inlineStr">
        <is>
          <t>0</t>
        </is>
      </c>
      <c r="Q347" s="10" t="inlineStr">
        <is>
          <t>0</t>
        </is>
      </c>
      <c r="R347" s="10" t="inlineStr">
        <is>
          <t>0</t>
        </is>
      </c>
      <c r="S347" s="10" t="inlineStr">
        <is>
          <t>1</t>
        </is>
      </c>
    </row>
    <row r="348" ht="37" customHeight="1">
      <c r="A348" s="6">
        <f>IFERROR(__xludf.DUMMYFUNCTION("""COMPUTED_VALUE"""),"Transcription &amp; Translation")</f>
        <v/>
      </c>
      <c r="B348" s="6">
        <f>IFERROR(__xludf.DUMMYFUNCTION("""COMPUTED_VALUE"""),"Space")</f>
        <v/>
      </c>
      <c r="C348" s="6">
        <f>IFERROR(__xludf.DUMMYFUNCTION("""COMPUTED_VALUE"""),"Discussion")</f>
        <v/>
      </c>
      <c r="D348" s="7">
        <f>IFERROR(__xludf.DUMMYFUNCTION("""COMPUTED_VALUE"""),"This is the Discussion phase.")</f>
        <v/>
      </c>
      <c r="E348" s="7">
        <f>IFERROR(__xludf.DUMMYFUNCTION("""COMPUTED_VALUE"""),"No artifact embedded")</f>
        <v/>
      </c>
      <c r="F348" s="7" t="inlineStr">
        <is>
          <t>Students received no task descriptions, but had access to apps for note-taking and teacher feedback.</t>
        </is>
      </c>
      <c r="G348" s="8" t="inlineStr">
        <is>
          <t>0</t>
        </is>
      </c>
      <c r="H348" s="8" t="inlineStr">
        <is>
          <t>0</t>
        </is>
      </c>
      <c r="I348" s="8" t="inlineStr">
        <is>
          <t>0</t>
        </is>
      </c>
      <c r="J348" s="8" t="inlineStr">
        <is>
          <t>0</t>
        </is>
      </c>
      <c r="K348" s="9" t="inlineStr">
        <is>
          <t>0</t>
        </is>
      </c>
      <c r="L348" s="9" t="inlineStr">
        <is>
          <t>0</t>
        </is>
      </c>
      <c r="M348" s="9" t="inlineStr">
        <is>
          <t>1</t>
        </is>
      </c>
      <c r="N348" s="9" t="inlineStr">
        <is>
          <t>0</t>
        </is>
      </c>
      <c r="O348" s="10" t="inlineStr">
        <is>
          <t>0</t>
        </is>
      </c>
      <c r="P348" s="10" t="inlineStr">
        <is>
          <t>0</t>
        </is>
      </c>
      <c r="Q348" s="10" t="inlineStr">
        <is>
          <t>0</t>
        </is>
      </c>
      <c r="R348" s="10" t="inlineStr">
        <is>
          <t>0</t>
        </is>
      </c>
      <c r="S348" s="10" t="inlineStr">
        <is>
          <t>0</t>
        </is>
      </c>
    </row>
    <row r="349" ht="362" customHeight="1">
      <c r="A349" s="6">
        <f>IFERROR(__xludf.DUMMYFUNCTION("""COMPUTED_VALUE"""),"Transcription &amp; Translation")</f>
        <v/>
      </c>
      <c r="B349" s="6">
        <f>IFERROR(__xludf.DUMMYFUNCTION("""COMPUTED_VALUE"""),"Resource")</f>
        <v/>
      </c>
      <c r="C349" s="6">
        <f>IFERROR(__xludf.DUMMYFUNCTION("""COMPUTED_VALUE"""),"Discussion 1.graasp")</f>
        <v/>
      </c>
      <c r="D349" s="7">
        <f>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
      </c>
      <c r="E349" s="7">
        <f>IFERROR(__xludf.DUMMYFUNCTION("""COMPUTED_VALUE"""),"No artifact embedded")</f>
        <v/>
      </c>
      <c r="F349" s="7" t="inlineStr">
        <is>
          <t>Students receive task descriptions and access to an embedded Golabz app/lab for feedback, with some items lacking artifacts or detailed instructions.</t>
        </is>
      </c>
      <c r="G349" s="8" t="inlineStr">
        <is>
          <t>0</t>
        </is>
      </c>
      <c r="H349" s="8" t="inlineStr">
        <is>
          <t>0</t>
        </is>
      </c>
      <c r="I349" s="8" t="inlineStr">
        <is>
          <t>1</t>
        </is>
      </c>
      <c r="J349" s="8" t="inlineStr">
        <is>
          <t>1</t>
        </is>
      </c>
      <c r="K349" s="9" t="inlineStr">
        <is>
          <t>0</t>
        </is>
      </c>
      <c r="L349" s="9" t="inlineStr">
        <is>
          <t>1</t>
        </is>
      </c>
      <c r="M349" s="9" t="inlineStr">
        <is>
          <t>1</t>
        </is>
      </c>
      <c r="N349" s="9" t="inlineStr">
        <is>
          <t>0</t>
        </is>
      </c>
      <c r="O349" s="10" t="inlineStr">
        <is>
          <t>1</t>
        </is>
      </c>
      <c r="P349" s="10" t="inlineStr">
        <is>
          <t>1</t>
        </is>
      </c>
      <c r="Q349" s="10" t="inlineStr">
        <is>
          <t>0</t>
        </is>
      </c>
      <c r="R349" s="10" t="inlineStr">
        <is>
          <t>0</t>
        </is>
      </c>
      <c r="S349" s="10" t="inlineStr">
        <is>
          <t>1</t>
        </is>
      </c>
    </row>
    <row r="350" ht="121" customHeight="1">
      <c r="A350" s="6">
        <f>IFERROR(__xludf.DUMMYFUNCTION("""COMPUTED_VALUE"""),"Transcription &amp; Translation")</f>
        <v/>
      </c>
      <c r="B350" s="6">
        <f>IFERROR(__xludf.DUMMYFUNCTION("""COMPUTED_VALUE"""),"Resource")</f>
        <v/>
      </c>
      <c r="C350" s="6">
        <f>IFERROR(__xludf.DUMMYFUNCTION("""COMPUTED_VALUE"""),"Enzyme Function | University Of Surrey")</f>
        <v/>
      </c>
      <c r="D350" s="7">
        <f>IFERROR(__xludf.DUMMYFUNCTION("""COMPUTED_VALUE"""),"No task description")</f>
        <v/>
      </c>
      <c r="E350" s="7">
        <f>IFERROR(__xludf.DUMMYFUNCTION("""COMPUTED_VALUE"""),"youtube.com: A widely known video-sharing platform where users can watch videos on a vast array of topics, including educational content.")</f>
        <v/>
      </c>
      <c r="F350" s="7" t="inlineStr">
        <is>
          <t>Students discuss transcription and translation's link to enzyme activity. No artifacts are embedded in Items 1 and 2, but Item 3 mentions YouTube as an artifact.</t>
        </is>
      </c>
      <c r="G350" s="8" t="inlineStr">
        <is>
          <t>1</t>
        </is>
      </c>
      <c r="H350" s="8" t="inlineStr">
        <is>
          <t>0</t>
        </is>
      </c>
      <c r="I350" s="8" t="inlineStr">
        <is>
          <t>0</t>
        </is>
      </c>
      <c r="J350" s="8" t="inlineStr">
        <is>
          <t>0</t>
        </is>
      </c>
      <c r="K350" s="9" t="inlineStr">
        <is>
          <t>1</t>
        </is>
      </c>
      <c r="L350" s="9" t="inlineStr">
        <is>
          <t>0</t>
        </is>
      </c>
      <c r="M350" s="9" t="inlineStr">
        <is>
          <t>0</t>
        </is>
      </c>
      <c r="N350" s="9" t="inlineStr">
        <is>
          <t>0</t>
        </is>
      </c>
      <c r="O350" s="10" t="inlineStr">
        <is>
          <t>0</t>
        </is>
      </c>
      <c r="P350" s="10" t="inlineStr">
        <is>
          <t>0</t>
        </is>
      </c>
      <c r="Q350" s="10" t="inlineStr">
        <is>
          <t>0</t>
        </is>
      </c>
      <c r="R350" s="10" t="inlineStr">
        <is>
          <t>0</t>
        </is>
      </c>
      <c r="S350" s="10" t="inlineStr">
        <is>
          <t>0</t>
        </is>
      </c>
    </row>
    <row r="351" ht="329" customHeight="1">
      <c r="A351" s="6">
        <f>IFERROR(__xludf.DUMMYFUNCTION("""COMPUTED_VALUE"""),"Transcription &amp; Translation")</f>
        <v/>
      </c>
      <c r="B351" s="6">
        <f>IFERROR(__xludf.DUMMYFUNCTION("""COMPUTED_VALUE"""),"Application")</f>
        <v/>
      </c>
      <c r="C351" s="6">
        <f>IFERROR(__xludf.DUMMYFUNCTION("""COMPUTED_VALUE"""),"Input Box")</f>
        <v/>
      </c>
      <c r="D351" s="7">
        <f>IFERROR(__xludf.DUMMYFUNCTION("""COMPUTED_VALUE"""),"No task description")</f>
        <v/>
      </c>
      <c r="E3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1" s="7" t="inlineStr">
        <is>
          <t>Students discuss transcription and translation's link to enzyme activity using a video. Embedded artifacts include a video and note-taking apps (Golabz and Input Box).</t>
        </is>
      </c>
      <c r="G351" s="8" t="inlineStr">
        <is>
          <t>0</t>
        </is>
      </c>
      <c r="H351" s="8" t="inlineStr">
        <is>
          <t>1</t>
        </is>
      </c>
      <c r="I351" s="8" t="inlineStr">
        <is>
          <t>1</t>
        </is>
      </c>
      <c r="J351" s="8" t="inlineStr">
        <is>
          <t>1</t>
        </is>
      </c>
      <c r="K351" s="9" t="inlineStr">
        <is>
          <t>0</t>
        </is>
      </c>
      <c r="L351" s="9" t="inlineStr">
        <is>
          <t>1</t>
        </is>
      </c>
      <c r="M351" s="9" t="inlineStr">
        <is>
          <t>0</t>
        </is>
      </c>
      <c r="N351" s="9" t="inlineStr">
        <is>
          <t>1</t>
        </is>
      </c>
      <c r="O351" s="10" t="inlineStr">
        <is>
          <t>0</t>
        </is>
      </c>
      <c r="P351" s="10" t="inlineStr">
        <is>
          <t>0</t>
        </is>
      </c>
      <c r="Q351" s="10" t="inlineStr">
        <is>
          <t>0</t>
        </is>
      </c>
      <c r="R351" s="10" t="inlineStr">
        <is>
          <t>0</t>
        </is>
      </c>
      <c r="S351" s="10" t="inlineStr">
        <is>
          <t>1</t>
        </is>
      </c>
    </row>
    <row r="352" ht="73" customHeight="1">
      <c r="A352" s="6">
        <f>IFERROR(__xludf.DUMMYFUNCTION("""COMPUTED_VALUE"""),"Transcription &amp; Translation")</f>
        <v/>
      </c>
      <c r="B352" s="6">
        <f>IFERROR(__xludf.DUMMYFUNCTION("""COMPUTED_VALUE"""),"Application")</f>
        <v/>
      </c>
      <c r="C352" s="6">
        <f>IFERROR(__xludf.DUMMYFUNCTION("""COMPUTED_VALUE"""),"Teacher Feedback")</f>
        <v/>
      </c>
      <c r="D352" s="7">
        <f>IFERROR(__xludf.DUMMYFUNCTION("""COMPUTED_VALUE"""),"No task description")</f>
        <v/>
      </c>
      <c r="E352" s="7">
        <f>IFERROR(__xludf.DUMMYFUNCTION("""COMPUTED_VALUE"""),"Golabz app/lab: ""&lt;p&gt;A tool where teachers can provide feedback to students&lt;/p&gt;\r\n""")</f>
        <v/>
      </c>
      <c r="F352" s="7" t="inlineStr">
        <is>
          <t>No task descriptions are provided. Embedded artifacts include YouTube and two Golabz apps for note-taking and teacher feedback.</t>
        </is>
      </c>
      <c r="G352" s="8" t="inlineStr">
        <is>
          <t>1</t>
        </is>
      </c>
      <c r="H352" s="8" t="inlineStr">
        <is>
          <t>0</t>
        </is>
      </c>
      <c r="I352" s="8" t="inlineStr">
        <is>
          <t>1</t>
        </is>
      </c>
      <c r="J352" s="8" t="inlineStr">
        <is>
          <t>0</t>
        </is>
      </c>
      <c r="K352" s="9" t="inlineStr">
        <is>
          <t>1</t>
        </is>
      </c>
      <c r="L352" s="9" t="inlineStr">
        <is>
          <t>1</t>
        </is>
      </c>
      <c r="M352" s="9" t="inlineStr">
        <is>
          <t>0</t>
        </is>
      </c>
      <c r="N352" s="9" t="inlineStr">
        <is>
          <t>0</t>
        </is>
      </c>
      <c r="O352" s="10" t="inlineStr">
        <is>
          <t>0</t>
        </is>
      </c>
      <c r="P352" s="10" t="inlineStr">
        <is>
          <t>0</t>
        </is>
      </c>
      <c r="Q352" s="10" t="inlineStr">
        <is>
          <t>0</t>
        </is>
      </c>
      <c r="R352" s="10" t="inlineStr">
        <is>
          <t>0</t>
        </is>
      </c>
      <c r="S352" s="10" t="inlineStr">
        <is>
          <t>1</t>
        </is>
      </c>
    </row>
    <row r="353" ht="109" customHeight="1">
      <c r="A353" s="6">
        <f>IFERROR(__xludf.DUMMYFUNCTION("""COMPUTED_VALUE"""),"Transcription &amp; Translation")</f>
        <v/>
      </c>
      <c r="B353" s="6">
        <f>IFERROR(__xludf.DUMMYFUNCTION("""COMPUTED_VALUE"""),"Resource")</f>
        <v/>
      </c>
      <c r="C353" s="6">
        <f>IFERROR(__xludf.DUMMYFUNCTION("""COMPUTED_VALUE"""),"Discussion 2.graasp")</f>
        <v/>
      </c>
      <c r="D353" s="7">
        <f>IFERROR(__xludf.DUMMYFUNCTION("""COMPUTED_VALUE"""),"&lt;p&gt;Discuss the role of transcription and translation in &lt;strong&gt;&lt;em&gt;two&lt;/em&gt;&lt;/strong&gt; other processes within a living organism.&lt;/p&gt;")</f>
        <v/>
      </c>
      <c r="E353" s="7">
        <f>IFERROR(__xludf.DUMMYFUNCTION("""COMPUTED_VALUE"""),"No artifact embedded")</f>
        <v/>
      </c>
      <c r="F353" s="7" t="inlineStr">
        <is>
          <t>Students received no task descriptions for Items 1 and 2, but an app/lab tool was provided. Item 3 described a discussion task with no embedded artifact.</t>
        </is>
      </c>
      <c r="G353" s="8" t="inlineStr">
        <is>
          <t>0</t>
        </is>
      </c>
      <c r="H353" s="8" t="inlineStr">
        <is>
          <t>0</t>
        </is>
      </c>
      <c r="I353" s="8" t="inlineStr">
        <is>
          <t>0</t>
        </is>
      </c>
      <c r="J353" s="8" t="inlineStr">
        <is>
          <t>1</t>
        </is>
      </c>
      <c r="K353" s="9" t="inlineStr">
        <is>
          <t>0</t>
        </is>
      </c>
      <c r="L353" s="9" t="inlineStr">
        <is>
          <t>0</t>
        </is>
      </c>
      <c r="M353" s="9" t="inlineStr">
        <is>
          <t>1</t>
        </is>
      </c>
      <c r="N353" s="9" t="inlineStr">
        <is>
          <t>0</t>
        </is>
      </c>
      <c r="O353" s="10" t="inlineStr">
        <is>
          <t>0</t>
        </is>
      </c>
      <c r="P353" s="10" t="inlineStr">
        <is>
          <t>1</t>
        </is>
      </c>
      <c r="Q353" s="10" t="inlineStr">
        <is>
          <t>0</t>
        </is>
      </c>
      <c r="R353" s="10" t="inlineStr">
        <is>
          <t>0</t>
        </is>
      </c>
      <c r="S353" s="10" t="inlineStr">
        <is>
          <t>1</t>
        </is>
      </c>
    </row>
    <row r="354" ht="329" customHeight="1">
      <c r="A354" s="6">
        <f>IFERROR(__xludf.DUMMYFUNCTION("""COMPUTED_VALUE"""),"Transcription &amp; Translation")</f>
        <v/>
      </c>
      <c r="B354" s="6">
        <f>IFERROR(__xludf.DUMMYFUNCTION("""COMPUTED_VALUE"""),"Application")</f>
        <v/>
      </c>
      <c r="C354" s="6">
        <f>IFERROR(__xludf.DUMMYFUNCTION("""COMPUTED_VALUE"""),"Input Box (1)")</f>
        <v/>
      </c>
      <c r="D354" s="7">
        <f>IFERROR(__xludf.DUMMYFUNCTION("""COMPUTED_VALUE"""),"No task description")</f>
        <v/>
      </c>
      <c r="E35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4" s="7" t="inlineStr">
        <is>
          <t>Students received tasks and used Golabz apps, including a feedback tool and note-taking app with optional collaboration mode.</t>
        </is>
      </c>
      <c r="G354" s="8" t="inlineStr">
        <is>
          <t>0</t>
        </is>
      </c>
      <c r="H354" s="8" t="inlineStr">
        <is>
          <t>1</t>
        </is>
      </c>
      <c r="I354" s="8" t="inlineStr">
        <is>
          <t>1</t>
        </is>
      </c>
      <c r="J354" s="8" t="inlineStr">
        <is>
          <t>1</t>
        </is>
      </c>
      <c r="K354" s="9" t="inlineStr">
        <is>
          <t>0</t>
        </is>
      </c>
      <c r="L354" s="9" t="inlineStr">
        <is>
          <t>1</t>
        </is>
      </c>
      <c r="M354" s="9" t="inlineStr">
        <is>
          <t>0</t>
        </is>
      </c>
      <c r="N354" s="9" t="inlineStr">
        <is>
          <t>0</t>
        </is>
      </c>
      <c r="O354" s="10" t="inlineStr">
        <is>
          <t>0</t>
        </is>
      </c>
      <c r="P354" s="10" t="inlineStr">
        <is>
          <t>0</t>
        </is>
      </c>
      <c r="Q354" s="10" t="inlineStr">
        <is>
          <t>0</t>
        </is>
      </c>
      <c r="R354" s="10" t="inlineStr">
        <is>
          <t>0</t>
        </is>
      </c>
      <c r="S354" s="10" t="inlineStr">
        <is>
          <t>1</t>
        </is>
      </c>
    </row>
    <row r="355" ht="73" customHeight="1">
      <c r="A355" s="6">
        <f>IFERROR(__xludf.DUMMYFUNCTION("""COMPUTED_VALUE"""),"Transcription &amp; Translation")</f>
        <v/>
      </c>
      <c r="B355" s="6">
        <f>IFERROR(__xludf.DUMMYFUNCTION("""COMPUTED_VALUE"""),"Application")</f>
        <v/>
      </c>
      <c r="C355" s="6">
        <f>IFERROR(__xludf.DUMMYFUNCTION("""COMPUTED_VALUE"""),"Teacher Feedback (1)")</f>
        <v/>
      </c>
      <c r="D355" s="7">
        <f>IFERROR(__xludf.DUMMYFUNCTION("""COMPUTED_VALUE"""),"No task description")</f>
        <v/>
      </c>
      <c r="E355" s="7">
        <f>IFERROR(__xludf.DUMMYFUNCTION("""COMPUTED_VALUE"""),"Golabz app/lab: ""&lt;p&gt;A tool where teachers can provide feedback to students&lt;/p&gt;\r\n""")</f>
        <v/>
      </c>
      <c r="F355" s="7" t="inlineStr">
        <is>
          <t>Students discuss transcription/translation roles; artifacts include note-taking and feedback tools.</t>
        </is>
      </c>
      <c r="G355" s="8" t="inlineStr">
        <is>
          <t>1</t>
        </is>
      </c>
      <c r="H355" s="8" t="inlineStr">
        <is>
          <t>0</t>
        </is>
      </c>
      <c r="I355" s="8" t="inlineStr">
        <is>
          <t>1</t>
        </is>
      </c>
      <c r="J355" s="8" t="inlineStr">
        <is>
          <t>0</t>
        </is>
      </c>
      <c r="K355" s="9" t="inlineStr">
        <is>
          <t>0</t>
        </is>
      </c>
      <c r="L355" s="9" t="inlineStr">
        <is>
          <t>1</t>
        </is>
      </c>
      <c r="M355" s="9" t="inlineStr">
        <is>
          <t>0</t>
        </is>
      </c>
      <c r="N355" s="9" t="inlineStr">
        <is>
          <t>0</t>
        </is>
      </c>
      <c r="O355" s="10" t="inlineStr">
        <is>
          <t>0</t>
        </is>
      </c>
      <c r="P355" s="10" t="inlineStr">
        <is>
          <t>0</t>
        </is>
      </c>
      <c r="Q355" s="10" t="inlineStr">
        <is>
          <t>0</t>
        </is>
      </c>
      <c r="R355" s="10" t="inlineStr">
        <is>
          <t>0</t>
        </is>
      </c>
      <c r="S355" s="10" t="inlineStr">
        <is>
          <t>1</t>
        </is>
      </c>
    </row>
    <row r="356" ht="85" customHeight="1">
      <c r="A356" s="6">
        <f>IFERROR(__xludf.DUMMYFUNCTION("""COMPUTED_VALUE"""),"Managing a Haber Process Plant")</f>
        <v/>
      </c>
      <c r="B356" s="6">
        <f>IFERROR(__xludf.DUMMYFUNCTION("""COMPUTED_VALUE"""),"Space")</f>
        <v/>
      </c>
      <c r="C356" s="6">
        <f>IFERROR(__xludf.DUMMYFUNCTION("""COMPUTED_VALUE"""),"Orientation")</f>
        <v/>
      </c>
      <c r="D356" s="7">
        <f>IFERROR(__xludf.DUMMYFUNCTION("""COMPUTED_VALUE"""),"&lt;p&gt;THE HABER PROCESS - the chemical reaction that feeds the world&lt;/p&gt;")</f>
        <v/>
      </c>
      <c r="E356" s="7">
        <f>IFERROR(__xludf.DUMMYFUNCTION("""COMPUTED_VALUE"""),"No artifact embedded")</f>
        <v/>
      </c>
      <c r="F356" s="7" t="inlineStr">
        <is>
          <t>No task descriptions, but Items 1 and 2 have Golabz app/lab artifacts for note-taking and feedback.</t>
        </is>
      </c>
      <c r="G356" s="8" t="inlineStr">
        <is>
          <t>1</t>
        </is>
      </c>
      <c r="H356" s="8" t="inlineStr">
        <is>
          <t>0</t>
        </is>
      </c>
      <c r="I356" s="8" t="inlineStr">
        <is>
          <t>0</t>
        </is>
      </c>
      <c r="J356" s="8" t="inlineStr">
        <is>
          <t>0</t>
        </is>
      </c>
      <c r="K356" s="9" t="inlineStr">
        <is>
          <t>1</t>
        </is>
      </c>
      <c r="L356" s="9" t="inlineStr">
        <is>
          <t>0</t>
        </is>
      </c>
      <c r="M356" s="9" t="inlineStr">
        <is>
          <t>0</t>
        </is>
      </c>
      <c r="N356" s="9" t="inlineStr">
        <is>
          <t>0</t>
        </is>
      </c>
      <c r="O356" s="10" t="inlineStr">
        <is>
          <t>0</t>
        </is>
      </c>
      <c r="P356" s="10" t="inlineStr">
        <is>
          <t>0</t>
        </is>
      </c>
      <c r="Q356" s="10" t="inlineStr">
        <is>
          <t>0</t>
        </is>
      </c>
      <c r="R356" s="10" t="inlineStr">
        <is>
          <t>0</t>
        </is>
      </c>
      <c r="S356" s="10" t="inlineStr">
        <is>
          <t>0</t>
        </is>
      </c>
    </row>
    <row r="357" ht="121" customHeight="1">
      <c r="A357" s="6">
        <f>IFERROR(__xludf.DUMMYFUNCTION("""COMPUTED_VALUE"""),"Managing a Haber Process Plant")</f>
        <v/>
      </c>
      <c r="B357" s="6">
        <f>IFERROR(__xludf.DUMMYFUNCTION("""COMPUTED_VALUE"""),"Resource")</f>
        <v/>
      </c>
      <c r="C357" s="6">
        <f>IFERROR(__xludf.DUMMYFUNCTION("""COMPUTED_VALUE"""),"The chemical reaction that feeds the world - Daniel D. Dulek.mp4")</f>
        <v/>
      </c>
      <c r="D357" s="7">
        <f>IFERROR(__xludf.DUMMYFUNCTION("""COMPUTED_VALUE"""),"No task description")</f>
        <v/>
      </c>
      <c r="E357" s="7">
        <f>IFERROR(__xludf.DUMMYFUNCTION("""COMPUTED_VALUE"""),"video/mp4 – A video file containing moving images and possibly audio, suitable for playback on most modern devices and platforms.")</f>
        <v/>
      </c>
      <c r="F357" s="7" t="inlineStr">
        <is>
          <t>Students received tasks with varying descriptions and embedded artifacts, including a feedback tool, a chemical reaction topic, and a video file.</t>
        </is>
      </c>
      <c r="G357" s="8" t="inlineStr">
        <is>
          <t>1</t>
        </is>
      </c>
      <c r="H357" s="8" t="inlineStr">
        <is>
          <t>0</t>
        </is>
      </c>
      <c r="I357" s="8" t="inlineStr">
        <is>
          <t>0</t>
        </is>
      </c>
      <c r="J357" s="8" t="inlineStr">
        <is>
          <t>0</t>
        </is>
      </c>
      <c r="K357" s="9" t="inlineStr">
        <is>
          <t>1</t>
        </is>
      </c>
      <c r="L357" s="9" t="inlineStr">
        <is>
          <t>0</t>
        </is>
      </c>
      <c r="M357" s="9" t="inlineStr">
        <is>
          <t>0</t>
        </is>
      </c>
      <c r="N357" s="9" t="inlineStr">
        <is>
          <t>0</t>
        </is>
      </c>
      <c r="O357" s="10" t="inlineStr">
        <is>
          <t>0</t>
        </is>
      </c>
      <c r="P357" s="10" t="inlineStr">
        <is>
          <t>0</t>
        </is>
      </c>
      <c r="Q357" s="10" t="inlineStr">
        <is>
          <t>0</t>
        </is>
      </c>
      <c r="R357" s="10" t="inlineStr">
        <is>
          <t>0</t>
        </is>
      </c>
      <c r="S357" s="10" t="inlineStr">
        <is>
          <t>0</t>
        </is>
      </c>
    </row>
    <row r="358" ht="61" customHeight="1">
      <c r="A358" s="6">
        <f>IFERROR(__xludf.DUMMYFUNCTION("""COMPUTED_VALUE"""),"Managing a Haber Process Plant")</f>
        <v/>
      </c>
      <c r="B358" s="6">
        <f>IFERROR(__xludf.DUMMYFUNCTION("""COMPUTED_VALUE"""),"Space")</f>
        <v/>
      </c>
      <c r="C358" s="6">
        <f>IFERROR(__xludf.DUMMYFUNCTION("""COMPUTED_VALUE"""),"Conceptualisation")</f>
        <v/>
      </c>
      <c r="D358" s="7">
        <f>IFERROR(__xludf.DUMMYFUNCTION("""COMPUTED_VALUE"""),"&lt;p&gt;Manage the plant to produce as much ammonia as possible&lt;/p&gt;")</f>
        <v/>
      </c>
      <c r="E358" s="7">
        <f>IFERROR(__xludf.DUMMYFUNCTION("""COMPUTED_VALUE"""),"No artifact embedded")</f>
        <v/>
      </c>
      <c r="F358" s="7" t="inlineStr">
        <is>
          <t>Students were instructed on the Haber process and managing a plant to produce ammonia, with one item including an embedded MP4 video artifact.</t>
        </is>
      </c>
      <c r="G358" s="8" t="inlineStr">
        <is>
          <t>0</t>
        </is>
      </c>
      <c r="H358" s="8" t="inlineStr">
        <is>
          <t>1</t>
        </is>
      </c>
      <c r="I358" s="8" t="inlineStr">
        <is>
          <t>1</t>
        </is>
      </c>
      <c r="J358" s="8" t="inlineStr">
        <is>
          <t>1</t>
        </is>
      </c>
      <c r="K358" s="9" t="inlineStr">
        <is>
          <t>0</t>
        </is>
      </c>
      <c r="L358" s="9" t="inlineStr">
        <is>
          <t>0</t>
        </is>
      </c>
      <c r="M358" s="9" t="inlineStr">
        <is>
          <t>0</t>
        </is>
      </c>
      <c r="N358" s="9" t="inlineStr">
        <is>
          <t>0</t>
        </is>
      </c>
      <c r="O358" s="10" t="inlineStr">
        <is>
          <t>0</t>
        </is>
      </c>
      <c r="P358" s="10" t="inlineStr">
        <is>
          <t>0</t>
        </is>
      </c>
      <c r="Q358" s="10" t="inlineStr">
        <is>
          <t>0</t>
        </is>
      </c>
      <c r="R358" s="10" t="inlineStr">
        <is>
          <t>0</t>
        </is>
      </c>
      <c r="S358" s="10" t="inlineStr">
        <is>
          <t>0</t>
        </is>
      </c>
    </row>
    <row r="359" ht="409.5" customHeight="1">
      <c r="A359" s="6">
        <f>IFERROR(__xludf.DUMMYFUNCTION("""COMPUTED_VALUE"""),"Managing a Haber Process Plant")</f>
        <v/>
      </c>
      <c r="B359" s="6">
        <f>IFERROR(__xludf.DUMMYFUNCTION("""COMPUTED_VALUE"""),"Resource")</f>
        <v/>
      </c>
      <c r="C359" s="6">
        <f>IFERROR(__xludf.DUMMYFUNCTION("""COMPUTED_VALUE"""),"Managing the plant.graasp")</f>
        <v/>
      </c>
      <c r="D359" s="7">
        <f>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
      </c>
      <c r="E359" s="7">
        <f>IFERROR(__xludf.DUMMYFUNCTION("""COMPUTED_VALUE"""),"No artifact embedded")</f>
        <v/>
      </c>
      <c r="F359" s="7" t="inlineStr">
        <is>
          <t>Students are given tasks to manage a plant producing ammonia with varying levels of guidance and no embedded artifacts.</t>
        </is>
      </c>
      <c r="G359" s="8" t="inlineStr">
        <is>
          <t>0</t>
        </is>
      </c>
      <c r="H359" s="8" t="inlineStr">
        <is>
          <t>1</t>
        </is>
      </c>
      <c r="I359" s="8" t="inlineStr">
        <is>
          <t>1</t>
        </is>
      </c>
      <c r="J359" s="8" t="inlineStr">
        <is>
          <t>1</t>
        </is>
      </c>
      <c r="K359" s="9" t="inlineStr">
        <is>
          <t>0</t>
        </is>
      </c>
      <c r="L359" s="9" t="inlineStr">
        <is>
          <t>1</t>
        </is>
      </c>
      <c r="M359" s="9" t="inlineStr">
        <is>
          <t>0</t>
        </is>
      </c>
      <c r="N359" s="9" t="inlineStr">
        <is>
          <t>0</t>
        </is>
      </c>
      <c r="O359" s="10" t="inlineStr">
        <is>
          <t>1</t>
        </is>
      </c>
      <c r="P359" s="10" t="inlineStr">
        <is>
          <t>1</t>
        </is>
      </c>
      <c r="Q359" s="10" t="inlineStr">
        <is>
          <t>1</t>
        </is>
      </c>
      <c r="R359" s="10" t="inlineStr">
        <is>
          <t>0</t>
        </is>
      </c>
      <c r="S359" s="10" t="inlineStr">
        <is>
          <t>0</t>
        </is>
      </c>
    </row>
    <row r="360" ht="61" customHeight="1">
      <c r="A360" s="6">
        <f>IFERROR(__xludf.DUMMYFUNCTION("""COMPUTED_VALUE"""),"Managing a Haber Process Plant")</f>
        <v/>
      </c>
      <c r="B360" s="6">
        <f>IFERROR(__xludf.DUMMYFUNCTION("""COMPUTED_VALUE"""),"Space")</f>
        <v/>
      </c>
      <c r="C360" s="6">
        <f>IFERROR(__xludf.DUMMYFUNCTION("""COMPUTED_VALUE"""),"Investigation")</f>
        <v/>
      </c>
      <c r="D360" s="7">
        <f>IFERROR(__xludf.DUMMYFUNCTION("""COMPUTED_VALUE"""),"&lt;p&gt;Write your hypothesis re the effect of pressure on the yield of ammonia&lt;/p&gt;")</f>
        <v/>
      </c>
      <c r="E360" s="7">
        <f>IFERROR(__xludf.DUMMYFUNCTION("""COMPUTED_VALUE"""),"No artifact embedded")</f>
        <v/>
      </c>
      <c r="F360" s="7" t="inlineStr">
        <is>
          <t>Students manage a plant to produce ammonia, adjusting variables and analyzing results, then write a hypothesis about pressure's effect on yield.</t>
        </is>
      </c>
      <c r="G360" s="8" t="inlineStr">
        <is>
          <t>0</t>
        </is>
      </c>
      <c r="H360" s="8" t="inlineStr">
        <is>
          <t>0</t>
        </is>
      </c>
      <c r="I360" s="8" t="inlineStr">
        <is>
          <t>1</t>
        </is>
      </c>
      <c r="J360" s="8" t="inlineStr">
        <is>
          <t>0</t>
        </is>
      </c>
      <c r="K360" s="9" t="inlineStr">
        <is>
          <t>0</t>
        </is>
      </c>
      <c r="L360" s="9" t="inlineStr">
        <is>
          <t>1</t>
        </is>
      </c>
      <c r="M360" s="9" t="inlineStr">
        <is>
          <t>0</t>
        </is>
      </c>
      <c r="N360" s="9" t="inlineStr">
        <is>
          <t>0</t>
        </is>
      </c>
      <c r="O360" s="10" t="inlineStr">
        <is>
          <t>0</t>
        </is>
      </c>
      <c r="P360" s="10" t="inlineStr">
        <is>
          <t>1</t>
        </is>
      </c>
      <c r="Q360" s="10" t="inlineStr">
        <is>
          <t>0</t>
        </is>
      </c>
      <c r="R360" s="10" t="inlineStr">
        <is>
          <t>0</t>
        </is>
      </c>
      <c r="S360" s="10" t="inlineStr">
        <is>
          <t>0</t>
        </is>
      </c>
    </row>
    <row r="361" ht="409.5" customHeight="1">
      <c r="A361" s="6">
        <f>IFERROR(__xludf.DUMMYFUNCTION("""COMPUTED_VALUE"""),"Managing a Haber Process Plant")</f>
        <v/>
      </c>
      <c r="B361" s="6">
        <f>IFERROR(__xludf.DUMMYFUNCTION("""COMPUTED_VALUE"""),"Application")</f>
        <v/>
      </c>
      <c r="C361" s="6">
        <f>IFERROR(__xludf.DUMMYFUNCTION("""COMPUTED_VALUE"""),"Hypothesis Scratchpad")</f>
        <v/>
      </c>
      <c r="D361" s="7">
        <f>IFERROR(__xludf.DUMMYFUNCTION("""COMPUTED_VALUE"""),"&lt;p&gt;Write your hypothesis re effect of temperature on the yield of ammonia&lt;/p&gt;")</f>
        <v/>
      </c>
      <c r="E361"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1" s="7" t="inlineStr">
        <is>
          <t>Students are instructed to synthesize ammonia and write hypotheses on pressure and temperature effects. Embedded artifacts include a control panel and output monitor for simulation, and a Hypothesis Scratchpad app for formulating hypotheses.</t>
        </is>
      </c>
      <c r="G361" s="8" t="inlineStr">
        <is>
          <t>0</t>
        </is>
      </c>
      <c r="H361" s="8" t="inlineStr">
        <is>
          <t>1</t>
        </is>
      </c>
      <c r="I361" s="8" t="inlineStr">
        <is>
          <t>1</t>
        </is>
      </c>
      <c r="J361" s="8" t="inlineStr">
        <is>
          <t>1</t>
        </is>
      </c>
      <c r="K361" s="9" t="inlineStr">
        <is>
          <t>0</t>
        </is>
      </c>
      <c r="L361" s="9" t="inlineStr">
        <is>
          <t>1</t>
        </is>
      </c>
      <c r="M361" s="9" t="inlineStr">
        <is>
          <t>0</t>
        </is>
      </c>
      <c r="N361" s="9" t="inlineStr">
        <is>
          <t>0</t>
        </is>
      </c>
      <c r="O361" s="10" t="inlineStr">
        <is>
          <t>0</t>
        </is>
      </c>
      <c r="P361" s="10" t="inlineStr">
        <is>
          <t>1</t>
        </is>
      </c>
      <c r="Q361" s="10" t="inlineStr">
        <is>
          <t>1</t>
        </is>
      </c>
      <c r="R361" s="10" t="inlineStr">
        <is>
          <t>0</t>
        </is>
      </c>
      <c r="S361" s="10" t="inlineStr">
        <is>
          <t>1</t>
        </is>
      </c>
    </row>
    <row r="362" ht="409.5" customHeight="1">
      <c r="A362" s="6">
        <f>IFERROR(__xludf.DUMMYFUNCTION("""COMPUTED_VALUE"""),"Managing a Haber Process Plant")</f>
        <v/>
      </c>
      <c r="B362" s="6">
        <f>IFERROR(__xludf.DUMMYFUNCTION("""COMPUTED_VALUE"""),"Application")</f>
        <v/>
      </c>
      <c r="C362" s="6">
        <f>IFERROR(__xludf.DUMMYFUNCTION("""COMPUTED_VALUE"""),"Hypothesis Scratchpad (1)")</f>
        <v/>
      </c>
      <c r="D362" s="7">
        <f>IFERROR(__xludf.DUMMYFUNCTION("""COMPUTED_VALUE"""),"No task description")</f>
        <v/>
      </c>
      <c r="E36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2" s="7" t="inlineStr">
        <is>
          <t>Students write hypotheses on ammonia yield. Embedded artifact: Hypothesis Scratchpad tool for forming hypotheses.</t>
        </is>
      </c>
      <c r="G362" s="8" t="inlineStr">
        <is>
          <t>0</t>
        </is>
      </c>
      <c r="H362" s="8" t="inlineStr">
        <is>
          <t>1</t>
        </is>
      </c>
      <c r="I362" s="8" t="inlineStr">
        <is>
          <t>1</t>
        </is>
      </c>
      <c r="J362" s="8" t="inlineStr">
        <is>
          <t>0</t>
        </is>
      </c>
      <c r="K362" s="9" t="inlineStr">
        <is>
          <t>0</t>
        </is>
      </c>
      <c r="L362" s="9" t="inlineStr">
        <is>
          <t>1</t>
        </is>
      </c>
      <c r="M362" s="9" t="inlineStr">
        <is>
          <t>1</t>
        </is>
      </c>
      <c r="N362" s="9" t="inlineStr">
        <is>
          <t>1</t>
        </is>
      </c>
      <c r="O362" s="10" t="inlineStr">
        <is>
          <t>0</t>
        </is>
      </c>
      <c r="P362" s="10" t="inlineStr">
        <is>
          <t>1</t>
        </is>
      </c>
      <c r="Q362" s="10" t="inlineStr">
        <is>
          <t>1</t>
        </is>
      </c>
      <c r="R362" s="10" t="inlineStr">
        <is>
          <t>0</t>
        </is>
      </c>
      <c r="S362" s="10" t="inlineStr">
        <is>
          <t>0</t>
        </is>
      </c>
    </row>
    <row r="363" ht="409.5" customHeight="1">
      <c r="A363" s="6">
        <f>IFERROR(__xludf.DUMMYFUNCTION("""COMPUTED_VALUE"""),"Managing a Haber Process Plant")</f>
        <v/>
      </c>
      <c r="B363" s="6">
        <f>IFERROR(__xludf.DUMMYFUNCTION("""COMPUTED_VALUE"""),"Resource")</f>
        <v/>
      </c>
      <c r="C363" s="6">
        <f>IFERROR(__xludf.DUMMYFUNCTION("""COMPUTED_VALUE"""),"Follow the following instructions to investigate the effect of varying pressure on the yield of ammonia and.graasp")</f>
        <v/>
      </c>
      <c r="D363" s="7">
        <f>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
      </c>
      <c r="E363" s="7">
        <f>IFERROR(__xludf.DUMMYFUNCTION("""COMPUTED_VALUE"""),"No artifact embedded")</f>
        <v/>
      </c>
      <c r="F363" s="7" t="inlineStr">
        <is>
          <t>Students write hypotheses and experiment with variables affecting ammonia yield using the Hypothesis Scratchpad app.</t>
        </is>
      </c>
      <c r="G363" s="8" t="inlineStr">
        <is>
          <t>0</t>
        </is>
      </c>
      <c r="H363" s="8" t="inlineStr">
        <is>
          <t>1</t>
        </is>
      </c>
      <c r="I363" s="8" t="inlineStr">
        <is>
          <t>1</t>
        </is>
      </c>
      <c r="J363" s="8" t="inlineStr">
        <is>
          <t>1</t>
        </is>
      </c>
      <c r="K363" s="9" t="inlineStr">
        <is>
          <t>0</t>
        </is>
      </c>
      <c r="L363" s="9" t="inlineStr">
        <is>
          <t>1</t>
        </is>
      </c>
      <c r="M363" s="9" t="inlineStr">
        <is>
          <t>0</t>
        </is>
      </c>
      <c r="N363" s="9" t="inlineStr">
        <is>
          <t>0</t>
        </is>
      </c>
      <c r="O363" s="10" t="inlineStr">
        <is>
          <t>0</t>
        </is>
      </c>
      <c r="P363" s="10" t="inlineStr">
        <is>
          <t>0</t>
        </is>
      </c>
      <c r="Q363" s="10" t="inlineStr">
        <is>
          <t>1</t>
        </is>
      </c>
      <c r="R363" s="10" t="inlineStr">
        <is>
          <t>0</t>
        </is>
      </c>
      <c r="S363" s="10" t="inlineStr">
        <is>
          <t>0</t>
        </is>
      </c>
    </row>
    <row r="364" ht="121" customHeight="1">
      <c r="A364" s="6">
        <f>IFERROR(__xludf.DUMMYFUNCTION("""COMPUTED_VALUE"""),"Managing a Haber Process Plant")</f>
        <v/>
      </c>
      <c r="B364" s="6">
        <f>IFERROR(__xludf.DUMMYFUNCTION("""COMPUTED_VALUE"""),"Resource")</f>
        <v/>
      </c>
      <c r="C364" s="6">
        <f>IFERROR(__xludf.DUMMYFUNCTION("""COMPUTED_VALUE"""),"Haber: Control Panel")</f>
        <v/>
      </c>
      <c r="D364" s="7">
        <f>IFERROR(__xludf.DUMMYFUNCTION("""COMPUTED_VALUE"""),"No task description")</f>
        <v/>
      </c>
      <c r="E364" s="7">
        <f>IFERROR(__xludf.DUMMYFUNCTION("""COMPUTED_VALUE"""),"Artifact from learner.org: Annenberg Learner provides educational resources, such as information on the Haber process in chemistry.")</f>
        <v/>
      </c>
      <c r="F364" s="7" t="inlineStr">
        <is>
          <t>Students receive tasks and use interactive tools, such as the Hypothesis Scratchpad and Control Panel, with embedded artifacts like Golabz app/lab and Annenberg Learner.</t>
        </is>
      </c>
      <c r="G364" s="8" t="inlineStr">
        <is>
          <t>1</t>
        </is>
      </c>
      <c r="H364" s="8" t="inlineStr">
        <is>
          <t>0</t>
        </is>
      </c>
      <c r="I364" s="8" t="inlineStr">
        <is>
          <t>0</t>
        </is>
      </c>
      <c r="J364" s="8" t="inlineStr">
        <is>
          <t>0</t>
        </is>
      </c>
      <c r="K364" s="9" t="inlineStr">
        <is>
          <t>1</t>
        </is>
      </c>
      <c r="L364" s="9" t="inlineStr">
        <is>
          <t>0</t>
        </is>
      </c>
      <c r="M364" s="9" t="inlineStr">
        <is>
          <t>0</t>
        </is>
      </c>
      <c r="N364" s="9" t="inlineStr">
        <is>
          <t>0</t>
        </is>
      </c>
      <c r="O364" s="10" t="inlineStr">
        <is>
          <t>0</t>
        </is>
      </c>
      <c r="P364" s="10" t="inlineStr">
        <is>
          <t>0</t>
        </is>
      </c>
      <c r="Q364" s="10" t="inlineStr">
        <is>
          <t>0</t>
        </is>
      </c>
      <c r="R364" s="10" t="inlineStr">
        <is>
          <t>0</t>
        </is>
      </c>
      <c r="S364" s="10" t="inlineStr">
        <is>
          <t>0</t>
        </is>
      </c>
    </row>
    <row r="365" ht="409.5" customHeight="1">
      <c r="A365" s="6">
        <f>IFERROR(__xludf.DUMMYFUNCTION("""COMPUTED_VALUE"""),"Managing a Haber Process Plant")</f>
        <v/>
      </c>
      <c r="B365" s="6">
        <f>IFERROR(__xludf.DUMMYFUNCTION("""COMPUTED_VALUE"""),"Application")</f>
        <v/>
      </c>
      <c r="C365" s="6">
        <f>IFERROR(__xludf.DUMMYFUNCTION("""COMPUTED_VALUE"""),"Table tool")</f>
        <v/>
      </c>
      <c r="D365" s="7">
        <f>IFERROR(__xludf.DUMMYFUNCTION("""COMPUTED_VALUE"""),"&lt;p&gt;Enter your observations re effect of pressure on the %yield of ammonia and time for system to equilibrate at 200, 400 and 600 deg Celsius in the Table below&lt;/p&gt;")</f>
        <v/>
      </c>
      <c r="E36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365" s="7" t="inlineStr">
        <is>
          <t>Students experiment with pressure's effect on ammonia yield and equilibrium time at different temperatures (200˚C, 400˚C, 600˚C) using a Control Panel. Embedded artifacts include a table tool and educational resources from Annenberg Learner.</t>
        </is>
      </c>
      <c r="G365" s="8" t="inlineStr">
        <is>
          <t>0</t>
        </is>
      </c>
      <c r="H365" s="8" t="inlineStr">
        <is>
          <t>1</t>
        </is>
      </c>
      <c r="I365" s="8" t="inlineStr">
        <is>
          <t>1</t>
        </is>
      </c>
      <c r="J365" s="8" t="inlineStr">
        <is>
          <t>1</t>
        </is>
      </c>
      <c r="K365" s="9" t="inlineStr">
        <is>
          <t>0</t>
        </is>
      </c>
      <c r="L365" s="9" t="inlineStr">
        <is>
          <t>1</t>
        </is>
      </c>
      <c r="M365" s="9" t="inlineStr">
        <is>
          <t>0</t>
        </is>
      </c>
      <c r="N365" s="9" t="inlineStr">
        <is>
          <t>0</t>
        </is>
      </c>
      <c r="O365" s="10" t="inlineStr">
        <is>
          <t>0</t>
        </is>
      </c>
      <c r="P365" s="10" t="inlineStr">
        <is>
          <t>1</t>
        </is>
      </c>
      <c r="Q365" s="10" t="inlineStr">
        <is>
          <t>1</t>
        </is>
      </c>
      <c r="R365" s="10" t="inlineStr">
        <is>
          <t>0</t>
        </is>
      </c>
      <c r="S365" s="10" t="inlineStr">
        <is>
          <t>0</t>
        </is>
      </c>
    </row>
    <row r="366" ht="73" customHeight="1">
      <c r="A366" s="6">
        <f>IFERROR(__xludf.DUMMYFUNCTION("""COMPUTED_VALUE"""),"Managing a Haber Process Plant")</f>
        <v/>
      </c>
      <c r="B366" s="6">
        <f>IFERROR(__xludf.DUMMYFUNCTION("""COMPUTED_VALUE"""),"Space")</f>
        <v/>
      </c>
      <c r="C366" s="6">
        <f>IFERROR(__xludf.DUMMYFUNCTION("""COMPUTED_VALUE"""),"Conclusion")</f>
        <v/>
      </c>
      <c r="D366" s="7">
        <f>IFERROR(__xludf.DUMMYFUNCTION("""COMPUTED_VALUE"""),"&lt;p&gt;Once you have carried out the investigation, you need to analyse your results&lt;/p&gt;")</f>
        <v/>
      </c>
      <c r="E366" s="7">
        <f>IFERROR(__xludf.DUMMYFUNCTION("""COMPUTED_VALUE"""),"No artifact embedded")</f>
        <v/>
      </c>
      <c r="F366" s="7" t="inlineStr">
        <is>
          <t>Students receive task descriptions and access to embedded artifacts, including educational resources and interactive tools like tables and data entry tools.</t>
        </is>
      </c>
      <c r="G366" s="8" t="inlineStr">
        <is>
          <t>0</t>
        </is>
      </c>
      <c r="H366" s="8" t="inlineStr">
        <is>
          <t>0</t>
        </is>
      </c>
      <c r="I366" s="8" t="inlineStr">
        <is>
          <t>0</t>
        </is>
      </c>
      <c r="J366" s="8" t="inlineStr">
        <is>
          <t>0</t>
        </is>
      </c>
      <c r="K366" s="9" t="inlineStr">
        <is>
          <t>0</t>
        </is>
      </c>
      <c r="L366" s="9" t="inlineStr">
        <is>
          <t>1</t>
        </is>
      </c>
      <c r="M366" s="9" t="inlineStr">
        <is>
          <t>0</t>
        </is>
      </c>
      <c r="N366" s="9" t="inlineStr">
        <is>
          <t>0</t>
        </is>
      </c>
      <c r="O366" s="10" t="inlineStr">
        <is>
          <t>0</t>
        </is>
      </c>
      <c r="P366" s="10" t="inlineStr">
        <is>
          <t>0</t>
        </is>
      </c>
      <c r="Q366" s="10" t="inlineStr">
        <is>
          <t>0</t>
        </is>
      </c>
      <c r="R366" s="10" t="inlineStr">
        <is>
          <t>0</t>
        </is>
      </c>
      <c r="S366" s="10" t="inlineStr">
        <is>
          <t>0</t>
        </is>
      </c>
    </row>
    <row r="367" ht="169" customHeight="1">
      <c r="A367" s="6">
        <f>IFERROR(__xludf.DUMMYFUNCTION("""COMPUTED_VALUE"""),"Managing a Haber Process Plant")</f>
        <v/>
      </c>
      <c r="B367" s="6">
        <f>IFERROR(__xludf.DUMMYFUNCTION("""COMPUTED_VALUE"""),"Application")</f>
        <v/>
      </c>
      <c r="C367" s="6">
        <f>IFERROR(__xludf.DUMMYFUNCTION("""COMPUTED_VALUE"""),"File Drop")</f>
        <v/>
      </c>
      <c r="D367" s="7">
        <f>IFERROR(__xludf.DUMMYFUNCTION("""COMPUTED_VALUE"""),"&lt;p&gt;Analyse your results by plotting a graph of % yield against pressure for the different temperatures investigated. You may either plot your graph freehand or use any computer software of your choice&lt;/p&gt;")</f>
        <v/>
      </c>
      <c r="E367" s="7">
        <f>IFERROR(__xludf.DUMMYFUNCTION("""COMPUTED_VALUE"""),"Golabz app/lab: ""&lt;p&gt;This app allows students to upload files, e.g., assignment and reports, to the Inquiry learning Space. The app also allows teachers to download the uploaded files.&lt;/p&gt;\r\n""")</f>
        <v/>
      </c>
      <c r="F367" s="7" t="inlineStr">
        <is>
          <t>Students enter data, analyze results, and plot graphs using Golabz apps, including table and file upload tools.</t>
        </is>
      </c>
      <c r="G367" s="8" t="inlineStr">
        <is>
          <t>0</t>
        </is>
      </c>
      <c r="H367" s="8" t="inlineStr">
        <is>
          <t>1</t>
        </is>
      </c>
      <c r="I367" s="8" t="inlineStr">
        <is>
          <t>1</t>
        </is>
      </c>
      <c r="J367" s="8" t="inlineStr">
        <is>
          <t>1</t>
        </is>
      </c>
      <c r="K367" s="9" t="inlineStr">
        <is>
          <t>0</t>
        </is>
      </c>
      <c r="L367" s="9" t="inlineStr">
        <is>
          <t>1</t>
        </is>
      </c>
      <c r="M367" s="9" t="inlineStr">
        <is>
          <t>0</t>
        </is>
      </c>
      <c r="N367" s="9" t="inlineStr">
        <is>
          <t>0</t>
        </is>
      </c>
      <c r="O367" s="10" t="inlineStr">
        <is>
          <t>0</t>
        </is>
      </c>
      <c r="P367" s="10" t="inlineStr">
        <is>
          <t>0</t>
        </is>
      </c>
      <c r="Q367" s="10" t="inlineStr">
        <is>
          <t>0</t>
        </is>
      </c>
      <c r="R367" s="10" t="inlineStr">
        <is>
          <t>1</t>
        </is>
      </c>
      <c r="S367" s="10" t="inlineStr">
        <is>
          <t>0</t>
        </is>
      </c>
    </row>
    <row r="368" ht="329" customHeight="1">
      <c r="A368" s="6">
        <f>IFERROR(__xludf.DUMMYFUNCTION("""COMPUTED_VALUE"""),"Managing a Haber Process Plant")</f>
        <v/>
      </c>
      <c r="B368" s="6">
        <f>IFERROR(__xludf.DUMMYFUNCTION("""COMPUTED_VALUE"""),"Application")</f>
        <v/>
      </c>
      <c r="C368" s="6">
        <f>IFERROR(__xludf.DUMMYFUNCTION("""COMPUTED_VALUE"""),"Input Box")</f>
        <v/>
      </c>
      <c r="D368" s="7">
        <f>IFERROR(__xludf.DUMMYFUNCTION("""COMPUTED_VALUE"""),"&lt;p&gt;Consult your graph and state which conditions of temperature and pressure give the highest yield of ammonia.&lt;/p&gt;")</f>
        <v/>
      </c>
      <c r="E36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8" s="7" t="inlineStr">
        <is>
          <t>Students analyze results, plot graphs, and identify optimal conditions using tools like Golabz app/lab and Input Box for note-taking and file-sharing.</t>
        </is>
      </c>
      <c r="G368" s="8" t="inlineStr">
        <is>
          <t>0</t>
        </is>
      </c>
      <c r="H368" s="8" t="inlineStr">
        <is>
          <t>0</t>
        </is>
      </c>
      <c r="I368" s="8" t="inlineStr">
        <is>
          <t>1</t>
        </is>
      </c>
      <c r="J368" s="8" t="inlineStr">
        <is>
          <t>1</t>
        </is>
      </c>
      <c r="K368" s="9" t="inlineStr">
        <is>
          <t>0</t>
        </is>
      </c>
      <c r="L368" s="9" t="inlineStr">
        <is>
          <t>1</t>
        </is>
      </c>
      <c r="M368" s="9" t="inlineStr">
        <is>
          <t>0</t>
        </is>
      </c>
      <c r="N368" s="9" t="inlineStr">
        <is>
          <t>1</t>
        </is>
      </c>
      <c r="O368" s="10" t="inlineStr">
        <is>
          <t>0</t>
        </is>
      </c>
      <c r="P368" s="10" t="inlineStr">
        <is>
          <t>1</t>
        </is>
      </c>
      <c r="Q368" s="10" t="inlineStr">
        <is>
          <t>0</t>
        </is>
      </c>
      <c r="R368" s="10" t="inlineStr">
        <is>
          <t>1</t>
        </is>
      </c>
      <c r="S368" s="10" t="inlineStr">
        <is>
          <t>1</t>
        </is>
      </c>
    </row>
    <row r="369" ht="351" customHeight="1">
      <c r="A369" s="6">
        <f>IFERROR(__xludf.DUMMYFUNCTION("""COMPUTED_VALUE"""),"Managing a Haber Process Plant")</f>
        <v/>
      </c>
      <c r="B369" s="6">
        <f>IFERROR(__xludf.DUMMYFUNCTION("""COMPUTED_VALUE"""),"Application")</f>
        <v/>
      </c>
      <c r="C369" s="6">
        <f>IFERROR(__xludf.DUMMYFUNCTION("""COMPUTED_VALUE"""),"Input Box (1)")</f>
        <v/>
      </c>
      <c r="D369" s="7">
        <f>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
      </c>
      <c r="E36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9" s="7" t="inlineStr">
        <is>
          <t>Students analyze results, plot graphs, and identify optimal conditions for ammonia yield using Golabz apps for note-taking and file uploads.</t>
        </is>
      </c>
      <c r="G369" s="8" t="inlineStr">
        <is>
          <t>0</t>
        </is>
      </c>
      <c r="H369" s="8" t="inlineStr">
        <is>
          <t>0</t>
        </is>
      </c>
      <c r="I369" s="8" t="inlineStr">
        <is>
          <t>1</t>
        </is>
      </c>
      <c r="J369" s="8" t="inlineStr">
        <is>
          <t>1</t>
        </is>
      </c>
      <c r="K369" s="9" t="inlineStr">
        <is>
          <t>0</t>
        </is>
      </c>
      <c r="L369" s="9" t="inlineStr">
        <is>
          <t>1</t>
        </is>
      </c>
      <c r="M369" s="9" t="inlineStr">
        <is>
          <t>0</t>
        </is>
      </c>
      <c r="N369" s="9" t="inlineStr">
        <is>
          <t>0</t>
        </is>
      </c>
      <c r="O369" s="10" t="inlineStr">
        <is>
          <t>1</t>
        </is>
      </c>
      <c r="P369" s="10" t="inlineStr">
        <is>
          <t>1</t>
        </is>
      </c>
      <c r="Q369" s="10" t="inlineStr">
        <is>
          <t>0</t>
        </is>
      </c>
      <c r="R369" s="10" t="inlineStr">
        <is>
          <t>1</t>
        </is>
      </c>
      <c r="S369" s="10" t="inlineStr">
        <is>
          <t>1</t>
        </is>
      </c>
    </row>
    <row r="370" ht="73" customHeight="1">
      <c r="A370" s="6">
        <f>IFERROR(__xludf.DUMMYFUNCTION("""COMPUTED_VALUE"""),"Managing a Haber Process Plant")</f>
        <v/>
      </c>
      <c r="B370" s="6">
        <f>IFERROR(__xludf.DUMMYFUNCTION("""COMPUTED_VALUE"""),"Application")</f>
        <v/>
      </c>
      <c r="C370" s="6">
        <f>IFERROR(__xludf.DUMMYFUNCTION("""COMPUTED_VALUE"""),"Teacher Feedback")</f>
        <v/>
      </c>
      <c r="D370" s="7">
        <f>IFERROR(__xludf.DUMMYFUNCTION("""COMPUTED_VALUE"""),"No task description")</f>
        <v/>
      </c>
      <c r="E370" s="7">
        <f>IFERROR(__xludf.DUMMYFUNCTION("""COMPUTED_VALUE"""),"Golabz app/lab: ""&lt;p&gt;A tool where teachers can provide feedback to students&lt;/p&gt;\r\n""")</f>
        <v/>
      </c>
      <c r="F370" s="7" t="inlineStr">
        <is>
          <t>Students analyze temperature and pressure conditions for highest ammonia yield, using an input box app for notes and collaboration.</t>
        </is>
      </c>
      <c r="G370" s="8" t="inlineStr">
        <is>
          <t>1</t>
        </is>
      </c>
      <c r="H370" s="8" t="inlineStr">
        <is>
          <t>0</t>
        </is>
      </c>
      <c r="I370" s="8" t="inlineStr">
        <is>
          <t>0</t>
        </is>
      </c>
      <c r="J370" s="8" t="inlineStr">
        <is>
          <t>0</t>
        </is>
      </c>
      <c r="K370" s="9" t="inlineStr">
        <is>
          <t>0</t>
        </is>
      </c>
      <c r="L370" s="9" t="inlineStr">
        <is>
          <t>0</t>
        </is>
      </c>
      <c r="M370" s="9" t="inlineStr">
        <is>
          <t>0</t>
        </is>
      </c>
      <c r="N370" s="9" t="inlineStr">
        <is>
          <t>0</t>
        </is>
      </c>
      <c r="O370" s="10" t="inlineStr">
        <is>
          <t>0</t>
        </is>
      </c>
      <c r="P370" s="10" t="inlineStr">
        <is>
          <t>0</t>
        </is>
      </c>
      <c r="Q370" s="10" t="inlineStr">
        <is>
          <t>0</t>
        </is>
      </c>
      <c r="R370" s="10" t="inlineStr">
        <is>
          <t>0</t>
        </is>
      </c>
      <c r="S370" s="10" t="inlineStr">
        <is>
          <t>1</t>
        </is>
      </c>
    </row>
    <row r="371" ht="25" customHeight="1">
      <c r="A371" s="6">
        <f>IFERROR(__xludf.DUMMYFUNCTION("""COMPUTED_VALUE"""),"function of human eye")</f>
        <v/>
      </c>
      <c r="B371" s="6">
        <f>IFERROR(__xludf.DUMMYFUNCTION("""COMPUTED_VALUE"""),"Space")</f>
        <v/>
      </c>
      <c r="C371" s="6">
        <f>IFERROR(__xludf.DUMMYFUNCTION("""COMPUTED_VALUE"""),"engage")</f>
        <v/>
      </c>
      <c r="D371" s="7">
        <f>IFERROR(__xludf.DUMMYFUNCTION("""COMPUTED_VALUE"""),"No task description")</f>
        <v/>
      </c>
      <c r="E371" s="7">
        <f>IFERROR(__xludf.DUMMYFUNCTION("""COMPUTED_VALUE"""),"No artifact embedded")</f>
        <v/>
      </c>
      <c r="F371" s="7" t="inlineStr">
        <is>
          <t>Students analyze plant conditions and yields, using an input box app to take notes, with teacher overview.</t>
        </is>
      </c>
      <c r="G371" s="8" t="inlineStr">
        <is>
          <t>0</t>
        </is>
      </c>
      <c r="H371" s="8" t="inlineStr">
        <is>
          <t>0</t>
        </is>
      </c>
      <c r="I371" s="8" t="inlineStr">
        <is>
          <t>0</t>
        </is>
      </c>
      <c r="J371" s="8" t="inlineStr">
        <is>
          <t>0</t>
        </is>
      </c>
      <c r="K371" s="9" t="inlineStr">
        <is>
          <t>0</t>
        </is>
      </c>
      <c r="L371" s="9" t="inlineStr">
        <is>
          <t>0</t>
        </is>
      </c>
      <c r="M371" s="9" t="inlineStr">
        <is>
          <t>0</t>
        </is>
      </c>
      <c r="N371" s="9" t="inlineStr">
        <is>
          <t>0</t>
        </is>
      </c>
      <c r="O371" s="10" t="inlineStr">
        <is>
          <t>0</t>
        </is>
      </c>
      <c r="P371" s="10" t="inlineStr">
        <is>
          <t>0</t>
        </is>
      </c>
      <c r="Q371" s="10" t="inlineStr">
        <is>
          <t>0</t>
        </is>
      </c>
      <c r="R371" s="10" t="inlineStr">
        <is>
          <t>0</t>
        </is>
      </c>
      <c r="S371" s="10" t="inlineStr">
        <is>
          <t>0</t>
        </is>
      </c>
    </row>
    <row r="372" ht="229" customHeight="1">
      <c r="A372" s="6">
        <f>IFERROR(__xludf.DUMMYFUNCTION("""COMPUTED_VALUE"""),"function of human eye")</f>
        <v/>
      </c>
      <c r="B372" s="6">
        <f>IFERROR(__xludf.DUMMYFUNCTION("""COMPUTED_VALUE"""),"Resource")</f>
        <v/>
      </c>
      <c r="C372" s="6">
        <f>IFERROR(__xludf.DUMMYFUNCTION("""COMPUTED_VALUE"""),"human eye.PNG")</f>
        <v/>
      </c>
      <c r="D372" s="7">
        <f>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
      </c>
      <c r="E372" s="7">
        <f>IFERROR(__xludf.DUMMYFUNCTION("""COMPUTED_VALUE"""),"image/png – A high-quality image with support for transparency, often used in design and web applications.")</f>
        <v/>
      </c>
      <c r="F372" s="7" t="inlineStr">
        <is>
          <t>Students received no task descriptions for Items 1 and 2. Item 3 described the mammalian eye, with an embedded PNG image artifact.</t>
        </is>
      </c>
      <c r="G372" s="8" t="inlineStr">
        <is>
          <t>1</t>
        </is>
      </c>
      <c r="H372" s="8" t="inlineStr">
        <is>
          <t>0</t>
        </is>
      </c>
      <c r="I372" s="8" t="inlineStr">
        <is>
          <t>0</t>
        </is>
      </c>
      <c r="J372" s="8" t="inlineStr">
        <is>
          <t>0</t>
        </is>
      </c>
      <c r="K372" s="9" t="inlineStr">
        <is>
          <t>1</t>
        </is>
      </c>
      <c r="L372" s="9" t="inlineStr">
        <is>
          <t>0</t>
        </is>
      </c>
      <c r="M372" s="9" t="inlineStr">
        <is>
          <t>0</t>
        </is>
      </c>
      <c r="N372" s="9" t="inlineStr">
        <is>
          <t>0</t>
        </is>
      </c>
      <c r="O372" s="10" t="inlineStr">
        <is>
          <t>1</t>
        </is>
      </c>
      <c r="P372" s="10" t="inlineStr">
        <is>
          <t>0</t>
        </is>
      </c>
      <c r="Q372" s="10" t="inlineStr">
        <is>
          <t>0</t>
        </is>
      </c>
      <c r="R372" s="10" t="inlineStr">
        <is>
          <t>0</t>
        </is>
      </c>
      <c r="S372" s="10" t="inlineStr">
        <is>
          <t>0</t>
        </is>
      </c>
    </row>
    <row r="373" ht="252" customHeight="1">
      <c r="A373" s="6">
        <f>IFERROR(__xludf.DUMMYFUNCTION("""COMPUTED_VALUE"""),"function of human eye")</f>
        <v/>
      </c>
      <c r="B373" s="6">
        <f>IFERROR(__xludf.DUMMYFUNCTION("""COMPUTED_VALUE"""),"Application")</f>
        <v/>
      </c>
      <c r="C373" s="6">
        <f>IFERROR(__xludf.DUMMYFUNCTION("""COMPUTED_VALUE"""),"Quest")</f>
        <v/>
      </c>
      <c r="D373" s="7">
        <f>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
      </c>
      <c r="E373"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373" s="7" t="inlineStr">
        <is>
          <t>Students are instructed to describe eye parts and their functions, with embedded artifacts including an image of the eye and a questionnaire app.</t>
        </is>
      </c>
      <c r="G373" s="8" t="inlineStr">
        <is>
          <t>0</t>
        </is>
      </c>
      <c r="H373" s="8" t="inlineStr">
        <is>
          <t>1</t>
        </is>
      </c>
      <c r="I373" s="8" t="inlineStr">
        <is>
          <t>1</t>
        </is>
      </c>
      <c r="J373" s="8" t="inlineStr">
        <is>
          <t>1</t>
        </is>
      </c>
      <c r="K373" s="9" t="inlineStr">
        <is>
          <t>0</t>
        </is>
      </c>
      <c r="L373" s="9" t="inlineStr">
        <is>
          <t>1</t>
        </is>
      </c>
      <c r="M373" s="9" t="inlineStr">
        <is>
          <t>1</t>
        </is>
      </c>
      <c r="N373" s="9" t="inlineStr">
        <is>
          <t>0</t>
        </is>
      </c>
      <c r="O373" s="10" t="inlineStr">
        <is>
          <t>1</t>
        </is>
      </c>
      <c r="P373" s="10" t="inlineStr">
        <is>
          <t>1</t>
        </is>
      </c>
      <c r="Q373" s="10" t="inlineStr">
        <is>
          <t>1</t>
        </is>
      </c>
      <c r="R373" s="10" t="inlineStr">
        <is>
          <t>0</t>
        </is>
      </c>
      <c r="S373" s="10" t="inlineStr">
        <is>
          <t>1</t>
        </is>
      </c>
    </row>
    <row r="374" ht="329" customHeight="1">
      <c r="A374" s="6">
        <f>IFERROR(__xludf.DUMMYFUNCTION("""COMPUTED_VALUE"""),"function of human eye")</f>
        <v/>
      </c>
      <c r="B374" s="6">
        <f>IFERROR(__xludf.DUMMYFUNCTION("""COMPUTED_VALUE"""),"Application")</f>
        <v/>
      </c>
      <c r="C374" s="6">
        <f>IFERROR(__xludf.DUMMYFUNCTION("""COMPUTED_VALUE"""),"Input Box")</f>
        <v/>
      </c>
      <c r="D374" s="7">
        <f>IFERROR(__xludf.DUMMYFUNCTION("""COMPUTED_VALUE"""),"No task description")</f>
        <v/>
      </c>
      <c r="E37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74" s="7" t="inlineStr">
        <is>
          <t>Students observe and compare eye parts, describing their functions and differences. Embedded artifacts include images and interactive apps for note-taking and surveys.</t>
        </is>
      </c>
      <c r="G374" s="8" t="inlineStr">
        <is>
          <t>0</t>
        </is>
      </c>
      <c r="H374" s="8" t="inlineStr">
        <is>
          <t>1</t>
        </is>
      </c>
      <c r="I374" s="8" t="inlineStr">
        <is>
          <t>1</t>
        </is>
      </c>
      <c r="J374" s="8" t="inlineStr">
        <is>
          <t>1</t>
        </is>
      </c>
      <c r="K374" s="9" t="inlineStr">
        <is>
          <t>0</t>
        </is>
      </c>
      <c r="L374" s="9" t="inlineStr">
        <is>
          <t>1</t>
        </is>
      </c>
      <c r="M374" s="9" t="inlineStr">
        <is>
          <t>0</t>
        </is>
      </c>
      <c r="N374" s="9" t="inlineStr">
        <is>
          <t>1</t>
        </is>
      </c>
      <c r="O374" s="10" t="inlineStr">
        <is>
          <t>0</t>
        </is>
      </c>
      <c r="P374" s="10" t="inlineStr">
        <is>
          <t>0</t>
        </is>
      </c>
      <c r="Q374" s="10" t="inlineStr">
        <is>
          <t>0</t>
        </is>
      </c>
      <c r="R374" s="10" t="inlineStr">
        <is>
          <t>0</t>
        </is>
      </c>
      <c r="S374" s="10" t="inlineStr">
        <is>
          <t>1</t>
        </is>
      </c>
    </row>
    <row r="375" ht="285" customHeight="1">
      <c r="A375" s="6">
        <f>IFERROR(__xludf.DUMMYFUNCTION("""COMPUTED_VALUE"""),"function of human eye")</f>
        <v/>
      </c>
      <c r="B375" s="6">
        <f>IFERROR(__xludf.DUMMYFUNCTION("""COMPUTED_VALUE"""),"Space")</f>
        <v/>
      </c>
      <c r="C375" s="6">
        <f>IFERROR(__xludf.DUMMYFUNCTION("""COMPUTED_VALUE"""),"explore")</f>
        <v/>
      </c>
      <c r="D375" s="7">
        <f>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
      </c>
      <c r="E375" s="7">
        <f>IFERROR(__xludf.DUMMYFUNCTION("""COMPUTED_VALUE"""),"No artifact embedded")</f>
        <v/>
      </c>
      <c r="F375" s="7" t="inlineStr">
        <is>
          <t>Students observe and compare eye photos, identifying and describing parts and their functions, using Golabz app/lab for questionnaires and note-taking.</t>
        </is>
      </c>
      <c r="G375" s="8" t="inlineStr">
        <is>
          <t>1</t>
        </is>
      </c>
      <c r="H375" s="8" t="inlineStr">
        <is>
          <t>0</t>
        </is>
      </c>
      <c r="I375" s="8" t="inlineStr">
        <is>
          <t>0</t>
        </is>
      </c>
      <c r="J375" s="8" t="inlineStr">
        <is>
          <t>1</t>
        </is>
      </c>
      <c r="K375" s="9" t="inlineStr">
        <is>
          <t>1</t>
        </is>
      </c>
      <c r="L375" s="9" t="inlineStr">
        <is>
          <t>0</t>
        </is>
      </c>
      <c r="M375" s="9" t="inlineStr">
        <is>
          <t>0</t>
        </is>
      </c>
      <c r="N375" s="9" t="inlineStr">
        <is>
          <t>0</t>
        </is>
      </c>
      <c r="O375" s="10" t="inlineStr">
        <is>
          <t>1</t>
        </is>
      </c>
      <c r="P375" s="10" t="inlineStr">
        <is>
          <t>0</t>
        </is>
      </c>
      <c r="Q375" s="10" t="inlineStr">
        <is>
          <t>1</t>
        </is>
      </c>
      <c r="R375" s="10" t="inlineStr">
        <is>
          <t>0</t>
        </is>
      </c>
      <c r="S375" s="10" t="inlineStr">
        <is>
          <t>0</t>
        </is>
      </c>
    </row>
    <row r="376" ht="409.5" customHeight="1">
      <c r="A376" s="6">
        <f>IFERROR(__xludf.DUMMYFUNCTION("""COMPUTED_VALUE"""),"function of human eye")</f>
        <v/>
      </c>
      <c r="B376" s="6">
        <f>IFERROR(__xludf.DUMMYFUNCTION("""COMPUTED_VALUE"""),"Resource")</f>
        <v/>
      </c>
      <c r="C376" s="6">
        <f>IFERROR(__xludf.DUMMYFUNCTION("""COMPUTED_VALUE"""),"lab instructions.graasp")</f>
        <v/>
      </c>
      <c r="D376" s="7">
        <f>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
      </c>
      <c r="E376" s="7">
        <f>IFERROR(__xludf.DUMMYFUNCTION("""COMPUTED_VALUE"""),"No artifact embedded")</f>
        <v/>
      </c>
      <c r="F376" s="7" t="inlineStr">
        <is>
          <t>Students received task descriptions with some having embedded artifacts, such as Golabz app/lab for note-taking.</t>
        </is>
      </c>
      <c r="G376" s="8" t="inlineStr">
        <is>
          <t>0</t>
        </is>
      </c>
      <c r="H376" s="8" t="inlineStr">
        <is>
          <t>1</t>
        </is>
      </c>
      <c r="I376" s="8" t="inlineStr">
        <is>
          <t>1</t>
        </is>
      </c>
      <c r="J376" s="8" t="inlineStr">
        <is>
          <t>1</t>
        </is>
      </c>
      <c r="K376" s="9" t="inlineStr">
        <is>
          <t>0</t>
        </is>
      </c>
      <c r="L376" s="9" t="inlineStr">
        <is>
          <t>1</t>
        </is>
      </c>
      <c r="M376" s="9" t="inlineStr">
        <is>
          <t>0</t>
        </is>
      </c>
      <c r="N376" s="9" t="inlineStr">
        <is>
          <t>0</t>
        </is>
      </c>
      <c r="O376" s="10" t="inlineStr">
        <is>
          <t>0</t>
        </is>
      </c>
      <c r="P376" s="10" t="inlineStr">
        <is>
          <t>0</t>
        </is>
      </c>
      <c r="Q376" s="10" t="inlineStr">
        <is>
          <t>1</t>
        </is>
      </c>
      <c r="R376" s="10" t="inlineStr">
        <is>
          <t>0</t>
        </is>
      </c>
      <c r="S376" s="10" t="inlineStr">
        <is>
          <t>0</t>
        </is>
      </c>
    </row>
    <row r="377" ht="133" customHeight="1">
      <c r="A377" s="6">
        <f>IFERROR(__xludf.DUMMYFUNCTION("""COMPUTED_VALUE"""),"function of human eye")</f>
        <v/>
      </c>
      <c r="B377" s="6">
        <f>IFERROR(__xludf.DUMMYFUNCTION("""COMPUTED_VALUE"""),"Resource")</f>
        <v/>
      </c>
      <c r="C377" s="6">
        <f>IFERROR(__xludf.DUMMYFUNCTION("""COMPUTED_VALUE"""),"KScience - Animations")</f>
        <v/>
      </c>
      <c r="D377" s="7">
        <f>IFERROR(__xludf.DUMMYFUNCTION("""COMPUTED_VALUE"""),"No task description")</f>
        <v/>
      </c>
      <c r="E377" s="7">
        <f>IFERROR(__xludf.DUMMYFUNCTION("""COMPUTED_VALUE"""),"Artifact from kscience.co.uk: A UK-based educational site offering animations and interactive content related to science topics, such as eye function.")</f>
        <v/>
      </c>
      <c r="F377" s="7" t="inlineStr">
        <is>
          <t>Students observe mammalian eye parts and functions through labs and animations, recording observations on lens curvature, cornea, and pupil responses to light. Embedded artifacts include an animation and a link to kscience.co.uk.</t>
        </is>
      </c>
      <c r="G377" s="8" t="inlineStr">
        <is>
          <t>1</t>
        </is>
      </c>
      <c r="H377" s="8" t="inlineStr">
        <is>
          <t>1</t>
        </is>
      </c>
      <c r="I377" s="8" t="inlineStr">
        <is>
          <t>0</t>
        </is>
      </c>
      <c r="J377" s="8" t="inlineStr">
        <is>
          <t>0</t>
        </is>
      </c>
      <c r="K377" s="9" t="inlineStr">
        <is>
          <t>1</t>
        </is>
      </c>
      <c r="L377" s="9" t="inlineStr">
        <is>
          <t>0</t>
        </is>
      </c>
      <c r="M377" s="9" t="inlineStr">
        <is>
          <t>0</t>
        </is>
      </c>
      <c r="N377" s="9" t="inlineStr">
        <is>
          <t>0</t>
        </is>
      </c>
      <c r="O377" s="10" t="inlineStr">
        <is>
          <t>0</t>
        </is>
      </c>
      <c r="P377" s="10" t="inlineStr">
        <is>
          <t>0</t>
        </is>
      </c>
      <c r="Q377" s="10" t="inlineStr">
        <is>
          <t>0</t>
        </is>
      </c>
      <c r="R377" s="10" t="inlineStr">
        <is>
          <t>0</t>
        </is>
      </c>
      <c r="S377" s="10" t="inlineStr">
        <is>
          <t>0</t>
        </is>
      </c>
    </row>
    <row r="378" ht="395" customHeight="1">
      <c r="A378" s="6">
        <f>IFERROR(__xludf.DUMMYFUNCTION("""COMPUTED_VALUE"""),"function of human eye")</f>
        <v/>
      </c>
      <c r="B378" s="6">
        <f>IFERROR(__xludf.DUMMYFUNCTION("""COMPUTED_VALUE"""),"Application")</f>
        <v/>
      </c>
      <c r="C378" s="6">
        <f>IFERROR(__xludf.DUMMYFUNCTION("""COMPUTED_VALUE"""),"Observation Tool")</f>
        <v/>
      </c>
      <c r="D378" s="7">
        <f>IFERROR(__xludf.DUMMYFUNCTION("""COMPUTED_VALUE"""),"&lt;p&gt;Record your observation &lt;/p&gt;")</f>
        <v/>
      </c>
      <c r="E37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78" s="7" t="inlineStr">
        <is>
          <t>Students study an animation of a mammalian eye, recording observations on lens curvature, cornea, and pupil response to light using a provided observation tool. Embedded artifacts include an educational animation and a lab app for recording observations.</t>
        </is>
      </c>
      <c r="G378" s="8" t="inlineStr">
        <is>
          <t>0</t>
        </is>
      </c>
      <c r="H378" s="8" t="inlineStr">
        <is>
          <t>1</t>
        </is>
      </c>
      <c r="I378" s="8" t="inlineStr">
        <is>
          <t>1</t>
        </is>
      </c>
      <c r="J378" s="8" t="inlineStr">
        <is>
          <t>1</t>
        </is>
      </c>
      <c r="K378" s="9" t="inlineStr">
        <is>
          <t>0</t>
        </is>
      </c>
      <c r="L378" s="9" t="inlineStr">
        <is>
          <t>1</t>
        </is>
      </c>
      <c r="M378" s="9" t="inlineStr">
        <is>
          <t>0</t>
        </is>
      </c>
      <c r="N378" s="9" t="inlineStr">
        <is>
          <t>1</t>
        </is>
      </c>
      <c r="O378" s="10" t="inlineStr">
        <is>
          <t>0</t>
        </is>
      </c>
      <c r="P378" s="10" t="inlineStr">
        <is>
          <t>0</t>
        </is>
      </c>
      <c r="Q378" s="10" t="inlineStr">
        <is>
          <t>1</t>
        </is>
      </c>
      <c r="R378" s="10" t="inlineStr">
        <is>
          <t>1</t>
        </is>
      </c>
      <c r="S378" s="10" t="inlineStr">
        <is>
          <t>1</t>
        </is>
      </c>
    </row>
    <row r="379" ht="25" customHeight="1">
      <c r="A379" s="6">
        <f>IFERROR(__xludf.DUMMYFUNCTION("""COMPUTED_VALUE"""),"function of human eye")</f>
        <v/>
      </c>
      <c r="B379" s="6">
        <f>IFERROR(__xludf.DUMMYFUNCTION("""COMPUTED_VALUE"""),"Space")</f>
        <v/>
      </c>
      <c r="C379" s="6">
        <f>IFERROR(__xludf.DUMMYFUNCTION("""COMPUTED_VALUE"""),"explain")</f>
        <v/>
      </c>
      <c r="D379" s="7">
        <f>IFERROR(__xludf.DUMMYFUNCTION("""COMPUTED_VALUE"""),"No task description")</f>
        <v/>
      </c>
      <c r="E379" s="7">
        <f>IFERROR(__xludf.DUMMYFUNCTION("""COMPUTED_VALUE"""),"No artifact embedded")</f>
        <v/>
      </c>
      <c r="F379" s="7" t="inlineStr">
        <is>
          <t>Students were given tasks with some having no descriptions. Embedded artifacts included a science animation and an observation tool from Golabz app/lab.</t>
        </is>
      </c>
      <c r="G379" s="8" t="inlineStr">
        <is>
          <t>0</t>
        </is>
      </c>
      <c r="H379" s="8" t="inlineStr">
        <is>
          <t>0</t>
        </is>
      </c>
      <c r="I379" s="8" t="inlineStr">
        <is>
          <t>0</t>
        </is>
      </c>
      <c r="J379" s="8" t="inlineStr">
        <is>
          <t>0</t>
        </is>
      </c>
      <c r="K379" s="9" t="inlineStr">
        <is>
          <t>0</t>
        </is>
      </c>
      <c r="L379" s="9" t="inlineStr">
        <is>
          <t>0</t>
        </is>
      </c>
      <c r="M379" s="9" t="inlineStr">
        <is>
          <t>0</t>
        </is>
      </c>
      <c r="N379" s="9" t="inlineStr">
        <is>
          <t>0</t>
        </is>
      </c>
      <c r="O379" s="10" t="inlineStr">
        <is>
          <t>0</t>
        </is>
      </c>
      <c r="P379" s="10" t="inlineStr">
        <is>
          <t>0</t>
        </is>
      </c>
      <c r="Q379" s="10" t="inlineStr">
        <is>
          <t>0</t>
        </is>
      </c>
      <c r="R379" s="10" t="inlineStr">
        <is>
          <t>0</t>
        </is>
      </c>
      <c r="S379" s="10" t="inlineStr">
        <is>
          <t>0</t>
        </is>
      </c>
    </row>
    <row r="380" ht="229" customHeight="1">
      <c r="A380" s="6">
        <f>IFERROR(__xludf.DUMMYFUNCTION("""COMPUTED_VALUE"""),"function of human eye")</f>
        <v/>
      </c>
      <c r="B380" s="6">
        <f>IFERROR(__xludf.DUMMYFUNCTION("""COMPUTED_VALUE"""),"Resource")</f>
        <v/>
      </c>
      <c r="C380" s="6">
        <f>IFERROR(__xludf.DUMMYFUNCTION("""COMPUTED_VALUE"""),"function of human eye.graasp")</f>
        <v/>
      </c>
      <c r="D380" s="7">
        <f>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
      </c>
      <c r="E380" s="7">
        <f>IFERROR(__xludf.DUMMYFUNCTION("""COMPUTED_VALUE"""),"No artifact embedded")</f>
        <v/>
      </c>
      <c r="F380" s="7" t="inlineStr">
        <is>
          <t>Students record observations using Golabz app, analyzing experiments. Item 3 requires written explanations of observations on light rays and pupil reactions.</t>
        </is>
      </c>
      <c r="G380" s="8" t="inlineStr">
        <is>
          <t>0</t>
        </is>
      </c>
      <c r="H380" s="8" t="inlineStr">
        <is>
          <t>0</t>
        </is>
      </c>
      <c r="I380" s="8" t="inlineStr">
        <is>
          <t>1</t>
        </is>
      </c>
      <c r="J380" s="8" t="inlineStr">
        <is>
          <t>1</t>
        </is>
      </c>
      <c r="K380" s="9" t="inlineStr">
        <is>
          <t>0</t>
        </is>
      </c>
      <c r="L380" s="9" t="inlineStr">
        <is>
          <t>1</t>
        </is>
      </c>
      <c r="M380" s="9" t="inlineStr">
        <is>
          <t>0</t>
        </is>
      </c>
      <c r="N380" s="9" t="inlineStr">
        <is>
          <t>0</t>
        </is>
      </c>
      <c r="O380" s="10" t="inlineStr">
        <is>
          <t>0</t>
        </is>
      </c>
      <c r="P380" s="10" t="inlineStr">
        <is>
          <t>1</t>
        </is>
      </c>
      <c r="Q380" s="10" t="inlineStr">
        <is>
          <t>1</t>
        </is>
      </c>
      <c r="R380" s="10" t="inlineStr">
        <is>
          <t>1</t>
        </is>
      </c>
      <c r="S380" s="10" t="inlineStr">
        <is>
          <t>1</t>
        </is>
      </c>
    </row>
    <row r="381" ht="329" customHeight="1">
      <c r="A381" s="6">
        <f>IFERROR(__xludf.DUMMYFUNCTION("""COMPUTED_VALUE"""),"function of human eye")</f>
        <v/>
      </c>
      <c r="B381" s="6">
        <f>IFERROR(__xludf.DUMMYFUNCTION("""COMPUTED_VALUE"""),"Application")</f>
        <v/>
      </c>
      <c r="C381" s="6">
        <f>IFERROR(__xludf.DUMMYFUNCTION("""COMPUTED_VALUE"""),"Input Box")</f>
        <v/>
      </c>
      <c r="D381" s="7">
        <f>IFERROR(__xludf.DUMMYFUNCTION("""COMPUTED_VALUE"""),"No task description")</f>
        <v/>
      </c>
      <c r="E3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81" s="7" t="inlineStr">
        <is>
          <t>Students were given tasks with no descriptions for Items 1 and 3. Item 2 had questions about light refraction and pupil response. An embedded Golabz app allowed note-taking and collaboration in Item 3.</t>
        </is>
      </c>
      <c r="G381" s="8" t="inlineStr">
        <is>
          <t>0</t>
        </is>
      </c>
      <c r="H381" s="8" t="inlineStr">
        <is>
          <t>1</t>
        </is>
      </c>
      <c r="I381" s="8" t="inlineStr">
        <is>
          <t>1</t>
        </is>
      </c>
      <c r="J381" s="8" t="inlineStr">
        <is>
          <t>1</t>
        </is>
      </c>
      <c r="K381" s="9" t="inlineStr">
        <is>
          <t>0</t>
        </is>
      </c>
      <c r="L381" s="9" t="inlineStr">
        <is>
          <t>1</t>
        </is>
      </c>
      <c r="M381" s="9" t="inlineStr">
        <is>
          <t>0</t>
        </is>
      </c>
      <c r="N381" s="9" t="inlineStr">
        <is>
          <t>1</t>
        </is>
      </c>
      <c r="O381" s="10" t="inlineStr">
        <is>
          <t>0</t>
        </is>
      </c>
      <c r="P381" s="10" t="inlineStr">
        <is>
          <t>0</t>
        </is>
      </c>
      <c r="Q381" s="10" t="inlineStr">
        <is>
          <t>0</t>
        </is>
      </c>
      <c r="R381" s="10" t="inlineStr">
        <is>
          <t>0</t>
        </is>
      </c>
      <c r="S381" s="10" t="inlineStr">
        <is>
          <t>1</t>
        </is>
      </c>
    </row>
    <row r="382" ht="25" customHeight="1">
      <c r="A382" s="6">
        <f>IFERROR(__xludf.DUMMYFUNCTION("""COMPUTED_VALUE"""),"function of human eye")</f>
        <v/>
      </c>
      <c r="B382" s="6">
        <f>IFERROR(__xludf.DUMMYFUNCTION("""COMPUTED_VALUE"""),"Space")</f>
        <v/>
      </c>
      <c r="C382" s="6">
        <f>IFERROR(__xludf.DUMMYFUNCTION("""COMPUTED_VALUE"""),"elaborate")</f>
        <v/>
      </c>
      <c r="D382" s="7">
        <f>IFERROR(__xludf.DUMMYFUNCTION("""COMPUTED_VALUE"""),"No task description")</f>
        <v/>
      </c>
      <c r="E382" s="7">
        <f>IFERROR(__xludf.DUMMYFUNCTION("""COMPUTED_VALUE"""),"No artifact embedded")</f>
        <v/>
      </c>
      <c r="F382" s="7" t="inlineStr">
        <is>
          <t>Students observe and explain light ray behavior through the cornea, accommodation of objects, and pupil response to light. Embedded artifacts include a note-taking app for collaboration and feedback.</t>
        </is>
      </c>
      <c r="G382" s="8" t="inlineStr">
        <is>
          <t>0</t>
        </is>
      </c>
      <c r="H382" s="8" t="inlineStr">
        <is>
          <t>0</t>
        </is>
      </c>
      <c r="I382" s="8" t="inlineStr">
        <is>
          <t>0</t>
        </is>
      </c>
      <c r="J382" s="8" t="inlineStr">
        <is>
          <t>0</t>
        </is>
      </c>
      <c r="K382" s="9" t="inlineStr">
        <is>
          <t>0</t>
        </is>
      </c>
      <c r="L382" s="9" t="inlineStr">
        <is>
          <t>0</t>
        </is>
      </c>
      <c r="M382" s="9" t="inlineStr">
        <is>
          <t>0</t>
        </is>
      </c>
      <c r="N382" s="9" t="inlineStr">
        <is>
          <t>0</t>
        </is>
      </c>
      <c r="O382" s="10" t="inlineStr">
        <is>
          <t>0</t>
        </is>
      </c>
      <c r="P382" s="10" t="inlineStr">
        <is>
          <t>0</t>
        </is>
      </c>
      <c r="Q382" s="10" t="inlineStr">
        <is>
          <t>0</t>
        </is>
      </c>
      <c r="R382" s="10" t="inlineStr">
        <is>
          <t>0</t>
        </is>
      </c>
      <c r="S382" s="10" t="inlineStr">
        <is>
          <t>0</t>
        </is>
      </c>
    </row>
    <row r="383" ht="229" customHeight="1">
      <c r="A383" s="6">
        <f>IFERROR(__xludf.DUMMYFUNCTION("""COMPUTED_VALUE"""),"function of human eye")</f>
        <v/>
      </c>
      <c r="B383" s="6">
        <f>IFERROR(__xludf.DUMMYFUNCTION("""COMPUTED_VALUE"""),"Resource")</f>
        <v/>
      </c>
      <c r="C383" s="6">
        <f>IFERROR(__xludf.DUMMYFUNCTION("""COMPUTED_VALUE"""),"How human eye functions.graasp")</f>
        <v/>
      </c>
      <c r="D383" s="7">
        <f>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
      </c>
      <c r="E383" s="7">
        <f>IFERROR(__xludf.DUMMYFUNCTION("""COMPUTED_VALUE"""),"No artifact embedded")</f>
        <v/>
      </c>
      <c r="F383" s="7" t="inlineStr">
        <is>
          <t>No task descriptions; artifacts include Golabz app/lab for note-taking and collaboration.</t>
        </is>
      </c>
      <c r="G383" s="8" t="inlineStr">
        <is>
          <t>1</t>
        </is>
      </c>
      <c r="H383" s="8" t="inlineStr">
        <is>
          <t>0</t>
        </is>
      </c>
      <c r="I383" s="8" t="inlineStr">
        <is>
          <t>0</t>
        </is>
      </c>
      <c r="J383" s="8" t="inlineStr">
        <is>
          <t>0</t>
        </is>
      </c>
      <c r="K383" s="9" t="inlineStr">
        <is>
          <t>1</t>
        </is>
      </c>
      <c r="L383" s="9" t="inlineStr">
        <is>
          <t>0</t>
        </is>
      </c>
      <c r="M383" s="9" t="inlineStr">
        <is>
          <t>0</t>
        </is>
      </c>
      <c r="N383" s="9" t="inlineStr">
        <is>
          <t>0</t>
        </is>
      </c>
      <c r="O383" s="10" t="inlineStr">
        <is>
          <t>1</t>
        </is>
      </c>
      <c r="P383" s="10" t="inlineStr">
        <is>
          <t>0</t>
        </is>
      </c>
      <c r="Q383" s="10" t="inlineStr">
        <is>
          <t>0</t>
        </is>
      </c>
      <c r="R383" s="10" t="inlineStr">
        <is>
          <t>0</t>
        </is>
      </c>
      <c r="S383" s="10" t="inlineStr">
        <is>
          <t>0</t>
        </is>
      </c>
    </row>
    <row r="384" ht="121" customHeight="1">
      <c r="A384" s="6">
        <f>IFERROR(__xludf.DUMMYFUNCTION("""COMPUTED_VALUE"""),"function of human eye")</f>
        <v/>
      </c>
      <c r="B384" s="6">
        <f>IFERROR(__xludf.DUMMYFUNCTION("""COMPUTED_VALUE"""),"Resource")</f>
        <v/>
      </c>
      <c r="C384" s="6">
        <f>IFERROR(__xludf.DUMMYFUNCTION("""COMPUTED_VALUE"""),"human  eye structure.PNG")</f>
        <v/>
      </c>
      <c r="D384" s="7">
        <f>IFERROR(__xludf.DUMMYFUNCTION("""COMPUTED_VALUE"""),"Vmeous Humor Aqueous Humor Clliary Muscxe Eprtnelrum Cornea 'Pun Iris EYElashes Kenna Fovea Lens Optic Nerve Eyelid Orbital Muscles")</f>
        <v/>
      </c>
      <c r="E384" s="7">
        <f>IFERROR(__xludf.DUMMYFUNCTION("""COMPUTED_VALUE"""),"image/png – A high-quality image with support for transparency, often used in design and web applications.")</f>
        <v/>
      </c>
      <c r="F384" s="7" t="inlineStr">
        <is>
          <t>Students received task descriptions about the human eye. Embedded artifacts included no items, then an image in Item 3.</t>
        </is>
      </c>
      <c r="G384" s="8" t="inlineStr">
        <is>
          <t>1</t>
        </is>
      </c>
      <c r="H384" s="8" t="inlineStr">
        <is>
          <t>0</t>
        </is>
      </c>
      <c r="I384" s="8" t="inlineStr">
        <is>
          <t>0</t>
        </is>
      </c>
      <c r="J384" s="8" t="inlineStr">
        <is>
          <t>0</t>
        </is>
      </c>
      <c r="K384" s="9" t="inlineStr">
        <is>
          <t>1</t>
        </is>
      </c>
      <c r="L384" s="9" t="inlineStr">
        <is>
          <t>0</t>
        </is>
      </c>
      <c r="M384" s="9" t="inlineStr">
        <is>
          <t>0</t>
        </is>
      </c>
      <c r="N384" s="9" t="inlineStr">
        <is>
          <t>0</t>
        </is>
      </c>
      <c r="O384" s="10" t="inlineStr">
        <is>
          <t>0</t>
        </is>
      </c>
      <c r="P384" s="10" t="inlineStr">
        <is>
          <t>0</t>
        </is>
      </c>
      <c r="Q384" s="10" t="inlineStr">
        <is>
          <t>0</t>
        </is>
      </c>
      <c r="R384" s="10" t="inlineStr">
        <is>
          <t>0</t>
        </is>
      </c>
      <c r="S384" s="10" t="inlineStr">
        <is>
          <t>0</t>
        </is>
      </c>
    </row>
    <row r="385" ht="362" customHeight="1">
      <c r="A385" s="6">
        <f>IFERROR(__xludf.DUMMYFUNCTION("""COMPUTED_VALUE"""),"function of human eye")</f>
        <v/>
      </c>
      <c r="B385" s="6">
        <f>IFERROR(__xludf.DUMMYFUNCTION("""COMPUTED_VALUE"""),"Resource")</f>
        <v/>
      </c>
      <c r="C385" s="6">
        <f>IFERROR(__xludf.DUMMYFUNCTION("""COMPUTED_VALUE"""),"human eye is like a camera.graasp")</f>
        <v/>
      </c>
      <c r="D385" s="7">
        <f>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
      </c>
      <c r="E385" s="7">
        <f>IFERROR(__xludf.DUMMYFUNCTION("""COMPUTED_VALUE"""),"No artifact embedded")</f>
        <v/>
      </c>
      <c r="F385" s="7" t="inlineStr">
        <is>
          <t>Students learn about eye anatomy and function. Embedded artifacts include an image/png file in Item 2.</t>
        </is>
      </c>
      <c r="G385" s="8" t="inlineStr">
        <is>
          <t>1</t>
        </is>
      </c>
      <c r="H385" s="8" t="inlineStr">
        <is>
          <t>0</t>
        </is>
      </c>
      <c r="I385" s="8" t="inlineStr">
        <is>
          <t>0</t>
        </is>
      </c>
      <c r="J385" s="8" t="inlineStr">
        <is>
          <t>0</t>
        </is>
      </c>
      <c r="K385" s="9" t="inlineStr">
        <is>
          <t>1</t>
        </is>
      </c>
      <c r="L385" s="9" t="inlineStr">
        <is>
          <t>0</t>
        </is>
      </c>
      <c r="M385" s="9" t="inlineStr">
        <is>
          <t>0</t>
        </is>
      </c>
      <c r="N385" s="9" t="inlineStr">
        <is>
          <t>0</t>
        </is>
      </c>
      <c r="O385" s="10" t="inlineStr">
        <is>
          <t>1</t>
        </is>
      </c>
      <c r="P385" s="10" t="inlineStr">
        <is>
          <t>0</t>
        </is>
      </c>
      <c r="Q385" s="10" t="inlineStr">
        <is>
          <t>0</t>
        </is>
      </c>
      <c r="R385" s="10" t="inlineStr">
        <is>
          <t>0</t>
        </is>
      </c>
      <c r="S385" s="10" t="inlineStr">
        <is>
          <t>0</t>
        </is>
      </c>
    </row>
    <row r="386" ht="97" customHeight="1">
      <c r="A386" s="6">
        <f>IFERROR(__xludf.DUMMYFUNCTION("""COMPUTED_VALUE"""),"function of human eye")</f>
        <v/>
      </c>
      <c r="B386" s="6">
        <f>IFERROR(__xludf.DUMMYFUNCTION("""COMPUTED_VALUE"""),"Resource")</f>
        <v/>
      </c>
      <c r="C386" s="6">
        <f>IFERROR(__xludf.DUMMYFUNCTION("""COMPUTED_VALUE"""),"Camera.PNG")</f>
        <v/>
      </c>
      <c r="D386" s="7">
        <f>IFERROR(__xludf.DUMMYFUNCTION("""COMPUTED_VALUE"""),", rsznurz _ '\ Lem _ 7 7 7 Slick mm!")</f>
        <v/>
      </c>
      <c r="E386" s="7">
        <f>IFERROR(__xludf.DUMMYFUNCTION("""COMPUTED_VALUE"""),"image/png – A high-quality image with support for transparency, often used in design and web applications.")</f>
        <v/>
      </c>
      <c r="F386" s="7" t="inlineStr">
        <is>
          <t>Students are given tasks describing eye components, with some items including PNG images as embedded artifacts.</t>
        </is>
      </c>
      <c r="G386" s="8" t="inlineStr">
        <is>
          <t>1</t>
        </is>
      </c>
      <c r="H386" s="8" t="inlineStr">
        <is>
          <t>0</t>
        </is>
      </c>
      <c r="I386" s="8" t="inlineStr">
        <is>
          <t>0</t>
        </is>
      </c>
      <c r="J386" s="8" t="inlineStr">
        <is>
          <t>0</t>
        </is>
      </c>
      <c r="K386" s="9" t="inlineStr">
        <is>
          <t>1</t>
        </is>
      </c>
      <c r="L386" s="9" t="inlineStr">
        <is>
          <t>0</t>
        </is>
      </c>
      <c r="M386" s="9" t="inlineStr">
        <is>
          <t>0</t>
        </is>
      </c>
      <c r="N386" s="9" t="inlineStr">
        <is>
          <t>0</t>
        </is>
      </c>
      <c r="O386" s="10" t="inlineStr">
        <is>
          <t>0</t>
        </is>
      </c>
      <c r="P386" s="10" t="inlineStr">
        <is>
          <t>0</t>
        </is>
      </c>
      <c r="Q386" s="10" t="inlineStr">
        <is>
          <t>0</t>
        </is>
      </c>
      <c r="R386" s="10" t="inlineStr">
        <is>
          <t>0</t>
        </is>
      </c>
      <c r="S386" s="10" t="inlineStr">
        <is>
          <t>0</t>
        </is>
      </c>
    </row>
    <row r="387" ht="409.5" customHeight="1">
      <c r="A387" s="6">
        <f>IFERROR(__xludf.DUMMYFUNCTION("""COMPUTED_VALUE"""),"function of human eye")</f>
        <v/>
      </c>
      <c r="B387" s="6">
        <f>IFERROR(__xludf.DUMMYFUNCTION("""COMPUTED_VALUE"""),"Resource")</f>
        <v/>
      </c>
      <c r="C387" s="6">
        <f>IFERROR(__xludf.DUMMYFUNCTION("""COMPUTED_VALUE"""),"human eye is like the camera.graasp")</f>
        <v/>
      </c>
      <c r="D387" s="7">
        <f>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
      </c>
      <c r="E387" s="7">
        <f>IFERROR(__xludf.DUMMYFUNCTION("""COMPUTED_VALUE"""),"No artifact embedded")</f>
        <v/>
      </c>
      <c r="F387" s="7" t="inlineStr">
        <is>
          <t>Students were instructed to describe the human eye's components. Embedded artifacts include a PNG image in Item2.</t>
        </is>
      </c>
      <c r="G387" s="8" t="inlineStr">
        <is>
          <t>1</t>
        </is>
      </c>
      <c r="H387" s="8" t="inlineStr">
        <is>
          <t>0</t>
        </is>
      </c>
      <c r="I387" s="8" t="inlineStr">
        <is>
          <t>0</t>
        </is>
      </c>
      <c r="J387" s="8" t="inlineStr">
        <is>
          <t>0</t>
        </is>
      </c>
      <c r="K387" s="9" t="inlineStr">
        <is>
          <t>1</t>
        </is>
      </c>
      <c r="L387" s="9" t="inlineStr">
        <is>
          <t>0</t>
        </is>
      </c>
      <c r="M387" s="9" t="inlineStr">
        <is>
          <t>0</t>
        </is>
      </c>
      <c r="N387" s="9" t="inlineStr">
        <is>
          <t>0</t>
        </is>
      </c>
      <c r="O387" s="10" t="inlineStr">
        <is>
          <t>0</t>
        </is>
      </c>
      <c r="P387" s="10" t="inlineStr">
        <is>
          <t>0</t>
        </is>
      </c>
      <c r="Q387" s="10" t="inlineStr">
        <is>
          <t>0</t>
        </is>
      </c>
      <c r="R387" s="10" t="inlineStr">
        <is>
          <t>0</t>
        </is>
      </c>
      <c r="S387" s="10" t="inlineStr">
        <is>
          <t>0</t>
        </is>
      </c>
    </row>
    <row r="388" ht="37" customHeight="1">
      <c r="A388" s="6">
        <f>IFERROR(__xludf.DUMMYFUNCTION("""COMPUTED_VALUE"""),"function of human eye")</f>
        <v/>
      </c>
      <c r="B388" s="6">
        <f>IFERROR(__xludf.DUMMYFUNCTION("""COMPUTED_VALUE"""),"Space")</f>
        <v/>
      </c>
      <c r="C388" s="6">
        <f>IFERROR(__xludf.DUMMYFUNCTION("""COMPUTED_VALUE"""),"evaluate")</f>
        <v/>
      </c>
      <c r="D388" s="7">
        <f>IFERROR(__xludf.DUMMYFUNCTION("""COMPUTED_VALUE"""),"&lt;p&gt;Evaluate your self after learning&lt;/p&gt;")</f>
        <v/>
      </c>
      <c r="E388" s="7">
        <f>IFERROR(__xludf.DUMMYFUNCTION("""COMPUTED_VALUE"""),"No artifact embedded")</f>
        <v/>
      </c>
      <c r="F388" s="7" t="inlineStr">
        <is>
          <t>No instructions are provided; task descriptions include a nonsensical text, an eye anatomy lesson, and a self-evaluation prompt.</t>
        </is>
      </c>
      <c r="G388" s="8" t="inlineStr">
        <is>
          <t>0</t>
        </is>
      </c>
      <c r="H388" s="8" t="inlineStr">
        <is>
          <t>0</t>
        </is>
      </c>
      <c r="I388" s="8" t="inlineStr">
        <is>
          <t>1</t>
        </is>
      </c>
      <c r="J388" s="8" t="inlineStr">
        <is>
          <t>0</t>
        </is>
      </c>
      <c r="K388" s="9" t="inlineStr">
        <is>
          <t>1</t>
        </is>
      </c>
      <c r="L388" s="9" t="inlineStr">
        <is>
          <t>1</t>
        </is>
      </c>
      <c r="M388" s="9" t="inlineStr">
        <is>
          <t>0</t>
        </is>
      </c>
      <c r="N388" s="9" t="inlineStr">
        <is>
          <t>0</t>
        </is>
      </c>
      <c r="O388" s="10" t="inlineStr">
        <is>
          <t>0</t>
        </is>
      </c>
      <c r="P388" s="10" t="inlineStr">
        <is>
          <t>0</t>
        </is>
      </c>
      <c r="Q388" s="10" t="inlineStr">
        <is>
          <t>0</t>
        </is>
      </c>
      <c r="R388" s="10" t="inlineStr">
        <is>
          <t>0</t>
        </is>
      </c>
      <c r="S388" s="10" t="inlineStr">
        <is>
          <t>1</t>
        </is>
      </c>
    </row>
    <row r="389" ht="121" customHeight="1">
      <c r="A389" s="6">
        <f>IFERROR(__xludf.DUMMYFUNCTION("""COMPUTED_VALUE"""),"function of human eye")</f>
        <v/>
      </c>
      <c r="B389" s="6">
        <f>IFERROR(__xludf.DUMMYFUNCTION("""COMPUTED_VALUE"""),"Resource")</f>
        <v/>
      </c>
      <c r="C389" s="6">
        <f>IFERROR(__xludf.DUMMYFUNCTION("""COMPUTED_VALUE"""),"KScience - Animations")</f>
        <v/>
      </c>
      <c r="D389" s="7">
        <f>IFERROR(__xludf.DUMMYFUNCTION("""COMPUTED_VALUE"""),"No task description")</f>
        <v/>
      </c>
      <c r="E389" s="7">
        <f>IFERROR(__xludf.DUMMYFUNCTION("""COMPUTED_VALUE"""),"kscience.co.uk: A UK-based educational site offering animations and interactive content related to science topics, such as eye function.")</f>
        <v/>
      </c>
      <c r="F389" s="7" t="inlineStr">
        <is>
          <t>Students learn about the human eye, then evaluate themselves. An educational website is provided as a resource.</t>
        </is>
      </c>
      <c r="G389" s="8" t="inlineStr">
        <is>
          <t>1</t>
        </is>
      </c>
      <c r="H389" s="8" t="inlineStr">
        <is>
          <t>1</t>
        </is>
      </c>
      <c r="I389" s="8" t="inlineStr">
        <is>
          <t>0</t>
        </is>
      </c>
      <c r="J389" s="8" t="inlineStr">
        <is>
          <t>0</t>
        </is>
      </c>
      <c r="K389" s="9" t="inlineStr">
        <is>
          <t>1</t>
        </is>
      </c>
      <c r="L389" s="9" t="inlineStr">
        <is>
          <t>0</t>
        </is>
      </c>
      <c r="M389" s="9" t="inlineStr">
        <is>
          <t>0</t>
        </is>
      </c>
      <c r="N389" s="9" t="inlineStr">
        <is>
          <t>0</t>
        </is>
      </c>
      <c r="O389" s="10" t="inlineStr">
        <is>
          <t>0</t>
        </is>
      </c>
      <c r="P389" s="10" t="inlineStr">
        <is>
          <t>0</t>
        </is>
      </c>
      <c r="Q389" s="10" t="inlineStr">
        <is>
          <t>0</t>
        </is>
      </c>
      <c r="R389" s="10" t="inlineStr">
        <is>
          <t>0</t>
        </is>
      </c>
      <c r="S389" s="10" t="inlineStr">
        <is>
          <t>0</t>
        </is>
      </c>
    </row>
    <row r="390" ht="109" customHeight="1">
      <c r="A390" s="6">
        <f>IFERROR(__xludf.DUMMYFUNCTION("""COMPUTED_VALUE"""),"function of human eye")</f>
        <v/>
      </c>
      <c r="B390" s="6">
        <f>IFERROR(__xludf.DUMMYFUNCTION("""COMPUTED_VALUE"""),"Resource")</f>
        <v/>
      </c>
      <c r="C390" s="6">
        <f>IFERROR(__xludf.DUMMYFUNCTION("""COMPUTED_VALUE"""),"Quiz: Eyes")</f>
        <v/>
      </c>
      <c r="D390" s="7">
        <f>IFERROR(__xludf.DUMMYFUNCTION("""COMPUTED_VALUE"""),"Take this quiz about your eyes.")</f>
        <v/>
      </c>
      <c r="E390" s="7">
        <f>IFERROR(__xludf.DUMMYFUNCTION("""COMPUTED_VALUE"""),"Artifact from kidshealth.org: Offers health-related information and quizzes designed for children, such as eye health quizzes.")</f>
        <v/>
      </c>
      <c r="F390" s="7" t="inlineStr">
        <is>
          <t>Students were instructed to evaluate themselves and take a quiz, with embedded artifacts from kscience.co.uk and kidshealth.org.</t>
        </is>
      </c>
      <c r="G390" s="8" t="inlineStr">
        <is>
          <t>0</t>
        </is>
      </c>
      <c r="H390" s="8" t="inlineStr">
        <is>
          <t>0</t>
        </is>
      </c>
      <c r="I390" s="8" t="inlineStr">
        <is>
          <t>0</t>
        </is>
      </c>
      <c r="J390" s="8" t="inlineStr">
        <is>
          <t>1</t>
        </is>
      </c>
      <c r="K390" s="9" t="inlineStr">
        <is>
          <t>1</t>
        </is>
      </c>
      <c r="L390" s="9" t="inlineStr">
        <is>
          <t>1</t>
        </is>
      </c>
      <c r="M390" s="9" t="inlineStr">
        <is>
          <t>0</t>
        </is>
      </c>
      <c r="N390" s="9" t="inlineStr">
        <is>
          <t>0</t>
        </is>
      </c>
      <c r="O390" s="10" t="inlineStr">
        <is>
          <t>0</t>
        </is>
      </c>
      <c r="P390" s="10" t="inlineStr">
        <is>
          <t>0</t>
        </is>
      </c>
      <c r="Q390" s="10" t="inlineStr">
        <is>
          <t>0</t>
        </is>
      </c>
      <c r="R390" s="10" t="inlineStr">
        <is>
          <t>0</t>
        </is>
      </c>
      <c r="S390" s="10" t="inlineStr">
        <is>
          <t>0</t>
        </is>
      </c>
    </row>
    <row r="391" ht="25" customHeight="1">
      <c r="A391" s="6">
        <f>IFERROR(__xludf.DUMMYFUNCTION("""COMPUTED_VALUE"""),"molarity")</f>
        <v/>
      </c>
      <c r="B391" s="6">
        <f>IFERROR(__xludf.DUMMYFUNCTION("""COMPUTED_VALUE"""),"Space")</f>
        <v/>
      </c>
      <c r="C391" s="6">
        <f>IFERROR(__xludf.DUMMYFUNCTION("""COMPUTED_VALUE"""),"Engage")</f>
        <v/>
      </c>
      <c r="D391" s="7">
        <f>IFERROR(__xludf.DUMMYFUNCTION("""COMPUTED_VALUE"""),"No task description")</f>
        <v/>
      </c>
      <c r="E391" s="7">
        <f>IFERROR(__xludf.DUMMYFUNCTION("""COMPUTED_VALUE"""),"No artifact embedded")</f>
        <v/>
      </c>
      <c r="F391" s="7" t="inlineStr">
        <is>
          <t>Students were given tasks and artifacts to complete, including a quiz and interactive content on eye function from kscience.co.uk and kidshealth.org.</t>
        </is>
      </c>
      <c r="G391" s="8" t="inlineStr">
        <is>
          <t>0</t>
        </is>
      </c>
      <c r="H391" s="8" t="inlineStr">
        <is>
          <t>0</t>
        </is>
      </c>
      <c r="I391" s="8" t="inlineStr">
        <is>
          <t>0</t>
        </is>
      </c>
      <c r="J391" s="8" t="inlineStr">
        <is>
          <t>0</t>
        </is>
      </c>
      <c r="K391" s="9" t="inlineStr">
        <is>
          <t>0</t>
        </is>
      </c>
      <c r="L391" s="9" t="inlineStr">
        <is>
          <t>0</t>
        </is>
      </c>
      <c r="M391" s="9" t="inlineStr">
        <is>
          <t>0</t>
        </is>
      </c>
      <c r="N391" s="9" t="inlineStr">
        <is>
          <t>0</t>
        </is>
      </c>
      <c r="O391" s="10" t="inlineStr">
        <is>
          <t>0</t>
        </is>
      </c>
      <c r="P391" s="10" t="inlineStr">
        <is>
          <t>0</t>
        </is>
      </c>
      <c r="Q391" s="10" t="inlineStr">
        <is>
          <t>0</t>
        </is>
      </c>
      <c r="R391" s="10" t="inlineStr">
        <is>
          <t>0</t>
        </is>
      </c>
      <c r="S391" s="10" t="inlineStr">
        <is>
          <t>0</t>
        </is>
      </c>
    </row>
    <row r="392" ht="109" customHeight="1">
      <c r="A392" s="6">
        <f>IFERROR(__xludf.DUMMYFUNCTION("""COMPUTED_VALUE"""),"molarity")</f>
        <v/>
      </c>
      <c r="B392" s="6">
        <f>IFERROR(__xludf.DUMMYFUNCTION("""COMPUTED_VALUE"""),"Resource")</f>
        <v/>
      </c>
      <c r="C392" s="6">
        <f>IFERROR(__xludf.DUMMYFUNCTION("""COMPUTED_VALUE"""),"proc 1.graasp")</f>
        <v/>
      </c>
      <c r="D392" s="7">
        <f>IFERROR(__xludf.DUMMYFUNCTION("""COMPUTED_VALUE"""),"&lt;ol&gt;&lt;li&gt;study the image below and make observation&lt;/li&gt;&lt;li&gt;compare the concentration of those four solutions&lt;/li&gt;&lt;/ol&gt;")</f>
        <v/>
      </c>
      <c r="E392" s="7">
        <f>IFERROR(__xludf.DUMMYFUNCTION("""COMPUTED_VALUE"""),"No artifact embedded")</f>
        <v/>
      </c>
      <c r="F392" s="7" t="inlineStr">
        <is>
          <t>Students take a quiz on eye health, study an image to compare solution concentrations. Embedded artifacts include kidshealth.org quizzes.</t>
        </is>
      </c>
      <c r="G392" s="8" t="inlineStr">
        <is>
          <t>0</t>
        </is>
      </c>
      <c r="H392" s="8" t="inlineStr">
        <is>
          <t>1</t>
        </is>
      </c>
      <c r="I392" s="8" t="inlineStr">
        <is>
          <t>1</t>
        </is>
      </c>
      <c r="J392" s="8" t="inlineStr">
        <is>
          <t>1</t>
        </is>
      </c>
      <c r="K392" s="9" t="inlineStr">
        <is>
          <t>1</t>
        </is>
      </c>
      <c r="L392" s="9" t="inlineStr">
        <is>
          <t>1</t>
        </is>
      </c>
      <c r="M392" s="9" t="inlineStr">
        <is>
          <t>0</t>
        </is>
      </c>
      <c r="N392" s="9" t="inlineStr">
        <is>
          <t>0</t>
        </is>
      </c>
      <c r="O392" s="10" t="inlineStr">
        <is>
          <t>0</t>
        </is>
      </c>
      <c r="P392" s="10" t="inlineStr">
        <is>
          <t>0</t>
        </is>
      </c>
      <c r="Q392" s="10" t="inlineStr">
        <is>
          <t>1</t>
        </is>
      </c>
      <c r="R392" s="10" t="inlineStr">
        <is>
          <t>0</t>
        </is>
      </c>
      <c r="S392" s="10" t="inlineStr">
        <is>
          <t>0</t>
        </is>
      </c>
    </row>
    <row r="393" ht="121" customHeight="1">
      <c r="A393" s="6">
        <f>IFERROR(__xludf.DUMMYFUNCTION("""COMPUTED_VALUE"""),"molarity")</f>
        <v/>
      </c>
      <c r="B393" s="6">
        <f>IFERROR(__xludf.DUMMYFUNCTION("""COMPUTED_VALUE"""),"Resource")</f>
        <v/>
      </c>
      <c r="C393" s="6">
        <f>IFERROR(__xludf.DUMMYFUNCTION("""COMPUTED_VALUE"""),"dilution.JPG")</f>
        <v/>
      </c>
      <c r="D393" s="7">
        <f>IFERROR(__xludf.DUMMYFUNCTION("""COMPUTED_VALUE"""),"rnmxmmr + 9m] + 9m + 9m] + 9ml Ml IIdIIli Ml undid Col-Int!""")</f>
        <v/>
      </c>
      <c r="E393" s="7">
        <f>IFERROR(__xludf.DUMMYFUNCTION("""COMPUTED_VALUE"""),"image/jpeg – A digital photograph or web image stored in a compressed format, often used for photography and web graphics.")</f>
        <v/>
      </c>
      <c r="F393" s="7" t="inlineStr">
        <is>
          <t>Students were given tasks with varying levels of detail. Items 1 and 2 had text-based instructions, while Item 3 was unclear. Embedded artifacts included no artifact in Items 1 and 2, but an image/jpeg in Item 3.</t>
        </is>
      </c>
      <c r="G393" s="8" t="inlineStr">
        <is>
          <t>0</t>
        </is>
      </c>
      <c r="H393" s="8" t="inlineStr">
        <is>
          <t>0</t>
        </is>
      </c>
      <c r="I393" s="8" t="inlineStr">
        <is>
          <t>0</t>
        </is>
      </c>
      <c r="J393" s="8" t="inlineStr">
        <is>
          <t>0</t>
        </is>
      </c>
      <c r="K393" s="9" t="inlineStr">
        <is>
          <t>0</t>
        </is>
      </c>
      <c r="L393" s="9" t="inlineStr">
        <is>
          <t>0</t>
        </is>
      </c>
      <c r="M393" s="9" t="inlineStr">
        <is>
          <t>0</t>
        </is>
      </c>
      <c r="N393" s="9" t="inlineStr">
        <is>
          <t>0</t>
        </is>
      </c>
      <c r="O393" s="10" t="inlineStr">
        <is>
          <t>0</t>
        </is>
      </c>
      <c r="P393" s="10" t="inlineStr">
        <is>
          <t>0</t>
        </is>
      </c>
      <c r="Q393" s="10" t="inlineStr">
        <is>
          <t>0</t>
        </is>
      </c>
      <c r="R393" s="10" t="inlineStr">
        <is>
          <t>0</t>
        </is>
      </c>
      <c r="S393" s="10" t="inlineStr">
        <is>
          <t>0</t>
        </is>
      </c>
    </row>
    <row r="394" ht="329" customHeight="1">
      <c r="A394" s="6">
        <f>IFERROR(__xludf.DUMMYFUNCTION("""COMPUTED_VALUE"""),"molarity")</f>
        <v/>
      </c>
      <c r="B394" s="6">
        <f>IFERROR(__xludf.DUMMYFUNCTION("""COMPUTED_VALUE"""),"Application")</f>
        <v/>
      </c>
      <c r="C394" s="6">
        <f>IFERROR(__xludf.DUMMYFUNCTION("""COMPUTED_VALUE"""),"Input Box")</f>
        <v/>
      </c>
      <c r="D394" s="7">
        <f>IFERROR(__xludf.DUMMYFUNCTION("""COMPUTED_VALUE"""),"No task description")</f>
        <v/>
      </c>
      <c r="E39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94" s="7" t="inlineStr">
        <is>
          <t>Students are given tasks with images and apps to observe and compare solutions, with some items having embedded artifacts like digital photos or note-taking apps.</t>
        </is>
      </c>
      <c r="G394" s="8" t="inlineStr">
        <is>
          <t>0</t>
        </is>
      </c>
      <c r="H394" s="8" t="inlineStr">
        <is>
          <t>1</t>
        </is>
      </c>
      <c r="I394" s="8" t="inlineStr">
        <is>
          <t>1</t>
        </is>
      </c>
      <c r="J394" s="8" t="inlineStr">
        <is>
          <t>1</t>
        </is>
      </c>
      <c r="K394" s="9" t="inlineStr">
        <is>
          <t>0</t>
        </is>
      </c>
      <c r="L394" s="9" t="inlineStr">
        <is>
          <t>1</t>
        </is>
      </c>
      <c r="M394" s="9" t="inlineStr">
        <is>
          <t>0</t>
        </is>
      </c>
      <c r="N394" s="9" t="inlineStr">
        <is>
          <t>1</t>
        </is>
      </c>
      <c r="O394" s="10" t="inlineStr">
        <is>
          <t>0</t>
        </is>
      </c>
      <c r="P394" s="10" t="inlineStr">
        <is>
          <t>0</t>
        </is>
      </c>
      <c r="Q394" s="10" t="inlineStr">
        <is>
          <t>0</t>
        </is>
      </c>
      <c r="R394" s="10" t="inlineStr">
        <is>
          <t>0</t>
        </is>
      </c>
      <c r="S394" s="10" t="inlineStr">
        <is>
          <t>1</t>
        </is>
      </c>
    </row>
    <row r="395" ht="121" customHeight="1">
      <c r="A395" s="6">
        <f>IFERROR(__xludf.DUMMYFUNCTION("""COMPUTED_VALUE"""),"molarity")</f>
        <v/>
      </c>
      <c r="B395" s="6">
        <f>IFERROR(__xludf.DUMMYFUNCTION("""COMPUTED_VALUE"""),"Resource")</f>
        <v/>
      </c>
      <c r="C395" s="6">
        <f>IFERROR(__xludf.DUMMYFUNCTION("""COMPUTED_VALUE"""),"Concentration of Solutions.mp4")</f>
        <v/>
      </c>
      <c r="D395" s="7">
        <f>IFERROR(__xludf.DUMMYFUNCTION("""COMPUTED_VALUE"""),"No task description")</f>
        <v/>
      </c>
      <c r="E395" s="7">
        <f>IFERROR(__xludf.DUMMYFUNCTION("""COMPUTED_VALUE"""),"video/mp4 – A video file containing moving images and possibly audio, suitable for playback on most modern devices and platforms.")</f>
        <v/>
      </c>
      <c r="F395" s="7" t="inlineStr">
        <is>
          <t>Students were given tasks with embedded artifacts, including images, note-taking apps, and videos.</t>
        </is>
      </c>
      <c r="G395" s="8" t="inlineStr">
        <is>
          <t>1</t>
        </is>
      </c>
      <c r="H395" s="8" t="inlineStr">
        <is>
          <t>0</t>
        </is>
      </c>
      <c r="I395" s="8" t="inlineStr">
        <is>
          <t>0</t>
        </is>
      </c>
      <c r="J395" s="8" t="inlineStr">
        <is>
          <t>0</t>
        </is>
      </c>
      <c r="K395" s="9" t="inlineStr">
        <is>
          <t>1</t>
        </is>
      </c>
      <c r="L395" s="9" t="inlineStr">
        <is>
          <t>0</t>
        </is>
      </c>
      <c r="M395" s="9" t="inlineStr">
        <is>
          <t>0</t>
        </is>
      </c>
      <c r="N395" s="9" t="inlineStr">
        <is>
          <t>0</t>
        </is>
      </c>
      <c r="O395" s="10" t="inlineStr">
        <is>
          <t>0</t>
        </is>
      </c>
      <c r="P395" s="10" t="inlineStr">
        <is>
          <t>0</t>
        </is>
      </c>
      <c r="Q395" s="10" t="inlineStr">
        <is>
          <t>0</t>
        </is>
      </c>
      <c r="R395" s="10" t="inlineStr">
        <is>
          <t>0</t>
        </is>
      </c>
      <c r="S395" s="10" t="inlineStr">
        <is>
          <t>0</t>
        </is>
      </c>
    </row>
    <row r="396" ht="25" customHeight="1">
      <c r="A396" s="6">
        <f>IFERROR(__xludf.DUMMYFUNCTION("""COMPUTED_VALUE"""),"molarity")</f>
        <v/>
      </c>
      <c r="B396" s="6">
        <f>IFERROR(__xludf.DUMMYFUNCTION("""COMPUTED_VALUE"""),"Resource")</f>
        <v/>
      </c>
      <c r="C396" s="6">
        <f>IFERROR(__xludf.DUMMYFUNCTION("""COMPUTED_VALUE"""),"proc 2.graasp")</f>
        <v/>
      </c>
      <c r="D396" s="7">
        <f>IFERROR(__xludf.DUMMYFUNCTION("""COMPUTED_VALUE"""),"No task description")</f>
        <v/>
      </c>
      <c r="E396" s="7">
        <f>IFERROR(__xludf.DUMMYFUNCTION("""COMPUTED_VALUE"""),"No artifact embedded")</f>
        <v/>
      </c>
      <c r="F396" s="7" t="inlineStr">
        <is>
          <t>No instructions provided; artifacts include a note-taking app, a video file, and no artifact in the third item.</t>
        </is>
      </c>
      <c r="G396" s="8" t="inlineStr">
        <is>
          <t>0</t>
        </is>
      </c>
      <c r="H396" s="8" t="inlineStr">
        <is>
          <t>0</t>
        </is>
      </c>
      <c r="I396" s="8" t="inlineStr">
        <is>
          <t>0</t>
        </is>
      </c>
      <c r="J396" s="8" t="inlineStr">
        <is>
          <t>0</t>
        </is>
      </c>
      <c r="K396" s="9" t="inlineStr">
        <is>
          <t>0</t>
        </is>
      </c>
      <c r="L396" s="9" t="inlineStr">
        <is>
          <t>0</t>
        </is>
      </c>
      <c r="M396" s="9" t="inlineStr">
        <is>
          <t>0</t>
        </is>
      </c>
      <c r="N396" s="9" t="inlineStr">
        <is>
          <t>0</t>
        </is>
      </c>
      <c r="O396" s="10" t="inlineStr">
        <is>
          <t>0</t>
        </is>
      </c>
      <c r="P396" s="10" t="inlineStr">
        <is>
          <t>0</t>
        </is>
      </c>
      <c r="Q396" s="10" t="inlineStr">
        <is>
          <t>0</t>
        </is>
      </c>
      <c r="R396" s="10" t="inlineStr">
        <is>
          <t>0</t>
        </is>
      </c>
      <c r="S396" s="10" t="inlineStr">
        <is>
          <t>0</t>
        </is>
      </c>
    </row>
    <row r="397" ht="25" customHeight="1">
      <c r="A397" s="6">
        <f>IFERROR(__xludf.DUMMYFUNCTION("""COMPUTED_VALUE"""),"molarity")</f>
        <v/>
      </c>
      <c r="B397" s="6">
        <f>IFERROR(__xludf.DUMMYFUNCTION("""COMPUTED_VALUE"""),"Space")</f>
        <v/>
      </c>
      <c r="C397" s="6">
        <f>IFERROR(__xludf.DUMMYFUNCTION("""COMPUTED_VALUE"""),"Explore")</f>
        <v/>
      </c>
      <c r="D397" s="7">
        <f>IFERROR(__xludf.DUMMYFUNCTION("""COMPUTED_VALUE"""),"No task description")</f>
        <v/>
      </c>
      <c r="E397" s="7">
        <f>IFERROR(__xludf.DUMMYFUNCTION("""COMPUTED_VALUE"""),"No artifact embedded")</f>
        <v/>
      </c>
      <c r="F397" s="7" t="inlineStr">
        <is>
          <t>No task descriptions provided; only Item1 has an embedded video/mp4 artifact.</t>
        </is>
      </c>
      <c r="G397" s="8" t="inlineStr">
        <is>
          <t>0</t>
        </is>
      </c>
      <c r="H397" s="8" t="inlineStr">
        <is>
          <t>0</t>
        </is>
      </c>
      <c r="I397" s="8" t="inlineStr">
        <is>
          <t>0</t>
        </is>
      </c>
      <c r="J397" s="8" t="inlineStr">
        <is>
          <t>0</t>
        </is>
      </c>
      <c r="K397" s="9" t="inlineStr">
        <is>
          <t>0</t>
        </is>
      </c>
      <c r="L397" s="9" t="inlineStr">
        <is>
          <t>0</t>
        </is>
      </c>
      <c r="M397" s="9" t="inlineStr">
        <is>
          <t>0</t>
        </is>
      </c>
      <c r="N397" s="9" t="inlineStr">
        <is>
          <t>0</t>
        </is>
      </c>
      <c r="O397" s="10" t="inlineStr">
        <is>
          <t>0</t>
        </is>
      </c>
      <c r="P397" s="10" t="inlineStr">
        <is>
          <t>0</t>
        </is>
      </c>
      <c r="Q397" s="10" t="inlineStr">
        <is>
          <t>0</t>
        </is>
      </c>
      <c r="R397" s="10" t="inlineStr">
        <is>
          <t>0</t>
        </is>
      </c>
      <c r="S397" s="10" t="inlineStr">
        <is>
          <t>0</t>
        </is>
      </c>
    </row>
    <row r="398" ht="25" customHeight="1">
      <c r="A398" s="6">
        <f>IFERROR(__xludf.DUMMYFUNCTION("""COMPUTED_VALUE"""),"molarity")</f>
        <v/>
      </c>
      <c r="B398" s="6">
        <f>IFERROR(__xludf.DUMMYFUNCTION("""COMPUTED_VALUE"""),"Resource")</f>
        <v/>
      </c>
      <c r="C398" s="6">
        <f>IFERROR(__xludf.DUMMYFUNCTION("""COMPUTED_VALUE"""),"procedure.graasp")</f>
        <v/>
      </c>
      <c r="D398" s="7">
        <f>IFERROR(__xludf.DUMMYFUNCTION("""COMPUTED_VALUE"""),"No task description")</f>
        <v/>
      </c>
      <c r="E398" s="7">
        <f>IFERROR(__xludf.DUMMYFUNCTION("""COMPUTED_VALUE"""),"No artifact embedded")</f>
        <v/>
      </c>
      <c r="F398" s="7" t="inlineStr">
        <is>
          <t>No instructions or artifacts are provided for Items 1, 2, and 3.</t>
        </is>
      </c>
      <c r="G398" s="8" t="inlineStr">
        <is>
          <t>0</t>
        </is>
      </c>
      <c r="H398" s="8" t="inlineStr">
        <is>
          <t>0</t>
        </is>
      </c>
      <c r="I398" s="8" t="inlineStr">
        <is>
          <t>0</t>
        </is>
      </c>
      <c r="J398" s="8" t="inlineStr">
        <is>
          <t>0</t>
        </is>
      </c>
      <c r="K398" s="9" t="inlineStr">
        <is>
          <t>0</t>
        </is>
      </c>
      <c r="L398" s="9" t="inlineStr">
        <is>
          <t>0</t>
        </is>
      </c>
      <c r="M398" s="9" t="inlineStr">
        <is>
          <t>0</t>
        </is>
      </c>
      <c r="N398" s="9" t="inlineStr">
        <is>
          <t>0</t>
        </is>
      </c>
      <c r="O398" s="10" t="inlineStr">
        <is>
          <t>0</t>
        </is>
      </c>
      <c r="P398" s="10" t="inlineStr">
        <is>
          <t>0</t>
        </is>
      </c>
      <c r="Q398" s="10" t="inlineStr">
        <is>
          <t>0</t>
        </is>
      </c>
      <c r="R398" s="10" t="inlineStr">
        <is>
          <t>0</t>
        </is>
      </c>
      <c r="S398" s="10" t="inlineStr">
        <is>
          <t>0</t>
        </is>
      </c>
    </row>
    <row r="399" ht="241" customHeight="1">
      <c r="A399" s="6">
        <f>IFERROR(__xludf.DUMMYFUNCTION("""COMPUTED_VALUE"""),"molarity")</f>
        <v/>
      </c>
      <c r="B399" s="6">
        <f>IFERROR(__xludf.DUMMYFUNCTION("""COMPUTED_VALUE"""),"Application")</f>
        <v/>
      </c>
      <c r="C399" s="6">
        <f>IFERROR(__xludf.DUMMYFUNCTION("""COMPUTED_VALUE"""),"Molarity app")</f>
        <v/>
      </c>
      <c r="D399" s="7">
        <f>IFERROR(__xludf.DUMMYFUNCTION("""COMPUTED_VALUE"""),"No task description")</f>
        <v/>
      </c>
      <c r="E399" s="7">
        <f>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
      </c>
      <c r="F399" s="7" t="inlineStr">
        <is>
          <t>No task descriptions provided, but Item3 has an embedded Golabz app/lab artifact about solution concentration.</t>
        </is>
      </c>
      <c r="G399" s="8" t="inlineStr">
        <is>
          <t>0</t>
        </is>
      </c>
      <c r="H399" s="8" t="inlineStr">
        <is>
          <t>1</t>
        </is>
      </c>
      <c r="I399" s="8" t="inlineStr">
        <is>
          <t>1</t>
        </is>
      </c>
      <c r="J399" s="8" t="inlineStr">
        <is>
          <t>1</t>
        </is>
      </c>
      <c r="K399" s="9" t="inlineStr">
        <is>
          <t>1</t>
        </is>
      </c>
      <c r="L399" s="9" t="inlineStr">
        <is>
          <t>1</t>
        </is>
      </c>
      <c r="M399" s="9" t="inlineStr">
        <is>
          <t>0</t>
        </is>
      </c>
      <c r="N399" s="9" t="inlineStr">
        <is>
          <t>0</t>
        </is>
      </c>
      <c r="O399" s="10" t="inlineStr">
        <is>
          <t>1</t>
        </is>
      </c>
      <c r="P399" s="10" t="inlineStr">
        <is>
          <t>1</t>
        </is>
      </c>
      <c r="Q399" s="10" t="inlineStr">
        <is>
          <t>1</t>
        </is>
      </c>
      <c r="R399" s="10" t="inlineStr">
        <is>
          <t>0</t>
        </is>
      </c>
      <c r="S399" s="10" t="inlineStr">
        <is>
          <t>0</t>
        </is>
      </c>
    </row>
    <row r="400" ht="409.5" customHeight="1">
      <c r="A400" s="6">
        <f>IFERROR(__xludf.DUMMYFUNCTION("""COMPUTED_VALUE"""),"molarity")</f>
        <v/>
      </c>
      <c r="B400" s="6">
        <f>IFERROR(__xludf.DUMMYFUNCTION("""COMPUTED_VALUE"""),"Application")</f>
        <v/>
      </c>
      <c r="C400" s="6">
        <f>IFERROR(__xludf.DUMMYFUNCTION("""COMPUTED_VALUE"""),"Table Tool")</f>
        <v/>
      </c>
      <c r="D400" s="7">
        <f>IFERROR(__xludf.DUMMYFUNCTION("""COMPUTED_VALUE"""),"No task description")</f>
        <v/>
      </c>
      <c r="E400"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00" s="7" t="inlineStr">
        <is>
          <t>No task descriptions; Golabz apps/labs embedded with interactive science and data tools.</t>
        </is>
      </c>
      <c r="G400" s="8" t="inlineStr">
        <is>
          <t>0</t>
        </is>
      </c>
      <c r="H400" s="8" t="inlineStr">
        <is>
          <t>1</t>
        </is>
      </c>
      <c r="I400" s="8" t="inlineStr">
        <is>
          <t>1</t>
        </is>
      </c>
      <c r="J400" s="8" t="inlineStr">
        <is>
          <t>0</t>
        </is>
      </c>
      <c r="K400" s="9" t="inlineStr">
        <is>
          <t>0</t>
        </is>
      </c>
      <c r="L400" s="9" t="inlineStr">
        <is>
          <t>1</t>
        </is>
      </c>
      <c r="M400" s="9" t="inlineStr">
        <is>
          <t>1</t>
        </is>
      </c>
      <c r="N400" s="9" t="inlineStr">
        <is>
          <t>1</t>
        </is>
      </c>
      <c r="O400" s="10" t="inlineStr">
        <is>
          <t>0</t>
        </is>
      </c>
      <c r="P400" s="10" t="inlineStr">
        <is>
          <t>0</t>
        </is>
      </c>
      <c r="Q400" s="10" t="inlineStr">
        <is>
          <t>1</t>
        </is>
      </c>
      <c r="R400" s="10" t="inlineStr">
        <is>
          <t>0</t>
        </is>
      </c>
      <c r="S400" s="10" t="inlineStr">
        <is>
          <t>1</t>
        </is>
      </c>
    </row>
    <row r="401" ht="25" customHeight="1">
      <c r="A401" s="6">
        <f>IFERROR(__xludf.DUMMYFUNCTION("""COMPUTED_VALUE"""),"molarity")</f>
        <v/>
      </c>
      <c r="B401" s="6">
        <f>IFERROR(__xludf.DUMMYFUNCTION("""COMPUTED_VALUE"""),"Space")</f>
        <v/>
      </c>
      <c r="C401" s="6">
        <f>IFERROR(__xludf.DUMMYFUNCTION("""COMPUTED_VALUE"""),"Explain")</f>
        <v/>
      </c>
      <c r="D401" s="7">
        <f>IFERROR(__xludf.DUMMYFUNCTION("""COMPUTED_VALUE"""),"No task description")</f>
        <v/>
      </c>
      <c r="E401" s="7">
        <f>IFERROR(__xludf.DUMMYFUNCTION("""COMPUTED_VALUE"""),"No artifact embedded")</f>
        <v/>
      </c>
      <c r="F401" s="7" t="inlineStr">
        <is>
          <t>No task descriptions provided; artifacts include Golabz apps for learning about solution concentration and using tables for data entry.</t>
        </is>
      </c>
      <c r="G401" s="8" t="inlineStr">
        <is>
          <t>0</t>
        </is>
      </c>
      <c r="H401" s="8" t="inlineStr">
        <is>
          <t>0</t>
        </is>
      </c>
      <c r="I401" s="8" t="inlineStr">
        <is>
          <t>0</t>
        </is>
      </c>
      <c r="J401" s="8" t="inlineStr">
        <is>
          <t>0</t>
        </is>
      </c>
      <c r="K401" s="9" t="inlineStr">
        <is>
          <t>0</t>
        </is>
      </c>
      <c r="L401" s="9" t="inlineStr">
        <is>
          <t>0</t>
        </is>
      </c>
      <c r="M401" s="9" t="inlineStr">
        <is>
          <t>0</t>
        </is>
      </c>
      <c r="N401" s="9" t="inlineStr">
        <is>
          <t>0</t>
        </is>
      </c>
      <c r="O401" s="10" t="inlineStr">
        <is>
          <t>0</t>
        </is>
      </c>
      <c r="P401" s="10" t="inlineStr">
        <is>
          <t>0</t>
        </is>
      </c>
      <c r="Q401" s="10" t="inlineStr">
        <is>
          <t>0</t>
        </is>
      </c>
      <c r="R401" s="10" t="inlineStr">
        <is>
          <t>0</t>
        </is>
      </c>
      <c r="S401" s="10" t="inlineStr">
        <is>
          <t>0</t>
        </is>
      </c>
    </row>
    <row r="402" ht="25" customHeight="1">
      <c r="A402" s="6">
        <f>IFERROR(__xludf.DUMMYFUNCTION("""COMPUTED_VALUE"""),"molarity")</f>
        <v/>
      </c>
      <c r="B402" s="6">
        <f>IFERROR(__xludf.DUMMYFUNCTION("""COMPUTED_VALUE"""),"Space")</f>
        <v/>
      </c>
      <c r="C402" s="6">
        <f>IFERROR(__xludf.DUMMYFUNCTION("""COMPUTED_VALUE"""),"Elaborate")</f>
        <v/>
      </c>
      <c r="D402" s="7">
        <f>IFERROR(__xludf.DUMMYFUNCTION("""COMPUTED_VALUE"""),"No task description")</f>
        <v/>
      </c>
      <c r="E402" s="7">
        <f>IFERROR(__xludf.DUMMYFUNCTION("""COMPUTED_VALUE"""),"No artifact embedded")</f>
        <v/>
      </c>
      <c r="F402" s="7" t="inlineStr">
        <is>
          <t>No task descriptions. Embedded artifacts include Golabz app/lab instructions for using the table tool and collaboration mode.</t>
        </is>
      </c>
      <c r="G402" s="8" t="inlineStr">
        <is>
          <t>0</t>
        </is>
      </c>
      <c r="H402" s="8" t="inlineStr">
        <is>
          <t>0</t>
        </is>
      </c>
      <c r="I402" s="8" t="inlineStr">
        <is>
          <t>0</t>
        </is>
      </c>
      <c r="J402" s="8" t="inlineStr">
        <is>
          <t>0</t>
        </is>
      </c>
      <c r="K402" s="9" t="inlineStr">
        <is>
          <t>0</t>
        </is>
      </c>
      <c r="L402" s="9" t="inlineStr">
        <is>
          <t>0</t>
        </is>
      </c>
      <c r="M402" s="9" t="inlineStr">
        <is>
          <t>0</t>
        </is>
      </c>
      <c r="N402" s="9" t="inlineStr">
        <is>
          <t>0</t>
        </is>
      </c>
      <c r="O402" s="10" t="inlineStr">
        <is>
          <t>0</t>
        </is>
      </c>
      <c r="P402" s="10" t="inlineStr">
        <is>
          <t>0</t>
        </is>
      </c>
      <c r="Q402" s="10" t="inlineStr">
        <is>
          <t>0</t>
        </is>
      </c>
      <c r="R402" s="10" t="inlineStr">
        <is>
          <t>0</t>
        </is>
      </c>
      <c r="S402" s="10" t="inlineStr">
        <is>
          <t>0</t>
        </is>
      </c>
    </row>
    <row r="403" ht="109" customHeight="1">
      <c r="A403" s="6">
        <f>IFERROR(__xludf.DUMMYFUNCTION("""COMPUTED_VALUE"""),"molarity")</f>
        <v/>
      </c>
      <c r="B403" s="6">
        <f>IFERROR(__xludf.DUMMYFUNCTION("""COMPUTED_VALUE"""),"Resource")</f>
        <v/>
      </c>
      <c r="C403" s="6">
        <f>IFERROR(__xludf.DUMMYFUNCTION("""COMPUTED_VALUE"""),"instr 1.graasp")</f>
        <v/>
      </c>
      <c r="D403" s="7">
        <f>IFERROR(__xludf.DUMMYFUNCTION("""COMPUTED_VALUE"""),"&lt;ul&gt;&lt;li&gt;Concentrated refers to chemical solutions that have high concentrations of a large amount of solute in the solution&lt;/li&gt;&lt;/ul&gt;")</f>
        <v/>
      </c>
      <c r="E403" s="7">
        <f>IFERROR(__xludf.DUMMYFUNCTION("""COMPUTED_VALUE"""),"No artifact embedded")</f>
        <v/>
      </c>
      <c r="F403" s="7" t="inlineStr">
        <is>
          <t>No instructions or artifacts provided for Items 1 and 2. Item 3 describes concentrated chemical solutions.</t>
        </is>
      </c>
      <c r="G403" s="8" t="inlineStr">
        <is>
          <t>1</t>
        </is>
      </c>
      <c r="H403" s="8" t="inlineStr">
        <is>
          <t>0</t>
        </is>
      </c>
      <c r="I403" s="8" t="inlineStr">
        <is>
          <t>0</t>
        </is>
      </c>
      <c r="J403" s="8" t="inlineStr">
        <is>
          <t>0</t>
        </is>
      </c>
      <c r="K403" s="9" t="inlineStr">
        <is>
          <t>1</t>
        </is>
      </c>
      <c r="L403" s="9" t="inlineStr">
        <is>
          <t>0</t>
        </is>
      </c>
      <c r="M403" s="9" t="inlineStr">
        <is>
          <t>0</t>
        </is>
      </c>
      <c r="N403" s="9" t="inlineStr">
        <is>
          <t>0</t>
        </is>
      </c>
      <c r="O403" s="10" t="inlineStr">
        <is>
          <t>0</t>
        </is>
      </c>
      <c r="P403" s="10" t="inlineStr">
        <is>
          <t>0</t>
        </is>
      </c>
      <c r="Q403" s="10" t="inlineStr">
        <is>
          <t>0</t>
        </is>
      </c>
      <c r="R403" s="10" t="inlineStr">
        <is>
          <t>0</t>
        </is>
      </c>
      <c r="S403" s="10" t="inlineStr">
        <is>
          <t>0</t>
        </is>
      </c>
    </row>
    <row r="404" ht="109" customHeight="1">
      <c r="A404" s="6">
        <f>IFERROR(__xludf.DUMMYFUNCTION("""COMPUTED_VALUE"""),"molarity")</f>
        <v/>
      </c>
      <c r="B404" s="6">
        <f>IFERROR(__xludf.DUMMYFUNCTION("""COMPUTED_VALUE"""),"Resource")</f>
        <v/>
      </c>
      <c r="C404" s="6">
        <f>IFERROR(__xludf.DUMMYFUNCTION("""COMPUTED_VALUE"""),"dilute solutions.graasp")</f>
        <v/>
      </c>
      <c r="D404" s="7">
        <f>IFERROR(__xludf.DUMMYFUNCTION("""COMPUTED_VALUE"""),"&lt;em&gt;&lt;/em&gt;&lt;strong&gt;&lt;/strong&gt;Dilute solutions contains a small amount of solvent compared with the amount of solvent")</f>
        <v/>
      </c>
      <c r="E404" s="7">
        <f>IFERROR(__xludf.DUMMYFUNCTION("""COMPUTED_VALUE"""),"No artifact embedded")</f>
        <v/>
      </c>
      <c r="F404" s="7" t="inlineStr">
        <is>
          <t>Students received task descriptions on concentrated and dilute solutions, but no artifacts were embedded.</t>
        </is>
      </c>
      <c r="G404" s="8" t="inlineStr">
        <is>
          <t>1</t>
        </is>
      </c>
      <c r="H404" s="8" t="inlineStr">
        <is>
          <t>0</t>
        </is>
      </c>
      <c r="I404" s="8" t="inlineStr">
        <is>
          <t>0</t>
        </is>
      </c>
      <c r="J404" s="8" t="inlineStr">
        <is>
          <t>0</t>
        </is>
      </c>
      <c r="K404" s="9" t="inlineStr">
        <is>
          <t>1</t>
        </is>
      </c>
      <c r="L404" s="9" t="inlineStr">
        <is>
          <t>0</t>
        </is>
      </c>
      <c r="M404" s="9" t="inlineStr">
        <is>
          <t>0</t>
        </is>
      </c>
      <c r="N404" s="9" t="inlineStr">
        <is>
          <t>0</t>
        </is>
      </c>
      <c r="O404" s="10" t="inlineStr">
        <is>
          <t>0</t>
        </is>
      </c>
      <c r="P404" s="10" t="inlineStr">
        <is>
          <t>0</t>
        </is>
      </c>
      <c r="Q404" s="10" t="inlineStr">
        <is>
          <t>0</t>
        </is>
      </c>
      <c r="R404" s="10" t="inlineStr">
        <is>
          <t>0</t>
        </is>
      </c>
      <c r="S404" s="10" t="inlineStr">
        <is>
          <t>0</t>
        </is>
      </c>
    </row>
    <row r="405" ht="25" customHeight="1">
      <c r="A405" s="6">
        <f>IFERROR(__xludf.DUMMYFUNCTION("""COMPUTED_VALUE"""),"molarity")</f>
        <v/>
      </c>
      <c r="B405" s="6">
        <f>IFERROR(__xludf.DUMMYFUNCTION("""COMPUTED_VALUE"""),"Space")</f>
        <v/>
      </c>
      <c r="C405" s="6">
        <f>IFERROR(__xludf.DUMMYFUNCTION("""COMPUTED_VALUE"""),"Evaluate")</f>
        <v/>
      </c>
      <c r="D405" s="7">
        <f>IFERROR(__xludf.DUMMYFUNCTION("""COMPUTED_VALUE"""),"No task description")</f>
        <v/>
      </c>
      <c r="E405" s="7">
        <f>IFERROR(__xludf.DUMMYFUNCTION("""COMPUTED_VALUE"""),"No artifact embedded")</f>
        <v/>
      </c>
      <c r="F405" s="7" t="inlineStr">
        <is>
          <t>Students are given tasks about chemical solutions. Items 1 and 2 provide descriptions, while Item 3 has none. No artifacts are embedded in any items.</t>
        </is>
      </c>
      <c r="G405" s="8" t="inlineStr">
        <is>
          <t>0</t>
        </is>
      </c>
      <c r="H405" s="8" t="inlineStr">
        <is>
          <t>0</t>
        </is>
      </c>
      <c r="I405" s="8" t="inlineStr">
        <is>
          <t>0</t>
        </is>
      </c>
      <c r="J405" s="8" t="inlineStr">
        <is>
          <t>0</t>
        </is>
      </c>
      <c r="K405" s="9" t="inlineStr">
        <is>
          <t>0</t>
        </is>
      </c>
      <c r="L405" s="9" t="inlineStr">
        <is>
          <t>0</t>
        </is>
      </c>
      <c r="M405" s="9" t="inlineStr">
        <is>
          <t>0</t>
        </is>
      </c>
      <c r="N405" s="9" t="inlineStr">
        <is>
          <t>0</t>
        </is>
      </c>
      <c r="O405" s="10" t="inlineStr">
        <is>
          <t>0</t>
        </is>
      </c>
      <c r="P405" s="10" t="inlineStr">
        <is>
          <t>0</t>
        </is>
      </c>
      <c r="Q405" s="10" t="inlineStr">
        <is>
          <t>0</t>
        </is>
      </c>
      <c r="R405" s="10" t="inlineStr">
        <is>
          <t>0</t>
        </is>
      </c>
      <c r="S405" s="10" t="inlineStr">
        <is>
          <t>0</t>
        </is>
      </c>
    </row>
    <row r="406" ht="157" customHeight="1">
      <c r="A406" s="6">
        <f>IFERROR(__xludf.DUMMYFUNCTION("""COMPUTED_VALUE"""),"molarity")</f>
        <v/>
      </c>
      <c r="B406" s="6">
        <f>IFERROR(__xludf.DUMMYFUNCTION("""COMPUTED_VALUE"""),"Application")</f>
        <v/>
      </c>
      <c r="C406" s="6">
        <f>IFERROR(__xludf.DUMMYFUNCTION("""COMPUTED_VALUE"""),"File Drop")</f>
        <v/>
      </c>
      <c r="D406" s="7">
        <f>IFERROR(__xludf.DUMMYFUNCTION("""COMPUTED_VALUE"""),"&lt;p&gt;click here to upload file to answer the following question.what is the differences between molarity and concentration &lt;/p&gt;")</f>
        <v/>
      </c>
      <c r="E406" s="7">
        <f>IFERROR(__xludf.DUMMYFUNCTION("""COMPUTED_VALUE"""),"Golabz app/lab: ""&lt;p&gt;This app allows students to upload files, e.g., assignment and reports, to the Inquiry learning Space. The app also allows teachers to download the uploaded files.&lt;/p&gt;\r\n""")</f>
        <v/>
      </c>
      <c r="F406" s="7" t="inlineStr">
        <is>
          <t>Students were given tasks with varying instructions and no embedded artifacts, except for Item3 which used Golabz app for file uploads.</t>
        </is>
      </c>
      <c r="G406" s="8" t="inlineStr">
        <is>
          <t>0</t>
        </is>
      </c>
      <c r="H406" s="8" t="inlineStr">
        <is>
          <t>1</t>
        </is>
      </c>
      <c r="I406" s="8" t="inlineStr">
        <is>
          <t>1</t>
        </is>
      </c>
      <c r="J406" s="8" t="inlineStr">
        <is>
          <t>1</t>
        </is>
      </c>
      <c r="K406" s="9" t="inlineStr">
        <is>
          <t>0</t>
        </is>
      </c>
      <c r="L406" s="9" t="inlineStr">
        <is>
          <t>1</t>
        </is>
      </c>
      <c r="M406" s="9" t="inlineStr">
        <is>
          <t>0</t>
        </is>
      </c>
      <c r="N406" s="9" t="inlineStr">
        <is>
          <t>0</t>
        </is>
      </c>
      <c r="O406" s="10" t="inlineStr">
        <is>
          <t>1</t>
        </is>
      </c>
      <c r="P406" s="10" t="inlineStr">
        <is>
          <t>1</t>
        </is>
      </c>
      <c r="Q406" s="10" t="inlineStr">
        <is>
          <t>0</t>
        </is>
      </c>
      <c r="R406" s="10" t="inlineStr">
        <is>
          <t>0</t>
        </is>
      </c>
      <c r="S406" s="10" t="inlineStr">
        <is>
          <t>0</t>
        </is>
      </c>
    </row>
    <row r="407" ht="296" customHeight="1">
      <c r="A407" s="6">
        <f>IFERROR(__xludf.DUMMYFUNCTION("""COMPUTED_VALUE"""),"molarity")</f>
        <v/>
      </c>
      <c r="B407" s="6">
        <f>IFERROR(__xludf.DUMMYFUNCTION("""COMPUTED_VALUE"""),"Application")</f>
        <v/>
      </c>
      <c r="C407" s="6">
        <f>IFERROR(__xludf.DUMMYFUNCTION("""COMPUTED_VALUE"""),"Quiz Tool")</f>
        <v/>
      </c>
      <c r="D407" s="7">
        <f>IFERROR(__xludf.DUMMYFUNCTION("""COMPUTED_VALUE"""),"No task description")</f>
        <v/>
      </c>
      <c r="E4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07" s="7" t="inlineStr">
        <is>
          <t>Students were instructed to upload a file answering the question about molarity and concentration differences. Embedded artifacts include Golabz apps for file uploads and quizzes with interactive question editing.</t>
        </is>
      </c>
      <c r="G407" s="8" t="inlineStr">
        <is>
          <t>0</t>
        </is>
      </c>
      <c r="H407" s="8" t="inlineStr">
        <is>
          <t>1</t>
        </is>
      </c>
      <c r="I407" s="8" t="inlineStr">
        <is>
          <t>1</t>
        </is>
      </c>
      <c r="J407" s="8" t="inlineStr">
        <is>
          <t>1</t>
        </is>
      </c>
      <c r="K407" s="9" t="inlineStr">
        <is>
          <t>1</t>
        </is>
      </c>
      <c r="L407" s="9" t="inlineStr">
        <is>
          <t>1</t>
        </is>
      </c>
      <c r="M407" s="9" t="inlineStr">
        <is>
          <t>0</t>
        </is>
      </c>
      <c r="N407" s="9" t="inlineStr">
        <is>
          <t>0</t>
        </is>
      </c>
      <c r="O407" s="10" t="inlineStr">
        <is>
          <t>0</t>
        </is>
      </c>
      <c r="P407" s="10" t="inlineStr">
        <is>
          <t>0</t>
        </is>
      </c>
      <c r="Q407" s="10" t="inlineStr">
        <is>
          <t>0</t>
        </is>
      </c>
      <c r="R407" s="10" t="inlineStr">
        <is>
          <t>0</t>
        </is>
      </c>
      <c r="S407" s="10" t="inlineStr">
        <is>
          <t>1</t>
        </is>
      </c>
    </row>
    <row r="408" ht="61" customHeight="1">
      <c r="A408" s="6">
        <f>IFERROR(__xludf.DUMMYFUNCTION("""COMPUTED_VALUE"""),"Transcription and translation of DNA")</f>
        <v/>
      </c>
      <c r="B408" s="6">
        <f>IFERROR(__xludf.DUMMYFUNCTION("""COMPUTED_VALUE"""),"Space")</f>
        <v/>
      </c>
      <c r="C408" s="6">
        <f>IFERROR(__xludf.DUMMYFUNCTION("""COMPUTED_VALUE"""),"Do you look like your parents?")</f>
        <v/>
      </c>
      <c r="D408" s="7">
        <f>IFERROR(__xludf.DUMMYFUNCTION("""COMPUTED_VALUE"""),"&lt;p&gt;Welcome to the first phase of the course, the Orientation phase.&lt;/p&gt;")</f>
        <v/>
      </c>
      <c r="E408" s="7">
        <f>IFERROR(__xludf.DUMMYFUNCTION("""COMPUTED_VALUE"""),"No artifact embedded")</f>
        <v/>
      </c>
      <c r="F408" s="7" t="inlineStr">
        <is>
          <t>Students are instructed to upload files and answer questions. Embedded artifacts include Golabz app for file uploads and quizzes with interactive question editing.</t>
        </is>
      </c>
      <c r="G408" s="8" t="inlineStr">
        <is>
          <t>1</t>
        </is>
      </c>
      <c r="H408" s="8" t="inlineStr">
        <is>
          <t>0</t>
        </is>
      </c>
      <c r="I408" s="8" t="inlineStr">
        <is>
          <t>0</t>
        </is>
      </c>
      <c r="J408" s="8" t="inlineStr">
        <is>
          <t>0</t>
        </is>
      </c>
      <c r="K408" s="9" t="inlineStr">
        <is>
          <t>1</t>
        </is>
      </c>
      <c r="L408" s="9" t="inlineStr">
        <is>
          <t>0</t>
        </is>
      </c>
      <c r="M408" s="9" t="inlineStr">
        <is>
          <t>0</t>
        </is>
      </c>
      <c r="N408" s="9" t="inlineStr">
        <is>
          <t>0</t>
        </is>
      </c>
      <c r="O408" s="10" t="inlineStr">
        <is>
          <t>0</t>
        </is>
      </c>
      <c r="P408" s="10" t="inlineStr">
        <is>
          <t>0</t>
        </is>
      </c>
      <c r="Q408" s="10" t="inlineStr">
        <is>
          <t>0</t>
        </is>
      </c>
      <c r="R408" s="10" t="inlineStr">
        <is>
          <t>0</t>
        </is>
      </c>
      <c r="S408" s="10" t="inlineStr">
        <is>
          <t>0</t>
        </is>
      </c>
    </row>
    <row r="409" ht="351" customHeight="1">
      <c r="A409" s="6">
        <f>IFERROR(__xludf.DUMMYFUNCTION("""COMPUTED_VALUE"""),"Transcription and translation of DNA")</f>
        <v/>
      </c>
      <c r="B409" s="6">
        <f>IFERROR(__xludf.DUMMYFUNCTION("""COMPUTED_VALUE"""),"Resource")</f>
        <v/>
      </c>
      <c r="C409" s="6">
        <f>IFERROR(__xludf.DUMMYFUNCTION("""COMPUTED_VALUE"""),"Orientation.graasp")</f>
        <v/>
      </c>
      <c r="D409" s="7">
        <f>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
      </c>
      <c r="E409" s="7">
        <f>IFERROR(__xludf.DUMMYFUNCTION("""COMPUTED_VALUE"""),"No artifact embedded")</f>
        <v/>
      </c>
      <c r="F409" s="7" t="inlineStr">
        <is>
          <t>Students received task descriptions and interacted with artifacts, including a quiz app and videos, to complete assignments.</t>
        </is>
      </c>
      <c r="G409" s="8" t="inlineStr">
        <is>
          <t>0</t>
        </is>
      </c>
      <c r="H409" s="8" t="inlineStr">
        <is>
          <t>0</t>
        </is>
      </c>
      <c r="I409" s="8" t="inlineStr">
        <is>
          <t>1</t>
        </is>
      </c>
      <c r="J409" s="8" t="inlineStr">
        <is>
          <t>1</t>
        </is>
      </c>
      <c r="K409" s="9" t="inlineStr">
        <is>
          <t>0</t>
        </is>
      </c>
      <c r="L409" s="9" t="inlineStr">
        <is>
          <t>0</t>
        </is>
      </c>
      <c r="M409" s="9" t="inlineStr">
        <is>
          <t>0</t>
        </is>
      </c>
      <c r="N409" s="9" t="inlineStr">
        <is>
          <t>1</t>
        </is>
      </c>
      <c r="O409" s="10" t="inlineStr">
        <is>
          <t>1</t>
        </is>
      </c>
      <c r="P409" s="10" t="inlineStr">
        <is>
          <t>1</t>
        </is>
      </c>
      <c r="Q409" s="10" t="inlineStr">
        <is>
          <t>0</t>
        </is>
      </c>
      <c r="R409" s="10" t="inlineStr">
        <is>
          <t>0</t>
        </is>
      </c>
      <c r="S409" s="10" t="inlineStr">
        <is>
          <t>1</t>
        </is>
      </c>
    </row>
    <row r="410" ht="121" customHeight="1">
      <c r="A410" s="6">
        <f>IFERROR(__xludf.DUMMYFUNCTION("""COMPUTED_VALUE"""),"Transcription and translation of DNA")</f>
        <v/>
      </c>
      <c r="B410" s="6">
        <f>IFERROR(__xludf.DUMMYFUNCTION("""COMPUTED_VALUE"""),"Resource")</f>
        <v/>
      </c>
      <c r="C410" s="6">
        <f>IFERROR(__xludf.DUMMYFUNCTION("""COMPUTED_VALUE"""),"What is DNA and How Does it Work?")</f>
        <v/>
      </c>
      <c r="D410" s="7">
        <f>IFERROR(__xludf.DUMMYFUNCTION("""COMPUTED_VALUE"""),"No task description")</f>
        <v/>
      </c>
      <c r="E410" s="7">
        <f>IFERROR(__xludf.DUMMYFUNCTION("""COMPUTED_VALUE"""),"youtube.com: A widely known video-sharing platform where users can watch videos on a vast array of topics, including educational content.")</f>
        <v/>
      </c>
      <c r="F410" s="7" t="inlineStr">
        <is>
          <t>Students are given orientation and genetics tasks with no embedded artifacts, except for a YouTube link in Item 3.</t>
        </is>
      </c>
      <c r="G410" s="8" t="inlineStr">
        <is>
          <t>1</t>
        </is>
      </c>
      <c r="H410" s="8" t="inlineStr">
        <is>
          <t>0</t>
        </is>
      </c>
      <c r="I410" s="8" t="inlineStr">
        <is>
          <t>0</t>
        </is>
      </c>
      <c r="J410" s="8" t="inlineStr">
        <is>
          <t>0</t>
        </is>
      </c>
      <c r="K410" s="9" t="inlineStr">
        <is>
          <t>1</t>
        </is>
      </c>
      <c r="L410" s="9" t="inlineStr">
        <is>
          <t>0</t>
        </is>
      </c>
      <c r="M410" s="9" t="inlineStr">
        <is>
          <t>0</t>
        </is>
      </c>
      <c r="N410" s="9" t="inlineStr">
        <is>
          <t>0</t>
        </is>
      </c>
      <c r="O410" s="10" t="inlineStr">
        <is>
          <t>0</t>
        </is>
      </c>
      <c r="P410" s="10" t="inlineStr">
        <is>
          <t>0</t>
        </is>
      </c>
      <c r="Q410" s="10" t="inlineStr">
        <is>
          <t>0</t>
        </is>
      </c>
      <c r="R410" s="10" t="inlineStr">
        <is>
          <t>0</t>
        </is>
      </c>
      <c r="S410" s="10" t="inlineStr">
        <is>
          <t>0</t>
        </is>
      </c>
    </row>
    <row r="411" ht="49" customHeight="1">
      <c r="A411" s="6">
        <f>IFERROR(__xludf.DUMMYFUNCTION("""COMPUTED_VALUE"""),"Transcription and translation of DNA")</f>
        <v/>
      </c>
      <c r="B411" s="6">
        <f>IFERROR(__xludf.DUMMYFUNCTION("""COMPUTED_VALUE"""),"Application")</f>
        <v/>
      </c>
      <c r="C411" s="6">
        <f>IFERROR(__xludf.DUMMYFUNCTION("""COMPUTED_VALUE"""),"Padlet")</f>
        <v/>
      </c>
      <c r="D411" s="7">
        <f>IFERROR(__xludf.DUMMYFUNCTION("""COMPUTED_VALUE"""),"No task description")</f>
        <v/>
      </c>
      <c r="E411" s="7">
        <f>IFERROR(__xludf.DUMMYFUNCTION("""COMPUTED_VALUE"""),"Golabz app/lab: Wrong URL. Impossible to access it")</f>
        <v/>
      </c>
      <c r="F411" s="7" t="inlineStr">
        <is>
          <t>Students discuss and write thoughts on genes defining characteristics after watching a video. Embedded artifacts include a YouTube video and inaccessible links.</t>
        </is>
      </c>
      <c r="G411" s="8" t="inlineStr">
        <is>
          <t>0</t>
        </is>
      </c>
      <c r="H411" s="8" t="inlineStr">
        <is>
          <t>0</t>
        </is>
      </c>
      <c r="I411" s="8" t="inlineStr">
        <is>
          <t>0</t>
        </is>
      </c>
      <c r="J411" s="8" t="inlineStr">
        <is>
          <t>0</t>
        </is>
      </c>
      <c r="K411" s="9" t="inlineStr">
        <is>
          <t>0</t>
        </is>
      </c>
      <c r="L411" s="9" t="inlineStr">
        <is>
          <t>0</t>
        </is>
      </c>
      <c r="M411" s="9" t="inlineStr">
        <is>
          <t>0</t>
        </is>
      </c>
      <c r="N411" s="9" t="inlineStr">
        <is>
          <t>0</t>
        </is>
      </c>
      <c r="O411" s="10" t="inlineStr">
        <is>
          <t>0</t>
        </is>
      </c>
      <c r="P411" s="10" t="inlineStr">
        <is>
          <t>0</t>
        </is>
      </c>
      <c r="Q411" s="10" t="inlineStr">
        <is>
          <t>0</t>
        </is>
      </c>
      <c r="R411" s="10" t="inlineStr">
        <is>
          <t>0</t>
        </is>
      </c>
      <c r="S411" s="10" t="inlineStr">
        <is>
          <t>0</t>
        </is>
      </c>
    </row>
    <row r="412" ht="406" customHeight="1">
      <c r="A412" s="6">
        <f>IFERROR(__xludf.DUMMYFUNCTION("""COMPUTED_VALUE"""),"Transcription and translation of DNA")</f>
        <v/>
      </c>
      <c r="B412" s="6">
        <f>IFERROR(__xludf.DUMMYFUNCTION("""COMPUTED_VALUE"""),"Resource")</f>
        <v/>
      </c>
      <c r="C412" s="6">
        <f>IFERROR(__xludf.DUMMYFUNCTION("""COMPUTED_VALUE"""),"Orientation 2.graasp")</f>
        <v/>
      </c>
      <c r="D412" s="7">
        <f>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
      </c>
      <c r="E412" s="7">
        <f>IFERROR(__xludf.DUMMYFUNCTION("""COMPUTED_VALUE"""),"No artifact embedded")</f>
        <v/>
      </c>
      <c r="F412" s="7" t="inlineStr">
        <is>
          <t>Students received no task descriptions for Items 1 and 2. Item 3 asked students to recall genetic information and answer questions with no embedded artifacts.</t>
        </is>
      </c>
      <c r="G412" s="8" t="inlineStr">
        <is>
          <t>0</t>
        </is>
      </c>
      <c r="H412" s="8" t="inlineStr">
        <is>
          <t>0</t>
        </is>
      </c>
      <c r="I412" s="8" t="inlineStr">
        <is>
          <t>1</t>
        </is>
      </c>
      <c r="J412" s="8" t="inlineStr">
        <is>
          <t>0</t>
        </is>
      </c>
      <c r="K412" s="9" t="inlineStr">
        <is>
          <t>1</t>
        </is>
      </c>
      <c r="L412" s="9" t="inlineStr">
        <is>
          <t>1</t>
        </is>
      </c>
      <c r="M412" s="9" t="inlineStr">
        <is>
          <t>0</t>
        </is>
      </c>
      <c r="N412" s="9" t="inlineStr">
        <is>
          <t>0</t>
        </is>
      </c>
      <c r="O412" s="10" t="inlineStr">
        <is>
          <t>0</t>
        </is>
      </c>
      <c r="P412" s="10" t="inlineStr">
        <is>
          <t>0</t>
        </is>
      </c>
      <c r="Q412" s="10" t="inlineStr">
        <is>
          <t>0</t>
        </is>
      </c>
      <c r="R412" s="10" t="inlineStr">
        <is>
          <t>0</t>
        </is>
      </c>
      <c r="S412" s="10" t="inlineStr">
        <is>
          <t>0</t>
        </is>
      </c>
    </row>
    <row r="413" ht="296" customHeight="1">
      <c r="A413" s="6">
        <f>IFERROR(__xludf.DUMMYFUNCTION("""COMPUTED_VALUE"""),"Transcription and translation of DNA")</f>
        <v/>
      </c>
      <c r="B413" s="6">
        <f>IFERROR(__xludf.DUMMYFUNCTION("""COMPUTED_VALUE"""),"Application")</f>
        <v/>
      </c>
      <c r="C413" s="6">
        <f>IFERROR(__xludf.DUMMYFUNCTION("""COMPUTED_VALUE"""),"Quiz tool")</f>
        <v/>
      </c>
      <c r="D413" s="7">
        <f>IFERROR(__xludf.DUMMYFUNCTION("""COMPUTED_VALUE"""),"No task description")</f>
        <v/>
      </c>
      <c r="E41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13" s="7" t="inlineStr">
        <is>
          <t>Students received 3 items with varying instructions: genetics review, no task, and an unseen lab. Embedded artifacts included a quiz app and inaccessible Golabz labs.</t>
        </is>
      </c>
      <c r="G413" s="8" t="inlineStr">
        <is>
          <t>0</t>
        </is>
      </c>
      <c r="H413" s="8" t="inlineStr">
        <is>
          <t>1</t>
        </is>
      </c>
      <c r="I413" s="8" t="inlineStr">
        <is>
          <t>1</t>
        </is>
      </c>
      <c r="J413" s="8" t="inlineStr">
        <is>
          <t>1</t>
        </is>
      </c>
      <c r="K413" s="9" t="inlineStr">
        <is>
          <t>0</t>
        </is>
      </c>
      <c r="L413" s="9" t="inlineStr">
        <is>
          <t>1</t>
        </is>
      </c>
      <c r="M413" s="9" t="inlineStr">
        <is>
          <t>0</t>
        </is>
      </c>
      <c r="N413" s="9" t="inlineStr">
        <is>
          <t>0</t>
        </is>
      </c>
      <c r="O413" s="10" t="inlineStr">
        <is>
          <t>0</t>
        </is>
      </c>
      <c r="P413" s="10" t="inlineStr">
        <is>
          <t>0</t>
        </is>
      </c>
      <c r="Q413" s="10" t="inlineStr">
        <is>
          <t>0</t>
        </is>
      </c>
      <c r="R413" s="10" t="inlineStr">
        <is>
          <t>0</t>
        </is>
      </c>
      <c r="S413" s="10" t="inlineStr">
        <is>
          <t>1</t>
        </is>
      </c>
    </row>
    <row r="414" ht="121" customHeight="1">
      <c r="A414" s="6">
        <f>IFERROR(__xludf.DUMMYFUNCTION("""COMPUTED_VALUE"""),"Transcription and translation of DNA")</f>
        <v/>
      </c>
      <c r="B414" s="6">
        <f>IFERROR(__xludf.DUMMYFUNCTION("""COMPUTED_VALUE"""),"Resource")</f>
        <v/>
      </c>
      <c r="C414" s="6">
        <f>IFERROR(__xludf.DUMMYFUNCTION("""COMPUTED_VALUE"""),"dna1.jpg")</f>
        <v/>
      </c>
      <c r="D414" s="7">
        <f>IFERROR(__xludf.DUMMYFUNCTION("""COMPUTED_VALUE"""),"&lt;p&gt;Congratulations! Having answered the questions above, let's remember the structure of DNA and nucleotides again:&lt;/p&gt;")</f>
        <v/>
      </c>
      <c r="E414" s="7">
        <f>IFERROR(__xludf.DUMMYFUNCTION("""COMPUTED_VALUE"""),"image/jpeg – A digital photograph or web image stored in a compressed format, often used for photography and web graphics.")</f>
        <v/>
      </c>
      <c r="F414" s="7" t="inlineStr">
        <is>
          <t>Students recall genetic information and answer questions. Embedded artifacts include a quiz app and an image of DNA structure.</t>
        </is>
      </c>
      <c r="G414" s="8" t="inlineStr">
        <is>
          <t>1</t>
        </is>
      </c>
      <c r="H414" s="8" t="inlineStr">
        <is>
          <t>0</t>
        </is>
      </c>
      <c r="I414" s="8" t="inlineStr">
        <is>
          <t>0</t>
        </is>
      </c>
      <c r="J414" s="8" t="inlineStr">
        <is>
          <t>0</t>
        </is>
      </c>
      <c r="K414" s="9" t="inlineStr">
        <is>
          <t>1</t>
        </is>
      </c>
      <c r="L414" s="9" t="inlineStr">
        <is>
          <t>0</t>
        </is>
      </c>
      <c r="M414" s="9" t="inlineStr">
        <is>
          <t>0</t>
        </is>
      </c>
      <c r="N414" s="9" t="inlineStr">
        <is>
          <t>0</t>
        </is>
      </c>
      <c r="O414" s="10" t="inlineStr">
        <is>
          <t>0</t>
        </is>
      </c>
      <c r="P414" s="10" t="inlineStr">
        <is>
          <t>0</t>
        </is>
      </c>
      <c r="Q414" s="10" t="inlineStr">
        <is>
          <t>0</t>
        </is>
      </c>
      <c r="R414" s="10" t="inlineStr">
        <is>
          <t>0</t>
        </is>
      </c>
      <c r="S414" s="10" t="inlineStr">
        <is>
          <t>0</t>
        </is>
      </c>
    </row>
    <row r="415" ht="409.5" customHeight="1">
      <c r="A415" s="6">
        <f>IFERROR(__xludf.DUMMYFUNCTION("""COMPUTED_VALUE"""),"Transcription and translation of DNA")</f>
        <v/>
      </c>
      <c r="B415" s="6">
        <f>IFERROR(__xludf.DUMMYFUNCTION("""COMPUTED_VALUE"""),"Resource")</f>
        <v/>
      </c>
      <c r="C415" s="6">
        <f>IFERROR(__xludf.DUMMYFUNCTION("""COMPUTED_VALUE"""),"Προσανατολισμός 3.graasp")</f>
        <v/>
      </c>
      <c r="D415" s="7">
        <f>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
      </c>
      <c r="E415" s="7">
        <f>IFERROR(__xludf.DUMMYFUNCTION("""COMPUTED_VALUE"""),"No artifact embedded")</f>
        <v/>
      </c>
      <c r="F415" s="7" t="inlineStr">
        <is>
          <t>Students received tasks with varying levels of detail and interactive artifacts, including a quiz app and an image, to learn about DNA structure and nucleotides.</t>
        </is>
      </c>
      <c r="G415" s="8" t="inlineStr">
        <is>
          <t>1</t>
        </is>
      </c>
      <c r="H415" s="8" t="inlineStr">
        <is>
          <t>0</t>
        </is>
      </c>
      <c r="I415" s="8" t="inlineStr">
        <is>
          <t>0</t>
        </is>
      </c>
      <c r="J415" s="8" t="inlineStr">
        <is>
          <t>0</t>
        </is>
      </c>
      <c r="K415" s="9" t="inlineStr">
        <is>
          <t>1</t>
        </is>
      </c>
      <c r="L415" s="9" t="inlineStr">
        <is>
          <t>0</t>
        </is>
      </c>
      <c r="M415" s="9" t="inlineStr">
        <is>
          <t>0</t>
        </is>
      </c>
      <c r="N415" s="9" t="inlineStr">
        <is>
          <t>0</t>
        </is>
      </c>
      <c r="O415" s="10" t="inlineStr">
        <is>
          <t>0</t>
        </is>
      </c>
      <c r="P415" s="10" t="inlineStr">
        <is>
          <t>0</t>
        </is>
      </c>
      <c r="Q415" s="10" t="inlineStr">
        <is>
          <t>0</t>
        </is>
      </c>
      <c r="R415" s="10" t="inlineStr">
        <is>
          <t>0</t>
        </is>
      </c>
      <c r="S415" s="10" t="inlineStr">
        <is>
          <t>0</t>
        </is>
      </c>
    </row>
    <row r="416" ht="181" customHeight="1">
      <c r="A416" s="6">
        <f>IFERROR(__xludf.DUMMYFUNCTION("""COMPUTED_VALUE"""),"Transcription and translation of DNA")</f>
        <v/>
      </c>
      <c r="B416" s="6">
        <f>IFERROR(__xludf.DUMMYFUNCTION("""COMPUTED_VALUE"""),"Space")</f>
        <v/>
      </c>
      <c r="C416" s="6">
        <f>IFERROR(__xludf.DUMMYFUNCTION("""COMPUTED_VALUE"""),"Will the mountain come to Muhammad?")</f>
        <v/>
      </c>
      <c r="D416" s="7">
        <f>IFERROR(__xludf.DUMMYFUNCTION("""COMPUTED_VALUE"""),"&lt;p&gt;Do you know the old proverb: 'If the mountain will not come to Muhammad, then Muhammad must go to the mountain'? You might find it useful during the second phase of the lesson, the phase of Conceptualization!&lt;/p&gt;")</f>
        <v/>
      </c>
      <c r="E416" s="7">
        <f>IFERROR(__xludf.DUMMYFUNCTION("""COMPUTED_VALUE"""),"No artifact embedded")</f>
        <v/>
      </c>
      <c r="F416" s="7" t="inlineStr">
        <is>
          <t>Students review DNA structure and nucleotides. Embedded artifacts include a JPEG image in Item1, with no artifacts in Items 2 and 3.</t>
        </is>
      </c>
      <c r="G416" s="8" t="inlineStr">
        <is>
          <t>1</t>
        </is>
      </c>
      <c r="H416" s="8" t="inlineStr">
        <is>
          <t>0</t>
        </is>
      </c>
      <c r="I416" s="8" t="inlineStr">
        <is>
          <t>0</t>
        </is>
      </c>
      <c r="J416" s="8" t="inlineStr">
        <is>
          <t>0</t>
        </is>
      </c>
      <c r="K416" s="9" t="inlineStr">
        <is>
          <t>1</t>
        </is>
      </c>
      <c r="L416" s="9" t="inlineStr">
        <is>
          <t>0</t>
        </is>
      </c>
      <c r="M416" s="9" t="inlineStr">
        <is>
          <t>0</t>
        </is>
      </c>
      <c r="N416" s="9" t="inlineStr">
        <is>
          <t>0</t>
        </is>
      </c>
      <c r="O416" s="10" t="inlineStr">
        <is>
          <t>0</t>
        </is>
      </c>
      <c r="P416" s="10" t="inlineStr">
        <is>
          <t>0</t>
        </is>
      </c>
      <c r="Q416" s="10" t="inlineStr">
        <is>
          <t>0</t>
        </is>
      </c>
      <c r="R416" s="10" t="inlineStr">
        <is>
          <t>0</t>
        </is>
      </c>
      <c r="S416" s="10" t="inlineStr">
        <is>
          <t>0</t>
        </is>
      </c>
    </row>
    <row r="417" ht="169" customHeight="1">
      <c r="A417" s="6">
        <f>IFERROR(__xludf.DUMMYFUNCTION("""COMPUTED_VALUE"""),"Transcription and translation of DNA")</f>
        <v/>
      </c>
      <c r="B417" s="6">
        <f>IFERROR(__xludf.DUMMYFUNCTION("""COMPUTED_VALUE"""),"Resource")</f>
        <v/>
      </c>
      <c r="C417" s="6">
        <f>IFERROR(__xludf.DUMMYFUNCTION("""COMPUTED_VALUE"""),"Conceptualization.graasp")</f>
        <v/>
      </c>
      <c r="D417" s="7">
        <f>IFERROR(__xludf.DUMMYFUNCTION("""COMPUTED_VALUE"""),"&lt;table class=""table table-bordered""&gt;&lt;tbody&gt;&lt;tr&gt;&lt;td&gt;&lt;p&gt;Watch the rest of the video to remember what we have learned about proteins and amino acids.&lt;/p&gt;&lt;/td&gt;&lt;/tr&gt;&lt;/tbody&gt;&lt;/table&gt;")</f>
        <v/>
      </c>
      <c r="E417" s="7">
        <f>IFERROR(__xludf.DUMMYFUNCTION("""COMPUTED_VALUE"""),"No artifact embedded")</f>
        <v/>
      </c>
      <c r="F417" s="7" t="inlineStr">
        <is>
          <t>Students are instructed on DNA nucleotides and protein basics, with no artifacts embedded.</t>
        </is>
      </c>
      <c r="G417" s="8" t="inlineStr">
        <is>
          <t>1</t>
        </is>
      </c>
      <c r="H417" s="8" t="inlineStr">
        <is>
          <t>0</t>
        </is>
      </c>
      <c r="I417" s="8" t="inlineStr">
        <is>
          <t>0</t>
        </is>
      </c>
      <c r="J417" s="8" t="inlineStr">
        <is>
          <t>0</t>
        </is>
      </c>
      <c r="K417" s="9" t="inlineStr">
        <is>
          <t>1</t>
        </is>
      </c>
      <c r="L417" s="9" t="inlineStr">
        <is>
          <t>0</t>
        </is>
      </c>
      <c r="M417" s="9" t="inlineStr">
        <is>
          <t>0</t>
        </is>
      </c>
      <c r="N417" s="9" t="inlineStr">
        <is>
          <t>0</t>
        </is>
      </c>
      <c r="O417" s="10" t="inlineStr">
        <is>
          <t>0</t>
        </is>
      </c>
      <c r="P417" s="10" t="inlineStr">
        <is>
          <t>0</t>
        </is>
      </c>
      <c r="Q417" s="10" t="inlineStr">
        <is>
          <t>0</t>
        </is>
      </c>
      <c r="R417" s="10" t="inlineStr">
        <is>
          <t>0</t>
        </is>
      </c>
      <c r="S417" s="10" t="inlineStr">
        <is>
          <t>0</t>
        </is>
      </c>
    </row>
    <row r="418" ht="121" customHeight="1">
      <c r="A418" s="6">
        <f>IFERROR(__xludf.DUMMYFUNCTION("""COMPUTED_VALUE"""),"Transcription and translation of DNA")</f>
        <v/>
      </c>
      <c r="B418" s="6">
        <f>IFERROR(__xludf.DUMMYFUNCTION("""COMPUTED_VALUE"""),"Resource")</f>
        <v/>
      </c>
      <c r="C418" s="6">
        <f>IFERROR(__xludf.DUMMYFUNCTION("""COMPUTED_VALUE"""),"What is DNA and How Does it Work?")</f>
        <v/>
      </c>
      <c r="D418" s="7">
        <f>IFERROR(__xludf.DUMMYFUNCTION("""COMPUTED_VALUE"""),"No task description")</f>
        <v/>
      </c>
      <c r="E418" s="7">
        <f>IFERROR(__xludf.DUMMYFUNCTION("""COMPUTED_VALUE"""),"youtube.com: A widely known video-sharing platform where users can watch videos on a vast array of topics, including educational content.")</f>
        <v/>
      </c>
      <c r="F418" s="7" t="inlineStr">
        <is>
          <t>Students are given tasks and proverbs. Items 1 and 2 have no embedded artifacts, while Item 3 has a YouTube link.</t>
        </is>
      </c>
      <c r="G418" s="8" t="inlineStr">
        <is>
          <t>1</t>
        </is>
      </c>
      <c r="H418" s="8" t="inlineStr">
        <is>
          <t>0</t>
        </is>
      </c>
      <c r="I418" s="8" t="inlineStr">
        <is>
          <t>0</t>
        </is>
      </c>
      <c r="J418" s="8" t="inlineStr">
        <is>
          <t>0</t>
        </is>
      </c>
      <c r="K418" s="9" t="inlineStr">
        <is>
          <t>1</t>
        </is>
      </c>
      <c r="L418" s="9" t="inlineStr">
        <is>
          <t>0</t>
        </is>
      </c>
      <c r="M418" s="9" t="inlineStr">
        <is>
          <t>0</t>
        </is>
      </c>
      <c r="N418" s="9" t="inlineStr">
        <is>
          <t>0</t>
        </is>
      </c>
      <c r="O418" s="10" t="inlineStr">
        <is>
          <t>0</t>
        </is>
      </c>
      <c r="P418" s="10" t="inlineStr">
        <is>
          <t>0</t>
        </is>
      </c>
      <c r="Q418" s="10" t="inlineStr">
        <is>
          <t>0</t>
        </is>
      </c>
      <c r="R418" s="10" t="inlineStr">
        <is>
          <t>0</t>
        </is>
      </c>
      <c r="S418" s="10" t="inlineStr">
        <is>
          <t>0</t>
        </is>
      </c>
    </row>
    <row r="419" ht="409.5" customHeight="1">
      <c r="A419" s="6">
        <f>IFERROR(__xludf.DUMMYFUNCTION("""COMPUTED_VALUE"""),"Transcription and translation of DNA")</f>
        <v/>
      </c>
      <c r="B419" s="6">
        <f>IFERROR(__xludf.DUMMYFUNCTION("""COMPUTED_VALUE"""),"Application")</f>
        <v/>
      </c>
      <c r="C419" s="6">
        <f>IFERROR(__xludf.DUMMYFUNCTION("""COMPUTED_VALUE"""),"Question Scratchpad")</f>
        <v/>
      </c>
      <c r="D419" s="7">
        <f>IFERROR(__xludf.DUMMYFUNCTION("""COMPUTED_VALUE"""),"&lt;p&gt;Using the Question Scratchpad Tool below, try to create your own research question, keeping in mind what we have discussed so far. Use as many words as you like.&lt;/p&gt;&lt;p&gt;&lt;br&gt;&lt;/p&gt;")</f>
        <v/>
      </c>
      <c r="E419"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419" s="7" t="inlineStr">
        <is>
          <t>Students are instructed to watch a video and create a research question using a tool, with artifacts including YouTube and the Question Scratchpad Tool.</t>
        </is>
      </c>
      <c r="G419" s="8" t="inlineStr">
        <is>
          <t>0</t>
        </is>
      </c>
      <c r="H419" s="8" t="inlineStr">
        <is>
          <t>1</t>
        </is>
      </c>
      <c r="I419" s="8" t="inlineStr">
        <is>
          <t>1</t>
        </is>
      </c>
      <c r="J419" s="8" t="inlineStr">
        <is>
          <t>1</t>
        </is>
      </c>
      <c r="K419" s="9" t="inlineStr">
        <is>
          <t>0</t>
        </is>
      </c>
      <c r="L419" s="9" t="inlineStr">
        <is>
          <t>1</t>
        </is>
      </c>
      <c r="M419" s="9" t="inlineStr">
        <is>
          <t>0</t>
        </is>
      </c>
      <c r="N419" s="9" t="inlineStr">
        <is>
          <t>0</t>
        </is>
      </c>
      <c r="O419" s="10" t="inlineStr">
        <is>
          <t>0</t>
        </is>
      </c>
      <c r="P419" s="10" t="inlineStr">
        <is>
          <t>1</t>
        </is>
      </c>
      <c r="Q419" s="10" t="inlineStr">
        <is>
          <t>1</t>
        </is>
      </c>
      <c r="R419" s="10" t="inlineStr">
        <is>
          <t>0</t>
        </is>
      </c>
      <c r="S419" s="10" t="inlineStr">
        <is>
          <t>1</t>
        </is>
      </c>
    </row>
    <row r="420" ht="384" customHeight="1">
      <c r="A420" s="6">
        <f>IFERROR(__xludf.DUMMYFUNCTION("""COMPUTED_VALUE"""),"Transcription and translation of DNA")</f>
        <v/>
      </c>
      <c r="B420" s="6">
        <f>IFERROR(__xludf.DUMMYFUNCTION("""COMPUTED_VALUE"""),"Resource")</f>
        <v/>
      </c>
      <c r="C420" s="6">
        <f>IFERROR(__xludf.DUMMYFUNCTION("""COMPUTED_VALUE"""),"Conceptualization1.graasp")</f>
        <v/>
      </c>
      <c r="D420" s="7">
        <f>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
      </c>
      <c r="E420" s="7">
        <f>IFERROR(__xludf.DUMMYFUNCTION("""COMPUTED_VALUE"""),"No artifact embedded")</f>
        <v/>
      </c>
      <c r="F420" s="7" t="inlineStr">
        <is>
          <t>Students are given tasks with tools like YouTube, Question Scratchpad, and conceptual maps to create research questions and explore relationships between concepts.</t>
        </is>
      </c>
      <c r="G420" s="8" t="inlineStr">
        <is>
          <t>0</t>
        </is>
      </c>
      <c r="H420" s="8" t="inlineStr">
        <is>
          <t>1</t>
        </is>
      </c>
      <c r="I420" s="8" t="inlineStr">
        <is>
          <t>1</t>
        </is>
      </c>
      <c r="J420" s="8" t="inlineStr">
        <is>
          <t>1</t>
        </is>
      </c>
      <c r="K420" s="9" t="inlineStr">
        <is>
          <t>0</t>
        </is>
      </c>
      <c r="L420" s="9" t="inlineStr">
        <is>
          <t>1</t>
        </is>
      </c>
      <c r="M420" s="9" t="inlineStr">
        <is>
          <t>0</t>
        </is>
      </c>
      <c r="N420" s="9" t="inlineStr">
        <is>
          <t>0</t>
        </is>
      </c>
      <c r="O420" s="10" t="inlineStr">
        <is>
          <t>0</t>
        </is>
      </c>
      <c r="P420" s="10" t="inlineStr">
        <is>
          <t>1</t>
        </is>
      </c>
      <c r="Q420" s="10" t="inlineStr">
        <is>
          <t>0</t>
        </is>
      </c>
      <c r="R420" s="10" t="inlineStr">
        <is>
          <t>0</t>
        </is>
      </c>
      <c r="S420" s="10" t="inlineStr">
        <is>
          <t>0</t>
        </is>
      </c>
    </row>
    <row r="421" ht="409.5" customHeight="1">
      <c r="A421" s="6">
        <f>IFERROR(__xludf.DUMMYFUNCTION("""COMPUTED_VALUE"""),"Transcription and translation of DNA")</f>
        <v/>
      </c>
      <c r="B421" s="6">
        <f>IFERROR(__xludf.DUMMYFUNCTION("""COMPUTED_VALUE"""),"Application")</f>
        <v/>
      </c>
      <c r="C421" s="6">
        <f>IFERROR(__xludf.DUMMYFUNCTION("""COMPUTED_VALUE"""),"Concept Mapper")</f>
        <v/>
      </c>
      <c r="D421" s="7">
        <f>IFERROR(__xludf.DUMMYFUNCTION("""COMPUTED_VALUE"""),"No task description")</f>
        <v/>
      </c>
      <c r="E42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21" s="7" t="inlineStr">
        <is>
          <t>Students create research questions and concept maps using Golabz tools: Question Scratchpad and Concept Mapper.</t>
        </is>
      </c>
      <c r="G421" s="8" t="inlineStr">
        <is>
          <t>0</t>
        </is>
      </c>
      <c r="H421" s="8" t="inlineStr">
        <is>
          <t>1</t>
        </is>
      </c>
      <c r="I421" s="8" t="inlineStr">
        <is>
          <t>1</t>
        </is>
      </c>
      <c r="J421" s="8" t="inlineStr">
        <is>
          <t>0</t>
        </is>
      </c>
      <c r="K421" s="9" t="inlineStr">
        <is>
          <t>0</t>
        </is>
      </c>
      <c r="L421" s="9" t="inlineStr">
        <is>
          <t>1</t>
        </is>
      </c>
      <c r="M421" s="9" t="inlineStr">
        <is>
          <t>0</t>
        </is>
      </c>
      <c r="N421" s="9" t="inlineStr">
        <is>
          <t>0</t>
        </is>
      </c>
      <c r="O421" s="10" t="inlineStr">
        <is>
          <t>0</t>
        </is>
      </c>
      <c r="P421" s="10" t="inlineStr">
        <is>
          <t>1</t>
        </is>
      </c>
      <c r="Q421" s="10" t="inlineStr">
        <is>
          <t>0</t>
        </is>
      </c>
      <c r="R421" s="10" t="inlineStr">
        <is>
          <t>0</t>
        </is>
      </c>
      <c r="S421" s="10" t="inlineStr">
        <is>
          <t>1</t>
        </is>
      </c>
    </row>
    <row r="422" ht="205" customHeight="1">
      <c r="A422" s="6">
        <f>IFERROR(__xludf.DUMMYFUNCTION("""COMPUTED_VALUE"""),"Transcription and translation of DNA")</f>
        <v/>
      </c>
      <c r="B422" s="6">
        <f>IFERROR(__xludf.DUMMYFUNCTION("""COMPUTED_VALUE"""),"Resource")</f>
        <v/>
      </c>
      <c r="C422" s="6">
        <f>IFERROR(__xludf.DUMMYFUNCTION("""COMPUTED_VALUE"""),"Conceptualization2.graasp")</f>
        <v/>
      </c>
      <c r="D422" s="7">
        <f>IFERROR(__xludf.DUMMYFUNCTION("""COMPUTED_VALUE"""),"&lt;table class=""table table-bordered""&gt;&lt;tbody&gt;&lt;tr&gt;&lt;td&gt;&lt;p&gt;Perhaps the conceptual map has helped you answer the question you created. The rest of the video we watch will help you confirm your thoughts!&lt;/p&gt;&lt;/td&gt;&lt;/tr&gt;&lt;/tbody&gt;&lt;/table&gt;")</f>
        <v/>
      </c>
      <c r="E422" s="7">
        <f>IFERROR(__xludf.DUMMYFUNCTION("""COMPUTED_VALUE"""),"No artifact embedded")</f>
        <v/>
      </c>
      <c r="F422" s="7" t="inlineStr">
        <is>
          <t>Students create concept maps using the Concept Mapper tool, defining relationships between concepts, with optional real-time feedback and collaboration modes.</t>
        </is>
      </c>
      <c r="G422" s="8" t="inlineStr">
        <is>
          <t>1</t>
        </is>
      </c>
      <c r="H422" s="8" t="inlineStr">
        <is>
          <t>0</t>
        </is>
      </c>
      <c r="I422" s="8" t="inlineStr">
        <is>
          <t>0</t>
        </is>
      </c>
      <c r="J422" s="8" t="inlineStr">
        <is>
          <t>0</t>
        </is>
      </c>
      <c r="K422" s="9" t="inlineStr">
        <is>
          <t>1</t>
        </is>
      </c>
      <c r="L422" s="9" t="inlineStr">
        <is>
          <t>0</t>
        </is>
      </c>
      <c r="M422" s="9" t="inlineStr">
        <is>
          <t>0</t>
        </is>
      </c>
      <c r="N422" s="9" t="inlineStr">
        <is>
          <t>0</t>
        </is>
      </c>
      <c r="O422" s="10" t="inlineStr">
        <is>
          <t>0</t>
        </is>
      </c>
      <c r="P422" s="10" t="inlineStr">
        <is>
          <t>0</t>
        </is>
      </c>
      <c r="Q422" s="10" t="inlineStr">
        <is>
          <t>0</t>
        </is>
      </c>
      <c r="R422" s="10" t="inlineStr">
        <is>
          <t>1</t>
        </is>
      </c>
      <c r="S422" s="10" t="inlineStr">
        <is>
          <t>0</t>
        </is>
      </c>
    </row>
    <row r="423" ht="121" customHeight="1">
      <c r="A423" s="6">
        <f>IFERROR(__xludf.DUMMYFUNCTION("""COMPUTED_VALUE"""),"Transcription and translation of DNA")</f>
        <v/>
      </c>
      <c r="B423" s="6">
        <f>IFERROR(__xludf.DUMMYFUNCTION("""COMPUTED_VALUE"""),"Resource")</f>
        <v/>
      </c>
      <c r="C423" s="6">
        <f>IFERROR(__xludf.DUMMYFUNCTION("""COMPUTED_VALUE"""),"What is DNA and How Does it Work? (1)")</f>
        <v/>
      </c>
      <c r="D423" s="7">
        <f>IFERROR(__xludf.DUMMYFUNCTION("""COMPUTED_VALUE"""),"No task description")</f>
        <v/>
      </c>
      <c r="E423" s="7">
        <f>IFERROR(__xludf.DUMMYFUNCTION("""COMPUTED_VALUE"""),"youtube.com: A widely known video-sharing platform where users can watch videos on a vast array of topics, including educational content.")</f>
        <v/>
      </c>
      <c r="F423" s="7" t="inlineStr">
        <is>
          <t>Students use the Concept Mapper tool to create concept maps and receive real-time feedback. Two items have brief instructions, while one has no task description. Embedded artifacts include the Golabz app and YouTube.</t>
        </is>
      </c>
      <c r="G423" s="8" t="inlineStr">
        <is>
          <t>1</t>
        </is>
      </c>
      <c r="H423" s="8" t="inlineStr">
        <is>
          <t>0</t>
        </is>
      </c>
      <c r="I423" s="8" t="inlineStr">
        <is>
          <t>0</t>
        </is>
      </c>
      <c r="J423" s="8" t="inlineStr">
        <is>
          <t>0</t>
        </is>
      </c>
      <c r="K423" s="9" t="inlineStr">
        <is>
          <t>1</t>
        </is>
      </c>
      <c r="L423" s="9" t="inlineStr">
        <is>
          <t>0</t>
        </is>
      </c>
      <c r="M423" s="9" t="inlineStr">
        <is>
          <t>0</t>
        </is>
      </c>
      <c r="N423" s="9" t="inlineStr">
        <is>
          <t>0</t>
        </is>
      </c>
      <c r="O423" s="10" t="inlineStr">
        <is>
          <t>0</t>
        </is>
      </c>
      <c r="P423" s="10" t="inlineStr">
        <is>
          <t>0</t>
        </is>
      </c>
      <c r="Q423" s="10" t="inlineStr">
        <is>
          <t>0</t>
        </is>
      </c>
      <c r="R423" s="10" t="inlineStr">
        <is>
          <t>0</t>
        </is>
      </c>
      <c r="S423" s="10" t="inlineStr">
        <is>
          <t>0</t>
        </is>
      </c>
    </row>
    <row r="424" ht="409.5" customHeight="1">
      <c r="A424" s="6">
        <f>IFERROR(__xludf.DUMMYFUNCTION("""COMPUTED_VALUE"""),"Transcription and translation of DNA")</f>
        <v/>
      </c>
      <c r="B424" s="6">
        <f>IFERROR(__xludf.DUMMYFUNCTION("""COMPUTED_VALUE"""),"Resource")</f>
        <v/>
      </c>
      <c r="C424" s="6">
        <f>IFERROR(__xludf.DUMMYFUNCTION("""COMPUTED_VALUE"""),"Conceptualization 3.graasp")</f>
        <v/>
      </c>
      <c r="D424" s="7">
        <f>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
      </c>
      <c r="E424" s="7">
        <f>IFERROR(__xludf.DUMMYFUNCTION("""COMPUTED_VALUE"""),"No artifact embedded")</f>
        <v/>
      </c>
      <c r="F424" s="7" t="inlineStr">
        <is>
          <t>Students received task descriptions and no artifacts were embedded in Items 1 and 3, while Item 2 had no description but mentioned YouTube as an educational resource.</t>
        </is>
      </c>
      <c r="G424" s="8" t="inlineStr">
        <is>
          <t>1</t>
        </is>
      </c>
      <c r="H424" s="8" t="inlineStr">
        <is>
          <t>0</t>
        </is>
      </c>
      <c r="I424" s="8" t="inlineStr">
        <is>
          <t>0</t>
        </is>
      </c>
      <c r="J424" s="8" t="inlineStr">
        <is>
          <t>0</t>
        </is>
      </c>
      <c r="K424" s="9" t="inlineStr">
        <is>
          <t>1</t>
        </is>
      </c>
      <c r="L424" s="9" t="inlineStr">
        <is>
          <t>0</t>
        </is>
      </c>
      <c r="M424" s="9" t="inlineStr">
        <is>
          <t>0</t>
        </is>
      </c>
      <c r="N424" s="9" t="inlineStr">
        <is>
          <t>0</t>
        </is>
      </c>
      <c r="O424" s="10" t="inlineStr">
        <is>
          <t>1</t>
        </is>
      </c>
      <c r="P424" s="10" t="inlineStr">
        <is>
          <t>0</t>
        </is>
      </c>
      <c r="Q424" s="10" t="inlineStr">
        <is>
          <t>0</t>
        </is>
      </c>
      <c r="R424" s="10" t="inlineStr">
        <is>
          <t>0</t>
        </is>
      </c>
      <c r="S424" s="10" t="inlineStr">
        <is>
          <t>0</t>
        </is>
      </c>
    </row>
    <row r="425" ht="395" customHeight="1">
      <c r="A425" s="6">
        <f>IFERROR(__xludf.DUMMYFUNCTION("""COMPUTED_VALUE"""),"Transcription and translation of DNA")</f>
        <v/>
      </c>
      <c r="B425" s="6">
        <f>IFERROR(__xludf.DUMMYFUNCTION("""COMPUTED_VALUE"""),"Resource")</f>
        <v/>
      </c>
      <c r="C425" s="6">
        <f>IFERROR(__xludf.DUMMYFUNCTION("""COMPUTED_VALUE"""),"Conceptualization 4.graasp")</f>
        <v/>
      </c>
      <c r="D425" s="7">
        <f>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
      </c>
      <c r="E425" s="7">
        <f>IFERROR(__xludf.DUMMYFUNCTION("""COMPUTED_VALUE"""),"No artifact embedded")</f>
        <v/>
      </c>
      <c r="F425" s="7" t="inlineStr">
        <is>
          <t>Students received task descriptions about genetic information and protein synthesis, with one item referencing a YouTube video, but no artifacts were embedded in items 2 and 3.</t>
        </is>
      </c>
      <c r="G425" s="8" t="inlineStr">
        <is>
          <t>0</t>
        </is>
      </c>
      <c r="H425" s="8" t="inlineStr">
        <is>
          <t>0</t>
        </is>
      </c>
      <c r="I425" s="8" t="inlineStr">
        <is>
          <t>1</t>
        </is>
      </c>
      <c r="J425" s="8" t="inlineStr">
        <is>
          <t>1</t>
        </is>
      </c>
      <c r="K425" s="9" t="inlineStr">
        <is>
          <t>0</t>
        </is>
      </c>
      <c r="L425" s="9" t="inlineStr">
        <is>
          <t>1</t>
        </is>
      </c>
      <c r="M425" s="9" t="inlineStr">
        <is>
          <t>0</t>
        </is>
      </c>
      <c r="N425" s="9" t="inlineStr">
        <is>
          <t>0</t>
        </is>
      </c>
      <c r="O425" s="10" t="inlineStr">
        <is>
          <t>1</t>
        </is>
      </c>
      <c r="P425" s="10" t="inlineStr">
        <is>
          <t>1</t>
        </is>
      </c>
      <c r="Q425" s="10" t="inlineStr">
        <is>
          <t>0</t>
        </is>
      </c>
      <c r="R425" s="10" t="inlineStr">
        <is>
          <t>0</t>
        </is>
      </c>
      <c r="S425" s="10" t="inlineStr">
        <is>
          <t>0</t>
        </is>
      </c>
    </row>
    <row r="426" ht="329" customHeight="1">
      <c r="A426" s="6">
        <f>IFERROR(__xludf.DUMMYFUNCTION("""COMPUTED_VALUE"""),"Transcription and translation of DNA")</f>
        <v/>
      </c>
      <c r="B426" s="6">
        <f>IFERROR(__xludf.DUMMYFUNCTION("""COMPUTED_VALUE"""),"Application")</f>
        <v/>
      </c>
      <c r="C426" s="6">
        <f>IFERROR(__xludf.DUMMYFUNCTION("""COMPUTED_VALUE"""),"Input Box")</f>
        <v/>
      </c>
      <c r="D426" s="7">
        <f>IFERROR(__xludf.DUMMYFUNCTION("""COMPUTED_VALUE"""),"No task description")</f>
        <v/>
      </c>
      <c r="E4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26" s="7" t="inlineStr">
        <is>
          <t>Students are instructed on genetic information and protein synthesis. Embedded artifacts include a notes-taking app for student input.</t>
        </is>
      </c>
      <c r="G426" s="8" t="inlineStr">
        <is>
          <t>0</t>
        </is>
      </c>
      <c r="H426" s="8" t="inlineStr">
        <is>
          <t>1</t>
        </is>
      </c>
      <c r="I426" s="8" t="inlineStr">
        <is>
          <t>1</t>
        </is>
      </c>
      <c r="J426" s="8" t="inlineStr">
        <is>
          <t>1</t>
        </is>
      </c>
      <c r="K426" s="9" t="inlineStr">
        <is>
          <t>0</t>
        </is>
      </c>
      <c r="L426" s="9" t="inlineStr">
        <is>
          <t>1</t>
        </is>
      </c>
      <c r="M426" s="9" t="inlineStr">
        <is>
          <t>0</t>
        </is>
      </c>
      <c r="N426" s="9" t="inlineStr">
        <is>
          <t>1</t>
        </is>
      </c>
      <c r="O426" s="10" t="inlineStr">
        <is>
          <t>0</t>
        </is>
      </c>
      <c r="P426" s="10" t="inlineStr">
        <is>
          <t>0</t>
        </is>
      </c>
      <c r="Q426" s="10" t="inlineStr">
        <is>
          <t>0</t>
        </is>
      </c>
      <c r="R426" s="10" t="inlineStr">
        <is>
          <t>0</t>
        </is>
      </c>
      <c r="S426" s="10" t="inlineStr">
        <is>
          <t>1</t>
        </is>
      </c>
    </row>
    <row r="427" ht="49" customHeight="1">
      <c r="A427" s="6">
        <f>IFERROR(__xludf.DUMMYFUNCTION("""COMPUTED_VALUE"""),"Transcription and translation of DNA")</f>
        <v/>
      </c>
      <c r="B427" s="6">
        <f>IFERROR(__xludf.DUMMYFUNCTION("""COMPUTED_VALUE"""),"Space")</f>
        <v/>
      </c>
      <c r="C427" s="6">
        <f>IFERROR(__xludf.DUMMYFUNCTION("""COMPUTED_VALUE"""),"Let's experiment!")</f>
        <v/>
      </c>
      <c r="D427" s="7">
        <f>IFERROR(__xludf.DUMMYFUNCTION("""COMPUTED_VALUE"""),"&lt;p&gt;The next phase is the Investigation phase.&lt;/p&gt;")</f>
        <v/>
      </c>
      <c r="E427" s="7">
        <f>IFERROR(__xludf.DUMMYFUNCTION("""COMPUTED_VALUE"""),"No artifact embedded")</f>
        <v/>
      </c>
      <c r="F427" s="7" t="inlineStr">
        <is>
          <t>Students were instructed to describe how DNA controls protein synthesis and proceed to the next lesson phase, with an embedded note-taking app in Item2.</t>
        </is>
      </c>
      <c r="G427" s="8" t="inlineStr">
        <is>
          <t>0</t>
        </is>
      </c>
      <c r="H427" s="8" t="inlineStr">
        <is>
          <t>0</t>
        </is>
      </c>
      <c r="I427" s="8" t="inlineStr">
        <is>
          <t>0</t>
        </is>
      </c>
      <c r="J427" s="8" t="inlineStr">
        <is>
          <t>0</t>
        </is>
      </c>
      <c r="K427" s="9" t="inlineStr">
        <is>
          <t>1</t>
        </is>
      </c>
      <c r="L427" s="9" t="inlineStr">
        <is>
          <t>0</t>
        </is>
      </c>
      <c r="M427" s="9" t="inlineStr">
        <is>
          <t>0</t>
        </is>
      </c>
      <c r="N427" s="9" t="inlineStr">
        <is>
          <t>0</t>
        </is>
      </c>
      <c r="O427" s="10" t="inlineStr">
        <is>
          <t>0</t>
        </is>
      </c>
      <c r="P427" s="10" t="inlineStr">
        <is>
          <t>0</t>
        </is>
      </c>
      <c r="Q427" s="10" t="inlineStr">
        <is>
          <t>0</t>
        </is>
      </c>
      <c r="R427" s="10" t="inlineStr">
        <is>
          <t>0</t>
        </is>
      </c>
      <c r="S427" s="10" t="inlineStr">
        <is>
          <t>0</t>
        </is>
      </c>
    </row>
    <row r="428" ht="384" customHeight="1">
      <c r="A428" s="6">
        <f>IFERROR(__xludf.DUMMYFUNCTION("""COMPUTED_VALUE"""),"Transcription and translation of DNA")</f>
        <v/>
      </c>
      <c r="B428" s="6">
        <f>IFERROR(__xludf.DUMMYFUNCTION("""COMPUTED_VALUE"""),"Resource")</f>
        <v/>
      </c>
      <c r="C428" s="6">
        <f>IFERROR(__xludf.DUMMYFUNCTION("""COMPUTED_VALUE"""),"Investigation .graasp")</f>
        <v/>
      </c>
      <c r="D428" s="7">
        <f>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
      </c>
      <c r="E428" s="7">
        <f>IFERROR(__xludf.DUMMYFUNCTION("""COMPUTED_VALUE"""),"No artifact embedded")</f>
        <v/>
      </c>
      <c r="F428" s="7" t="inlineStr">
        <is>
          <t>Students received task descriptions and accessed embedded artifacts, including the Golabz app/lab for note-taking and collaboration.</t>
        </is>
      </c>
      <c r="G428" s="8" t="inlineStr">
        <is>
          <t>1</t>
        </is>
      </c>
      <c r="H428" s="8" t="inlineStr">
        <is>
          <t>1</t>
        </is>
      </c>
      <c r="I428" s="8" t="inlineStr">
        <is>
          <t>0</t>
        </is>
      </c>
      <c r="J428" s="8" t="inlineStr">
        <is>
          <t>0</t>
        </is>
      </c>
      <c r="K428" s="9" t="inlineStr">
        <is>
          <t>1</t>
        </is>
      </c>
      <c r="L428" s="9" t="inlineStr">
        <is>
          <t>0</t>
        </is>
      </c>
      <c r="M428" s="9" t="inlineStr">
        <is>
          <t>0</t>
        </is>
      </c>
      <c r="N428" s="9" t="inlineStr">
        <is>
          <t>0</t>
        </is>
      </c>
      <c r="O428" s="10" t="inlineStr">
        <is>
          <t>0</t>
        </is>
      </c>
      <c r="P428" s="10" t="inlineStr">
        <is>
          <t>0</t>
        </is>
      </c>
      <c r="Q428" s="10" t="inlineStr">
        <is>
          <t>1</t>
        </is>
      </c>
      <c r="R428" s="10" t="inlineStr">
        <is>
          <t>0</t>
        </is>
      </c>
      <c r="S428" s="10" t="inlineStr">
        <is>
          <t>0</t>
        </is>
      </c>
    </row>
    <row r="429" ht="373" customHeight="1">
      <c r="A429" s="6">
        <f>IFERROR(__xludf.DUMMYFUNCTION("""COMPUTED_VALUE"""),"Transcription and translation of DNA")</f>
        <v/>
      </c>
      <c r="B429" s="6">
        <f>IFERROR(__xludf.DUMMYFUNCTION("""COMPUTED_VALUE"""),"Resource")</f>
        <v/>
      </c>
      <c r="C429" s="6">
        <f>IFERROR(__xludf.DUMMYFUNCTION("""COMPUTED_VALUE"""),"Investigation 1.graasp")</f>
        <v/>
      </c>
      <c r="D429" s="7">
        <f>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
      </c>
      <c r="E429" s="7">
        <f>IFERROR(__xludf.DUMMYFUNCTION("""COMPUTED_VALUE"""),"No artifact embedded")</f>
        <v/>
      </c>
      <c r="F429" s="7" t="inlineStr">
        <is>
          <t>Students investigate cell processes using virtual labs and complete a DNA transcription task by selecting correct nitrogenous bases.</t>
        </is>
      </c>
      <c r="G429" s="8" t="inlineStr">
        <is>
          <t>0</t>
        </is>
      </c>
      <c r="H429" s="8" t="inlineStr">
        <is>
          <t>1</t>
        </is>
      </c>
      <c r="I429" s="8" t="inlineStr">
        <is>
          <t>0</t>
        </is>
      </c>
      <c r="J429" s="8" t="inlineStr">
        <is>
          <t>1</t>
        </is>
      </c>
      <c r="K429" s="9" t="inlineStr">
        <is>
          <t>1</t>
        </is>
      </c>
      <c r="L429" s="9" t="inlineStr">
        <is>
          <t>1</t>
        </is>
      </c>
      <c r="M429" s="9" t="inlineStr">
        <is>
          <t>0</t>
        </is>
      </c>
      <c r="N429" s="9" t="inlineStr">
        <is>
          <t>0</t>
        </is>
      </c>
      <c r="O429" s="10" t="inlineStr">
        <is>
          <t>0</t>
        </is>
      </c>
      <c r="P429" s="10" t="inlineStr">
        <is>
          <t>0</t>
        </is>
      </c>
      <c r="Q429" s="10" t="inlineStr">
        <is>
          <t>1</t>
        </is>
      </c>
      <c r="R429" s="10" t="inlineStr">
        <is>
          <t>0</t>
        </is>
      </c>
      <c r="S429" s="10" t="inlineStr">
        <is>
          <t>0</t>
        </is>
      </c>
    </row>
    <row r="430" ht="296" customHeight="1">
      <c r="A430" s="6">
        <f>IFERROR(__xludf.DUMMYFUNCTION("""COMPUTED_VALUE"""),"Transcription and translation of DNA")</f>
        <v/>
      </c>
      <c r="B430" s="6">
        <f>IFERROR(__xludf.DUMMYFUNCTION("""COMPUTED_VALUE"""),"Application")</f>
        <v/>
      </c>
      <c r="C430" s="6">
        <f>IFERROR(__xludf.DUMMYFUNCTION("""COMPUTED_VALUE"""),"Modeling Transcription App")</f>
        <v/>
      </c>
      <c r="D430" s="7">
        <f>IFERROR(__xludf.DUMMYFUNCTION("""COMPUTED_VALUE"""),"No task description")</f>
        <v/>
      </c>
      <c r="E430" s="7">
        <f>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
      </c>
      <c r="F430" s="7" t="inlineStr">
        <is>
          <t>Students use virtual labs for cell experiments, completing tasks like DNA transcription and exploring mRNA creation, with no embedded artifacts.</t>
        </is>
      </c>
      <c r="G430" s="8" t="inlineStr">
        <is>
          <t>0</t>
        </is>
      </c>
      <c r="H430" s="8" t="inlineStr">
        <is>
          <t>1</t>
        </is>
      </c>
      <c r="I430" s="8" t="inlineStr">
        <is>
          <t>0</t>
        </is>
      </c>
      <c r="J430" s="8" t="inlineStr">
        <is>
          <t>1</t>
        </is>
      </c>
      <c r="K430" s="9" t="inlineStr">
        <is>
          <t>1</t>
        </is>
      </c>
      <c r="L430" s="9" t="inlineStr">
        <is>
          <t>0</t>
        </is>
      </c>
      <c r="M430" s="9" t="inlineStr">
        <is>
          <t>0</t>
        </is>
      </c>
      <c r="N430" s="9" t="inlineStr">
        <is>
          <t>0</t>
        </is>
      </c>
      <c r="O430" s="10" t="inlineStr">
        <is>
          <t>1</t>
        </is>
      </c>
      <c r="P430" s="10" t="inlineStr">
        <is>
          <t>0</t>
        </is>
      </c>
      <c r="Q430" s="10" t="inlineStr">
        <is>
          <t>1</t>
        </is>
      </c>
      <c r="R430" s="10" t="inlineStr">
        <is>
          <t>0</t>
        </is>
      </c>
      <c r="S430" s="10" t="inlineStr">
        <is>
          <t>0</t>
        </is>
      </c>
    </row>
    <row r="431" ht="395" customHeight="1">
      <c r="A431" s="6">
        <f>IFERROR(__xludf.DUMMYFUNCTION("""COMPUTED_VALUE"""),"Transcription and translation of DNA")</f>
        <v/>
      </c>
      <c r="B431" s="6">
        <f>IFERROR(__xludf.DUMMYFUNCTION("""COMPUTED_VALUE"""),"Application")</f>
        <v/>
      </c>
      <c r="C431" s="6">
        <f>IFERROR(__xludf.DUMMYFUNCTION("""COMPUTED_VALUE"""),"Observation Tool")</f>
        <v/>
      </c>
      <c r="D431" s="7">
        <f>IFERROR(__xludf.DUMMYFUNCTION("""COMPUTED_VALUE"""),"&lt;p&gt;What do you observe? Write down your observations in the following tool by pressing +. You can create as many comments as you like.&lt;/p&gt;")</f>
        <v/>
      </c>
      <c r="E431"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431" s="7" t="inlineStr">
        <is>
          <t>Students are instructed to prepare DNA for transcription and select correct nitrogenous bases. Embedded artifacts include Golabz labs for exploring mRNA and an observation tool.</t>
        </is>
      </c>
      <c r="G431" s="8" t="inlineStr">
        <is>
          <t>0</t>
        </is>
      </c>
      <c r="H431" s="8" t="inlineStr">
        <is>
          <t>1</t>
        </is>
      </c>
      <c r="I431" s="8" t="inlineStr">
        <is>
          <t>1</t>
        </is>
      </c>
      <c r="J431" s="8" t="inlineStr">
        <is>
          <t>1</t>
        </is>
      </c>
      <c r="K431" s="9" t="inlineStr">
        <is>
          <t>0</t>
        </is>
      </c>
      <c r="L431" s="9" t="inlineStr">
        <is>
          <t>1</t>
        </is>
      </c>
      <c r="M431" s="9" t="inlineStr">
        <is>
          <t>0</t>
        </is>
      </c>
      <c r="N431" s="9" t="inlineStr">
        <is>
          <t>0</t>
        </is>
      </c>
      <c r="O431" s="10" t="inlineStr">
        <is>
          <t>0</t>
        </is>
      </c>
      <c r="P431" s="10" t="inlineStr">
        <is>
          <t>0</t>
        </is>
      </c>
      <c r="Q431" s="10" t="inlineStr">
        <is>
          <t>1</t>
        </is>
      </c>
      <c r="R431" s="10" t="inlineStr">
        <is>
          <t>0</t>
        </is>
      </c>
      <c r="S431" s="10" t="inlineStr">
        <is>
          <t>1</t>
        </is>
      </c>
    </row>
    <row r="432" ht="409.5" customHeight="1">
      <c r="A432" s="6">
        <f>IFERROR(__xludf.DUMMYFUNCTION("""COMPUTED_VALUE"""),"Transcription and translation of DNA")</f>
        <v/>
      </c>
      <c r="B432" s="6">
        <f>IFERROR(__xludf.DUMMYFUNCTION("""COMPUTED_VALUE"""),"Resource")</f>
        <v/>
      </c>
      <c r="C432" s="6">
        <f>IFERROR(__xludf.DUMMYFUNCTION("""COMPUTED_VALUE"""),"Investigation 2.graasp")</f>
        <v/>
      </c>
      <c r="D432" s="7">
        <f>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
      </c>
      <c r="E432" s="7">
        <f>IFERROR(__xludf.DUMMYFUNCTION("""COMPUTED_VALUE"""),"No artifact embedded")</f>
        <v/>
      </c>
      <c r="F432" s="7" t="inlineStr">
        <is>
          <t>Students explore DNA transcription, record observations, and fill in tables to learn about DNA and nucleotides using Golabz app/labs.</t>
        </is>
      </c>
      <c r="G432" s="8" t="inlineStr">
        <is>
          <t>0</t>
        </is>
      </c>
      <c r="H432" s="8" t="inlineStr">
        <is>
          <t>0</t>
        </is>
      </c>
      <c r="I432" s="8" t="inlineStr">
        <is>
          <t>1</t>
        </is>
      </c>
      <c r="J432" s="8" t="inlineStr">
        <is>
          <t>1</t>
        </is>
      </c>
      <c r="K432" s="9" t="inlineStr">
        <is>
          <t>0</t>
        </is>
      </c>
      <c r="L432" s="9" t="inlineStr">
        <is>
          <t>1</t>
        </is>
      </c>
      <c r="M432" s="9" t="inlineStr">
        <is>
          <t>0</t>
        </is>
      </c>
      <c r="N432" s="9" t="inlineStr">
        <is>
          <t>0</t>
        </is>
      </c>
      <c r="O432" s="10" t="inlineStr">
        <is>
          <t>0</t>
        </is>
      </c>
      <c r="P432" s="10" t="inlineStr">
        <is>
          <t>0</t>
        </is>
      </c>
      <c r="Q432" s="10" t="inlineStr">
        <is>
          <t>0</t>
        </is>
      </c>
      <c r="R432" s="10" t="inlineStr">
        <is>
          <t>0</t>
        </is>
      </c>
      <c r="S432" s="10" t="inlineStr">
        <is>
          <t>0</t>
        </is>
      </c>
    </row>
    <row r="433" ht="409.5" customHeight="1">
      <c r="A433" s="6">
        <f>IFERROR(__xludf.DUMMYFUNCTION("""COMPUTED_VALUE"""),"Transcription and translation of DNA")</f>
        <v/>
      </c>
      <c r="B433" s="6">
        <f>IFERROR(__xludf.DUMMYFUNCTION("""COMPUTED_VALUE"""),"Application")</f>
        <v/>
      </c>
      <c r="C433" s="6">
        <f>IFERROR(__xludf.DUMMYFUNCTION("""COMPUTED_VALUE"""),"Table Tool")</f>
        <v/>
      </c>
      <c r="D433" s="7">
        <f>IFERROR(__xludf.DUMMYFUNCTION("""COMPUTED_VALUE"""),"No task description")</f>
        <v/>
      </c>
      <c r="E43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33" s="7" t="inlineStr">
        <is>
          <t>Students observe and record findings using tools, fill tables with data, and analyze experiments, with optional collaboration mode.</t>
        </is>
      </c>
      <c r="G433" s="8" t="inlineStr">
        <is>
          <t>0</t>
        </is>
      </c>
      <c r="H433" s="8" t="inlineStr">
        <is>
          <t>1</t>
        </is>
      </c>
      <c r="I433" s="8" t="inlineStr">
        <is>
          <t>1</t>
        </is>
      </c>
      <c r="J433" s="8" t="inlineStr">
        <is>
          <t>0</t>
        </is>
      </c>
      <c r="K433" s="9" t="inlineStr">
        <is>
          <t>0</t>
        </is>
      </c>
      <c r="L433" s="9" t="inlineStr">
        <is>
          <t>1</t>
        </is>
      </c>
      <c r="M433" s="9" t="inlineStr">
        <is>
          <t>0</t>
        </is>
      </c>
      <c r="N433" s="9" t="inlineStr">
        <is>
          <t>0</t>
        </is>
      </c>
      <c r="O433" s="10" t="inlineStr">
        <is>
          <t>0</t>
        </is>
      </c>
      <c r="P433" s="10" t="inlineStr">
        <is>
          <t>0</t>
        </is>
      </c>
      <c r="Q433" s="10" t="inlineStr">
        <is>
          <t>1</t>
        </is>
      </c>
      <c r="R433" s="10" t="inlineStr">
        <is>
          <t>0</t>
        </is>
      </c>
      <c r="S433" s="10" t="inlineStr">
        <is>
          <t>0</t>
        </is>
      </c>
    </row>
    <row r="434" ht="285" customHeight="1">
      <c r="A434" s="6">
        <f>IFERROR(__xludf.DUMMYFUNCTION("""COMPUTED_VALUE"""),"Transcription and translation of DNA")</f>
        <v/>
      </c>
      <c r="B434" s="6">
        <f>IFERROR(__xludf.DUMMYFUNCTION("""COMPUTED_VALUE"""),"Resource")</f>
        <v/>
      </c>
      <c r="C434" s="6">
        <f>IFERROR(__xludf.DUMMYFUNCTION("""COMPUTED_VALUE"""),"Investigation 3.graasp")</f>
        <v/>
      </c>
      <c r="D434" s="7">
        <f>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
      </c>
      <c r="E434" s="7">
        <f>IFERROR(__xludf.DUMMYFUNCTION("""COMPUTED_VALUE"""),"No artifact embedded")</f>
        <v/>
      </c>
      <c r="F434" s="7" t="inlineStr">
        <is>
          <t>Students fill in a table on DNA transcription. Embedded artifacts include the Golabz app/lab with a table tool for data entry and visualization.</t>
        </is>
      </c>
      <c r="G434" s="8" t="inlineStr">
        <is>
          <t>1</t>
        </is>
      </c>
      <c r="H434" s="8" t="inlineStr">
        <is>
          <t>1</t>
        </is>
      </c>
      <c r="I434" s="8" t="inlineStr">
        <is>
          <t>0</t>
        </is>
      </c>
      <c r="J434" s="8" t="inlineStr">
        <is>
          <t>1</t>
        </is>
      </c>
      <c r="K434" s="9" t="inlineStr">
        <is>
          <t>1</t>
        </is>
      </c>
      <c r="L434" s="9" t="inlineStr">
        <is>
          <t>0</t>
        </is>
      </c>
      <c r="M434" s="9" t="inlineStr">
        <is>
          <t>0</t>
        </is>
      </c>
      <c r="N434" s="9" t="inlineStr">
        <is>
          <t>0</t>
        </is>
      </c>
      <c r="O434" s="10" t="inlineStr">
        <is>
          <t>0</t>
        </is>
      </c>
      <c r="P434" s="10" t="inlineStr">
        <is>
          <t>0</t>
        </is>
      </c>
      <c r="Q434" s="10" t="inlineStr">
        <is>
          <t>0</t>
        </is>
      </c>
      <c r="R434" s="10" t="inlineStr">
        <is>
          <t>0</t>
        </is>
      </c>
      <c r="S434" s="10" t="inlineStr">
        <is>
          <t>0</t>
        </is>
      </c>
    </row>
    <row r="435" ht="409.5" customHeight="1">
      <c r="A435" s="6">
        <f>IFERROR(__xludf.DUMMYFUNCTION("""COMPUTED_VALUE"""),"Transcription and translation of DNA")</f>
        <v/>
      </c>
      <c r="B435" s="6">
        <f>IFERROR(__xludf.DUMMYFUNCTION("""COMPUTED_VALUE"""),"Application")</f>
        <v/>
      </c>
      <c r="C435" s="6">
        <f>IFERROR(__xludf.DUMMYFUNCTION("""COMPUTED_VALUE"""),"Modeling Translation App")</f>
        <v/>
      </c>
      <c r="D435" s="7">
        <f>IFERROR(__xludf.DUMMYFUNCTION("""COMPUTED_VALUE"""),"No task description")</f>
        <v/>
      </c>
      <c r="E435" s="7">
        <f>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
      </c>
      <c r="F435" s="7" t="inlineStr">
        <is>
          <t>Students use Golabz app/lab to learn about protein synthesis and fill tables with data. Item2 involves a virtual lab simulation of translation process.</t>
        </is>
      </c>
      <c r="G435" s="8" t="inlineStr">
        <is>
          <t>1</t>
        </is>
      </c>
      <c r="H435" s="8" t="inlineStr">
        <is>
          <t>1</t>
        </is>
      </c>
      <c r="I435" s="8" t="inlineStr">
        <is>
          <t>0</t>
        </is>
      </c>
      <c r="J435" s="8" t="inlineStr">
        <is>
          <t>1</t>
        </is>
      </c>
      <c r="K435" s="9" t="inlineStr">
        <is>
          <t>1</t>
        </is>
      </c>
      <c r="L435" s="9" t="inlineStr">
        <is>
          <t>0</t>
        </is>
      </c>
      <c r="M435" s="9" t="inlineStr">
        <is>
          <t>0</t>
        </is>
      </c>
      <c r="N435" s="9" t="inlineStr">
        <is>
          <t>0</t>
        </is>
      </c>
      <c r="O435" s="10" t="inlineStr">
        <is>
          <t>1</t>
        </is>
      </c>
      <c r="P435" s="10" t="inlineStr">
        <is>
          <t>0</t>
        </is>
      </c>
      <c r="Q435" s="10" t="inlineStr">
        <is>
          <t>0</t>
        </is>
      </c>
      <c r="R435" s="10" t="inlineStr">
        <is>
          <t>0</t>
        </is>
      </c>
      <c r="S435" s="10" t="inlineStr">
        <is>
          <t>0</t>
        </is>
      </c>
    </row>
    <row r="436" ht="329" customHeight="1">
      <c r="A436" s="6">
        <f>IFERROR(__xludf.DUMMYFUNCTION("""COMPUTED_VALUE"""),"Transcription and translation of DNA")</f>
        <v/>
      </c>
      <c r="B436" s="6">
        <f>IFERROR(__xludf.DUMMYFUNCTION("""COMPUTED_VALUE"""),"Application")</f>
        <v/>
      </c>
      <c r="C436" s="6">
        <f>IFERROR(__xludf.DUMMYFUNCTION("""COMPUTED_VALUE"""),"Input Box")</f>
        <v/>
      </c>
      <c r="D436" s="7">
        <f>IFERROR(__xludf.DUMMYFUNCTION("""COMPUTED_VALUE"""),"&lt;p&gt;What is the end result of the procedure?&lt;/p&gt;")</f>
        <v/>
      </c>
      <c r="E4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36" s="7" t="inlineStr">
        <is>
          <t>Students are instructed to learn about protein synthesis and complete tasks using virtual labs and apps, with embedded artifacts including Golabz lab and input box app.</t>
        </is>
      </c>
      <c r="G436" s="8" t="inlineStr">
        <is>
          <t>0</t>
        </is>
      </c>
      <c r="H436" s="8" t="inlineStr">
        <is>
          <t>1</t>
        </is>
      </c>
      <c r="I436" s="8" t="inlineStr">
        <is>
          <t>1</t>
        </is>
      </c>
      <c r="J436" s="8" t="inlineStr">
        <is>
          <t>1</t>
        </is>
      </c>
      <c r="K436" s="9" t="inlineStr">
        <is>
          <t>0</t>
        </is>
      </c>
      <c r="L436" s="9" t="inlineStr">
        <is>
          <t>1</t>
        </is>
      </c>
      <c r="M436" s="9" t="inlineStr">
        <is>
          <t>0</t>
        </is>
      </c>
      <c r="N436" s="9" t="inlineStr">
        <is>
          <t>1</t>
        </is>
      </c>
      <c r="O436" s="10" t="inlineStr">
        <is>
          <t>0</t>
        </is>
      </c>
      <c r="P436" s="10" t="inlineStr">
        <is>
          <t>1</t>
        </is>
      </c>
      <c r="Q436" s="10" t="inlineStr">
        <is>
          <t>0</t>
        </is>
      </c>
      <c r="R436" s="10" t="inlineStr">
        <is>
          <t>0</t>
        </is>
      </c>
      <c r="S436" s="10" t="inlineStr">
        <is>
          <t>1</t>
        </is>
      </c>
    </row>
    <row r="437" ht="409.5" customHeight="1">
      <c r="A437" s="6">
        <f>IFERROR(__xludf.DUMMYFUNCTION("""COMPUTED_VALUE"""),"Transcription and translation of DNA")</f>
        <v/>
      </c>
      <c r="B437" s="6">
        <f>IFERROR(__xludf.DUMMYFUNCTION("""COMPUTED_VALUE"""),"Resource")</f>
        <v/>
      </c>
      <c r="C437" s="6">
        <f>IFERROR(__xludf.DUMMYFUNCTION("""COMPUTED_VALUE"""),"Investigation 4.graasp")</f>
        <v/>
      </c>
      <c r="D437" s="7">
        <f>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
      </c>
      <c r="E437" s="7">
        <f>IFERROR(__xludf.DUMMYFUNCTION("""COMPUTED_VALUE"""),"No artifact embedded")</f>
        <v/>
      </c>
      <c r="F437" s="7" t="inlineStr">
        <is>
          <t>Students learn about DNA, translation, and protein synthesis using Golabz app/lab and take notes in an input box.</t>
        </is>
      </c>
      <c r="G437" s="8" t="inlineStr">
        <is>
          <t>1</t>
        </is>
      </c>
      <c r="H437" s="8" t="inlineStr">
        <is>
          <t>0</t>
        </is>
      </c>
      <c r="I437" s="8" t="inlineStr">
        <is>
          <t>0</t>
        </is>
      </c>
      <c r="J437" s="8" t="inlineStr">
        <is>
          <t>0</t>
        </is>
      </c>
      <c r="K437" s="9" t="inlineStr">
        <is>
          <t>1</t>
        </is>
      </c>
      <c r="L437" s="9" t="inlineStr">
        <is>
          <t>0</t>
        </is>
      </c>
      <c r="M437" s="9" t="inlineStr">
        <is>
          <t>0</t>
        </is>
      </c>
      <c r="N437" s="9" t="inlineStr">
        <is>
          <t>0</t>
        </is>
      </c>
      <c r="O437" s="10" t="inlineStr">
        <is>
          <t>1</t>
        </is>
      </c>
      <c r="P437" s="10" t="inlineStr">
        <is>
          <t>0</t>
        </is>
      </c>
      <c r="Q437" s="10" t="inlineStr">
        <is>
          <t>0</t>
        </is>
      </c>
      <c r="R437" s="10" t="inlineStr">
        <is>
          <t>0</t>
        </is>
      </c>
      <c r="S437" s="10" t="inlineStr">
        <is>
          <t>0</t>
        </is>
      </c>
    </row>
    <row r="438" ht="37" customHeight="1">
      <c r="A438" s="6">
        <f>IFERROR(__xludf.DUMMYFUNCTION("""COMPUTED_VALUE"""),"Transcription and translation of DNA")</f>
        <v/>
      </c>
      <c r="B438" s="6">
        <f>IFERROR(__xludf.DUMMYFUNCTION("""COMPUTED_VALUE"""),"Space")</f>
        <v/>
      </c>
      <c r="C438" s="6">
        <f>IFERROR(__xludf.DUMMYFUNCTION("""COMPUTED_VALUE"""),"What have you learned today?")</f>
        <v/>
      </c>
      <c r="D438" s="7">
        <f>IFERROR(__xludf.DUMMYFUNCTION("""COMPUTED_VALUE"""),"&lt;p&gt;Welcome to the Conclusion phase.&lt;/p&gt;")</f>
        <v/>
      </c>
      <c r="E438" s="7">
        <f>IFERROR(__xludf.DUMMYFUNCTION("""COMPUTED_VALUE"""),"No artifact embedded")</f>
        <v/>
      </c>
      <c r="F438" s="7" t="inlineStr">
        <is>
          <t>Students received task descriptions with some items having embedded artifacts, such as the Golabz app/lab for note-taking and collaboration.</t>
        </is>
      </c>
      <c r="G438" s="8" t="inlineStr">
        <is>
          <t>1</t>
        </is>
      </c>
      <c r="H438" s="8" t="inlineStr">
        <is>
          <t>0</t>
        </is>
      </c>
      <c r="I438" s="8" t="inlineStr">
        <is>
          <t>0</t>
        </is>
      </c>
      <c r="J438" s="8" t="inlineStr">
        <is>
          <t>0</t>
        </is>
      </c>
      <c r="K438" s="9" t="inlineStr">
        <is>
          <t>1</t>
        </is>
      </c>
      <c r="L438" s="9" t="inlineStr">
        <is>
          <t>0</t>
        </is>
      </c>
      <c r="M438" s="9" t="inlineStr">
        <is>
          <t>0</t>
        </is>
      </c>
      <c r="N438" s="9" t="inlineStr">
        <is>
          <t>0</t>
        </is>
      </c>
      <c r="O438" s="10" t="inlineStr">
        <is>
          <t>0</t>
        </is>
      </c>
      <c r="P438" s="10" t="inlineStr">
        <is>
          <t>0</t>
        </is>
      </c>
      <c r="Q438" s="10" t="inlineStr">
        <is>
          <t>0</t>
        </is>
      </c>
      <c r="R438" s="10" t="inlineStr">
        <is>
          <t>0</t>
        </is>
      </c>
      <c r="S438" s="10" t="inlineStr">
        <is>
          <t>0</t>
        </is>
      </c>
    </row>
    <row r="439" ht="373" customHeight="1">
      <c r="A439" s="6">
        <f>IFERROR(__xludf.DUMMYFUNCTION("""COMPUTED_VALUE"""),"Transcription and translation of DNA")</f>
        <v/>
      </c>
      <c r="B439" s="6">
        <f>IFERROR(__xludf.DUMMYFUNCTION("""COMPUTED_VALUE"""),"Resource")</f>
        <v/>
      </c>
      <c r="C439" s="6">
        <f>IFERROR(__xludf.DUMMYFUNCTION("""COMPUTED_VALUE"""),"Conclusion.graasp")</f>
        <v/>
      </c>
      <c r="D439" s="7">
        <f>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
      </c>
      <c r="E439" s="7">
        <f>IFERROR(__xludf.DUMMYFUNCTION("""COMPUTED_VALUE"""),"No artifact embedded")</f>
        <v/>
      </c>
      <c r="F439" s="7" t="inlineStr">
        <is>
          <t>Students watched a virtual lab on DNA translation, learned about tRNA and rRNA, and are now asked to reflect on their learnings and write conclusions. No artifacts are embedded.</t>
        </is>
      </c>
      <c r="G439" s="8" t="inlineStr">
        <is>
          <t>0</t>
        </is>
      </c>
      <c r="H439" s="8" t="inlineStr">
        <is>
          <t>0</t>
        </is>
      </c>
      <c r="I439" s="8" t="inlineStr">
        <is>
          <t>1</t>
        </is>
      </c>
      <c r="J439" s="8" t="inlineStr">
        <is>
          <t>1</t>
        </is>
      </c>
      <c r="K439" s="9" t="inlineStr">
        <is>
          <t>0</t>
        </is>
      </c>
      <c r="L439" s="9" t="inlineStr">
        <is>
          <t>1</t>
        </is>
      </c>
      <c r="M439" s="9" t="inlineStr">
        <is>
          <t>0</t>
        </is>
      </c>
      <c r="N439" s="9" t="inlineStr">
        <is>
          <t>0</t>
        </is>
      </c>
      <c r="O439" s="10" t="inlineStr">
        <is>
          <t>0</t>
        </is>
      </c>
      <c r="P439" s="10" t="inlineStr">
        <is>
          <t>0</t>
        </is>
      </c>
      <c r="Q439" s="10" t="inlineStr">
        <is>
          <t>0</t>
        </is>
      </c>
      <c r="R439" s="10" t="inlineStr">
        <is>
          <t>1</t>
        </is>
      </c>
      <c r="S439" s="10" t="inlineStr">
        <is>
          <t>1</t>
        </is>
      </c>
    </row>
    <row r="440" ht="409.5" customHeight="1">
      <c r="A440" s="6">
        <f>IFERROR(__xludf.DUMMYFUNCTION("""COMPUTED_VALUE"""),"Transcription and translation of DNA")</f>
        <v/>
      </c>
      <c r="B440" s="6">
        <f>IFERROR(__xludf.DUMMYFUNCTION("""COMPUTED_VALUE"""),"Application")</f>
        <v/>
      </c>
      <c r="C440" s="6">
        <f>IFERROR(__xludf.DUMMYFUNCTION("""COMPUTED_VALUE"""),"Conclusion Tool")</f>
        <v/>
      </c>
      <c r="D440" s="7">
        <f>IFERROR(__xludf.DUMMYFUNCTION("""COMPUTED_VALUE"""),"No task description")</f>
        <v/>
      </c>
      <c r="E44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440" s="7" t="inlineStr">
        <is>
          <t>Students are instructed to write conclusions based on virtual lab observations. Embedded artifacts include Golabz app/lab for data analysis and hypothesis validation.</t>
        </is>
      </c>
      <c r="G440" s="8" t="inlineStr">
        <is>
          <t>0</t>
        </is>
      </c>
      <c r="H440" s="8" t="inlineStr">
        <is>
          <t>1</t>
        </is>
      </c>
      <c r="I440" s="8" t="inlineStr">
        <is>
          <t>1</t>
        </is>
      </c>
      <c r="J440" s="8" t="inlineStr">
        <is>
          <t>0</t>
        </is>
      </c>
      <c r="K440" s="9" t="inlineStr">
        <is>
          <t>0</t>
        </is>
      </c>
      <c r="L440" s="9" t="inlineStr">
        <is>
          <t>1</t>
        </is>
      </c>
      <c r="M440" s="9" t="inlineStr">
        <is>
          <t>0</t>
        </is>
      </c>
      <c r="N440" s="9" t="inlineStr">
        <is>
          <t>0</t>
        </is>
      </c>
      <c r="O440" s="10" t="inlineStr">
        <is>
          <t>0</t>
        </is>
      </c>
      <c r="P440" s="10" t="inlineStr">
        <is>
          <t>1</t>
        </is>
      </c>
      <c r="Q440" s="10" t="inlineStr">
        <is>
          <t>0</t>
        </is>
      </c>
      <c r="R440" s="10" t="inlineStr">
        <is>
          <t>1</t>
        </is>
      </c>
      <c r="S440" s="10" t="inlineStr">
        <is>
          <t>1</t>
        </is>
      </c>
    </row>
    <row r="441" ht="217" customHeight="1">
      <c r="A441" s="6">
        <f>IFERROR(__xludf.DUMMYFUNCTION("""COMPUTED_VALUE"""),"Transcription and translation of DNA")</f>
        <v/>
      </c>
      <c r="B441" s="6">
        <f>IFERROR(__xludf.DUMMYFUNCTION("""COMPUTED_VALUE"""),"Resource")</f>
        <v/>
      </c>
      <c r="C441" s="6">
        <f>IFERROR(__xludf.DUMMYFUNCTION("""COMPUTED_VALUE"""),"Conclusion1.graasp")</f>
        <v/>
      </c>
      <c r="D441" s="7">
        <f>IFERROR(__xludf.DUMMYFUNCTION("""COMPUTED_VALUE"""),"&lt;table class=""table table-bordered""&gt;&lt;tbody&gt;&lt;tr&gt;&lt;td&gt;&lt;p&gt;Now that the course has been completed, answer the following questions based on what you already know and what you have learned today.&lt;/p&gt;&lt;/td&gt;&lt;/tr&gt;&lt;/tbody&gt;&lt;/table&gt;")</f>
        <v/>
      </c>
      <c r="E441" s="7">
        <f>IFERROR(__xludf.DUMMYFUNCTION("""COMPUTED_VALUE"""),"No artifact embedded")</f>
        <v/>
      </c>
      <c r="F441" s="7" t="inlineStr">
        <is>
          <t>Students reflect on DNA transcription/translation learning using virtual labs, with some tasks having embedded artifacts like Golabz app/lab for hypothesis validation.</t>
        </is>
      </c>
      <c r="G441" s="8" t="inlineStr">
        <is>
          <t>0</t>
        </is>
      </c>
      <c r="H441" s="8" t="inlineStr">
        <is>
          <t>0</t>
        </is>
      </c>
      <c r="I441" s="8" t="inlineStr">
        <is>
          <t>1</t>
        </is>
      </c>
      <c r="J441" s="8" t="inlineStr">
        <is>
          <t>1</t>
        </is>
      </c>
      <c r="K441" s="9" t="inlineStr">
        <is>
          <t>0</t>
        </is>
      </c>
      <c r="L441" s="9" t="inlineStr">
        <is>
          <t>1</t>
        </is>
      </c>
      <c r="M441" s="9" t="inlineStr">
        <is>
          <t>0</t>
        </is>
      </c>
      <c r="N441" s="9" t="inlineStr">
        <is>
          <t>0</t>
        </is>
      </c>
      <c r="O441" s="10" t="inlineStr">
        <is>
          <t>0</t>
        </is>
      </c>
      <c r="P441" s="10" t="inlineStr">
        <is>
          <t>0</t>
        </is>
      </c>
      <c r="Q441" s="10" t="inlineStr">
        <is>
          <t>0</t>
        </is>
      </c>
      <c r="R441" s="10" t="inlineStr">
        <is>
          <t>0</t>
        </is>
      </c>
      <c r="S441" s="10" t="inlineStr">
        <is>
          <t>1</t>
        </is>
      </c>
    </row>
    <row r="442" ht="145" customHeight="1">
      <c r="A442" s="6">
        <f>IFERROR(__xludf.DUMMYFUNCTION("""COMPUTED_VALUE"""),"Transcription and translation of DNA")</f>
        <v/>
      </c>
      <c r="B442" s="6">
        <f>IFERROR(__xludf.DUMMYFUNCTION("""COMPUTED_VALUE"""),"Resource")</f>
        <v/>
      </c>
      <c r="C442" s="6">
        <f>IFERROR(__xludf.DUMMYFUNCTION("""COMPUTED_VALUE"""),"Untitled.png")</f>
        <v/>
      </c>
      <c r="D442" s="7">
        <f>IFERROR(__xludf.DUMMYFUNCTION("""COMPUTED_VALUE"""),"&lt;p&gt;1. The process we learned about today is also known as the 'Central Dogma of Molecular Biology'. Fill in the missing words 1 and 2 in the table below.&lt;/p&gt;")</f>
        <v/>
      </c>
      <c r="E442" s="7">
        <f>IFERROR(__xludf.DUMMYFUNCTION("""COMPUTED_VALUE"""),"image/png – A high-quality image with support for transparency, often used in design and web applications.")</f>
        <v/>
      </c>
      <c r="F442" s="7" t="inlineStr">
        <is>
          <t>Students received tasks with varying instructions and embedded artifacts, including an app, questions, and an image.</t>
        </is>
      </c>
      <c r="G442" s="8" t="inlineStr">
        <is>
          <t>0</t>
        </is>
      </c>
      <c r="H442" s="8" t="inlineStr">
        <is>
          <t>0</t>
        </is>
      </c>
      <c r="I442" s="8" t="inlineStr">
        <is>
          <t>1</t>
        </is>
      </c>
      <c r="J442" s="8" t="inlineStr">
        <is>
          <t>1</t>
        </is>
      </c>
      <c r="K442" s="9" t="inlineStr">
        <is>
          <t>0</t>
        </is>
      </c>
      <c r="L442" s="9" t="inlineStr">
        <is>
          <t>1</t>
        </is>
      </c>
      <c r="M442" s="9" t="inlineStr">
        <is>
          <t>0</t>
        </is>
      </c>
      <c r="N442" s="9" t="inlineStr">
        <is>
          <t>0</t>
        </is>
      </c>
      <c r="O442" s="10" t="inlineStr">
        <is>
          <t>0</t>
        </is>
      </c>
      <c r="P442" s="10" t="inlineStr">
        <is>
          <t>0</t>
        </is>
      </c>
      <c r="Q442" s="10" t="inlineStr">
        <is>
          <t>0</t>
        </is>
      </c>
      <c r="R442" s="10" t="inlineStr">
        <is>
          <t>0</t>
        </is>
      </c>
      <c r="S442" s="10" t="inlineStr">
        <is>
          <t>0</t>
        </is>
      </c>
    </row>
    <row r="443" ht="409.5" customHeight="1">
      <c r="A443" s="6">
        <f>IFERROR(__xludf.DUMMYFUNCTION("""COMPUTED_VALUE"""),"Transcription and translation of DNA")</f>
        <v/>
      </c>
      <c r="B443" s="6">
        <f>IFERROR(__xludf.DUMMYFUNCTION("""COMPUTED_VALUE"""),"Application")</f>
        <v/>
      </c>
      <c r="C443" s="6">
        <f>IFERROR(__xludf.DUMMYFUNCTION("""COMPUTED_VALUE"""),"Table Tool")</f>
        <v/>
      </c>
      <c r="D443" s="7">
        <f>IFERROR(__xludf.DUMMYFUNCTION("""COMPUTED_VALUE"""),"No task description")</f>
        <v/>
      </c>
      <c r="E44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43" s="7" t="inlineStr">
        <is>
          <t>Students complete tasks based on course knowledge. Embedded artifacts include an image and a table tool in the Golabz app/lab.</t>
        </is>
      </c>
      <c r="G443" s="8" t="inlineStr">
        <is>
          <t>0</t>
        </is>
      </c>
      <c r="H443" s="8" t="inlineStr">
        <is>
          <t>1</t>
        </is>
      </c>
      <c r="I443" s="8" t="inlineStr">
        <is>
          <t>1</t>
        </is>
      </c>
      <c r="J443" s="8" t="inlineStr">
        <is>
          <t>0</t>
        </is>
      </c>
      <c r="K443" s="9" t="inlineStr">
        <is>
          <t>0</t>
        </is>
      </c>
      <c r="L443" s="9" t="inlineStr">
        <is>
          <t>1</t>
        </is>
      </c>
      <c r="M443" s="9" t="inlineStr">
        <is>
          <t>1</t>
        </is>
      </c>
      <c r="N443" s="9" t="inlineStr">
        <is>
          <t>1</t>
        </is>
      </c>
      <c r="O443" s="10" t="inlineStr">
        <is>
          <t>0</t>
        </is>
      </c>
      <c r="P443" s="10" t="inlineStr">
        <is>
          <t>0</t>
        </is>
      </c>
      <c r="Q443" s="10" t="inlineStr">
        <is>
          <t>0</t>
        </is>
      </c>
      <c r="R443" s="10" t="inlineStr">
        <is>
          <t>0</t>
        </is>
      </c>
      <c r="S443" s="10" t="inlineStr">
        <is>
          <t>0</t>
        </is>
      </c>
    </row>
    <row r="444" ht="296" customHeight="1">
      <c r="A444" s="6">
        <f>IFERROR(__xludf.DUMMYFUNCTION("""COMPUTED_VALUE"""),"Transcription and translation of DNA")</f>
        <v/>
      </c>
      <c r="B444" s="6">
        <f>IFERROR(__xludf.DUMMYFUNCTION("""COMPUTED_VALUE"""),"Resource")</f>
        <v/>
      </c>
      <c r="C444" s="6">
        <f>IFERROR(__xludf.DUMMYFUNCTION("""COMPUTED_VALUE"""),"Conclusion2.graasp")</f>
        <v/>
      </c>
      <c r="D444" s="7">
        <f>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
      </c>
      <c r="E444" s="7">
        <f>IFERROR(__xludf.DUMMYFUNCTION("""COMPUTED_VALUE"""),"No artifact embedded")</f>
        <v/>
      </c>
      <c r="F444" s="7" t="inlineStr">
        <is>
          <t>Students fill tables and justify cell differentiation using the Central Dogma of Molecular Biology, with embedded images and interactive table tools.</t>
        </is>
      </c>
      <c r="G444" s="8" t="inlineStr">
        <is>
          <t>0</t>
        </is>
      </c>
      <c r="H444" s="8" t="inlineStr">
        <is>
          <t>0</t>
        </is>
      </c>
      <c r="I444" s="8" t="inlineStr">
        <is>
          <t>1</t>
        </is>
      </c>
      <c r="J444" s="8" t="inlineStr">
        <is>
          <t>1</t>
        </is>
      </c>
      <c r="K444" s="9" t="inlineStr">
        <is>
          <t>0</t>
        </is>
      </c>
      <c r="L444" s="9" t="inlineStr">
        <is>
          <t>1</t>
        </is>
      </c>
      <c r="M444" s="9" t="inlineStr">
        <is>
          <t>0</t>
        </is>
      </c>
      <c r="N444" s="9" t="inlineStr">
        <is>
          <t>0</t>
        </is>
      </c>
      <c r="O444" s="10" t="inlineStr">
        <is>
          <t>1</t>
        </is>
      </c>
      <c r="P444" s="10" t="inlineStr">
        <is>
          <t>1</t>
        </is>
      </c>
      <c r="Q444" s="10" t="inlineStr">
        <is>
          <t>0</t>
        </is>
      </c>
      <c r="R444" s="10" t="inlineStr">
        <is>
          <t>1</t>
        </is>
      </c>
      <c r="S444" s="10" t="inlineStr">
        <is>
          <t>0</t>
        </is>
      </c>
    </row>
    <row r="445" ht="329" customHeight="1">
      <c r="A445" s="6">
        <f>IFERROR(__xludf.DUMMYFUNCTION("""COMPUTED_VALUE"""),"Transcription and translation of DNA")</f>
        <v/>
      </c>
      <c r="B445" s="6">
        <f>IFERROR(__xludf.DUMMYFUNCTION("""COMPUTED_VALUE"""),"Application")</f>
        <v/>
      </c>
      <c r="C445" s="6">
        <f>IFERROR(__xludf.DUMMYFUNCTION("""COMPUTED_VALUE"""),"Input Box")</f>
        <v/>
      </c>
      <c r="D445" s="7">
        <f>IFERROR(__xludf.DUMMYFUNCTION("""COMPUTED_VALUE"""),"No task description")</f>
        <v/>
      </c>
      <c r="E4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45" s="7" t="inlineStr">
        <is>
          <t>Students receive task descriptions and use Golabz apps like Table tool and Input box with optional collaboration mode.</t>
        </is>
      </c>
      <c r="G445" s="8" t="inlineStr">
        <is>
          <t>0</t>
        </is>
      </c>
      <c r="H445" s="8" t="inlineStr">
        <is>
          <t>1</t>
        </is>
      </c>
      <c r="I445" s="8" t="inlineStr">
        <is>
          <t>1</t>
        </is>
      </c>
      <c r="J445" s="8" t="inlineStr">
        <is>
          <t>1</t>
        </is>
      </c>
      <c r="K445" s="9" t="inlineStr">
        <is>
          <t>0</t>
        </is>
      </c>
      <c r="L445" s="9" t="inlineStr">
        <is>
          <t>1</t>
        </is>
      </c>
      <c r="M445" s="9" t="inlineStr">
        <is>
          <t>0</t>
        </is>
      </c>
      <c r="N445" s="9" t="inlineStr">
        <is>
          <t>0</t>
        </is>
      </c>
      <c r="O445" s="10" t="inlineStr">
        <is>
          <t>0</t>
        </is>
      </c>
      <c r="P445" s="10" t="inlineStr">
        <is>
          <t>0</t>
        </is>
      </c>
      <c r="Q445" s="10" t="inlineStr">
        <is>
          <t>0</t>
        </is>
      </c>
      <c r="R445" s="10" t="inlineStr">
        <is>
          <t>0</t>
        </is>
      </c>
      <c r="S445" s="10" t="inlineStr">
        <is>
          <t>1</t>
        </is>
      </c>
    </row>
    <row r="446" ht="193" customHeight="1">
      <c r="A446" s="6">
        <f>IFERROR(__xludf.DUMMYFUNCTION("""COMPUTED_VALUE"""),"Transcription and translation of DNA")</f>
        <v/>
      </c>
      <c r="B446" s="6">
        <f>IFERROR(__xludf.DUMMYFUNCTION("""COMPUTED_VALUE"""),"Resource")</f>
        <v/>
      </c>
      <c r="C446" s="6">
        <f>IFERROR(__xludf.DUMMYFUNCTION("""COMPUTED_VALUE"""),"Conclusion3.graasp")</f>
        <v/>
      </c>
      <c r="D446" s="7">
        <f>IFERROR(__xludf.DUMMYFUNCTION("""COMPUTED_VALUE"""),"&lt;table class=""table table-bordered""&gt;&lt;tbody&gt;&lt;tr&gt;&lt;td&gt;&lt;p&gt;Congratulations, you have succeeded in completing the course! You can now proceed to the last phase of the course.&lt;/p&gt;&lt;/td&gt;&lt;/tr&gt;&lt;/tbody&gt;&lt;/table&gt;")</f>
        <v/>
      </c>
      <c r="E446" s="7">
        <f>IFERROR(__xludf.DUMMYFUNCTION("""COMPUTED_VALUE"""),"No artifact embedded")</f>
        <v/>
      </c>
      <c r="F446" s="7" t="inlineStr">
        <is>
          <t>Students are instructed to justify cellular differentiation using the central dogma. Embedded artifacts include a note-taking app and collaboration tool.</t>
        </is>
      </c>
      <c r="G446" s="8" t="inlineStr">
        <is>
          <t>1</t>
        </is>
      </c>
      <c r="H446" s="8" t="inlineStr">
        <is>
          <t>0</t>
        </is>
      </c>
      <c r="I446" s="8" t="inlineStr">
        <is>
          <t>0</t>
        </is>
      </c>
      <c r="J446" s="8" t="inlineStr">
        <is>
          <t>0</t>
        </is>
      </c>
      <c r="K446" s="9" t="inlineStr">
        <is>
          <t>1</t>
        </is>
      </c>
      <c r="L446" s="9" t="inlineStr">
        <is>
          <t>0</t>
        </is>
      </c>
      <c r="M446" s="9" t="inlineStr">
        <is>
          <t>0</t>
        </is>
      </c>
      <c r="N446" s="9" t="inlineStr">
        <is>
          <t>0</t>
        </is>
      </c>
      <c r="O446" s="10" t="inlineStr">
        <is>
          <t>0</t>
        </is>
      </c>
      <c r="P446" s="10" t="inlineStr">
        <is>
          <t>0</t>
        </is>
      </c>
      <c r="Q446" s="10" t="inlineStr">
        <is>
          <t>0</t>
        </is>
      </c>
      <c r="R446" s="10" t="inlineStr">
        <is>
          <t>0</t>
        </is>
      </c>
      <c r="S446" s="10" t="inlineStr">
        <is>
          <t>0</t>
        </is>
      </c>
    </row>
    <row r="447" ht="49" customHeight="1">
      <c r="A447" s="6">
        <f>IFERROR(__xludf.DUMMYFUNCTION("""COMPUTED_VALUE"""),"Transcription and translation of DNA")</f>
        <v/>
      </c>
      <c r="B447" s="6">
        <f>IFERROR(__xludf.DUMMYFUNCTION("""COMPUTED_VALUE"""),"Space")</f>
        <v/>
      </c>
      <c r="C447" s="6">
        <f>IFERROR(__xludf.DUMMYFUNCTION("""COMPUTED_VALUE"""),"Reflection")</f>
        <v/>
      </c>
      <c r="D447" s="7">
        <f>IFERROR(__xludf.DUMMYFUNCTION("""COMPUTED_VALUE"""),"&lt;p&gt;The phase of Reflection is the last phase of the lesson.&lt;/p&gt;")</f>
        <v/>
      </c>
      <c r="E447" s="7">
        <f>IFERROR(__xludf.DUMMYFUNCTION("""COMPUTED_VALUE"""),"No artifact embedded")</f>
        <v/>
      </c>
      <c r="F447" s="7" t="inlineStr">
        <is>
          <t>Students received tasks and used Golabz app/lab for note-taking, with optional collaboration mode.</t>
        </is>
      </c>
      <c r="G447" s="8" t="inlineStr">
        <is>
          <t>1</t>
        </is>
      </c>
      <c r="H447" s="8" t="inlineStr">
        <is>
          <t>0</t>
        </is>
      </c>
      <c r="I447" s="8" t="inlineStr">
        <is>
          <t>0</t>
        </is>
      </c>
      <c r="J447" s="8" t="inlineStr">
        <is>
          <t>0</t>
        </is>
      </c>
      <c r="K447" s="9" t="inlineStr">
        <is>
          <t>1</t>
        </is>
      </c>
      <c r="L447" s="9" t="inlineStr">
        <is>
          <t>0</t>
        </is>
      </c>
      <c r="M447" s="9" t="inlineStr">
        <is>
          <t>0</t>
        </is>
      </c>
      <c r="N447" s="9" t="inlineStr">
        <is>
          <t>0</t>
        </is>
      </c>
      <c r="O447" s="10" t="inlineStr">
        <is>
          <t>0</t>
        </is>
      </c>
      <c r="P447" s="10" t="inlineStr">
        <is>
          <t>0</t>
        </is>
      </c>
      <c r="Q447" s="10" t="inlineStr">
        <is>
          <t>0</t>
        </is>
      </c>
      <c r="R447" s="10" t="inlineStr">
        <is>
          <t>0</t>
        </is>
      </c>
      <c r="S447" s="10" t="inlineStr">
        <is>
          <t>1</t>
        </is>
      </c>
    </row>
    <row r="448" ht="307" customHeight="1">
      <c r="A448" s="6">
        <f>IFERROR(__xludf.DUMMYFUNCTION("""COMPUTED_VALUE"""),"Transcription and translation of DNA")</f>
        <v/>
      </c>
      <c r="B448" s="6">
        <f>IFERROR(__xludf.DUMMYFUNCTION("""COMPUTED_VALUE"""),"Resource")</f>
        <v/>
      </c>
      <c r="C448" s="6">
        <f>IFERROR(__xludf.DUMMYFUNCTION("""COMPUTED_VALUE"""),"Reflection.graasp")</f>
        <v/>
      </c>
      <c r="D448" s="7">
        <f>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
      </c>
      <c r="E448" s="7">
        <f>IFERROR(__xludf.DUMMYFUNCTION("""COMPUTED_VALUE"""),"No artifact embedded")</f>
        <v/>
      </c>
      <c r="F448" s="7" t="inlineStr">
        <is>
          <t>Students are instructed to reflect on course completion, with a 5-point agreement scale provided for evaluation, and no artifacts embedded in the items.</t>
        </is>
      </c>
      <c r="G448" s="8" t="inlineStr">
        <is>
          <t>0</t>
        </is>
      </c>
      <c r="H448" s="8" t="inlineStr">
        <is>
          <t>0</t>
        </is>
      </c>
      <c r="I448" s="8" t="inlineStr">
        <is>
          <t>0</t>
        </is>
      </c>
      <c r="J448" s="8" t="inlineStr">
        <is>
          <t>1</t>
        </is>
      </c>
      <c r="K448" s="9" t="inlineStr">
        <is>
          <t>1</t>
        </is>
      </c>
      <c r="L448" s="9" t="inlineStr">
        <is>
          <t>0</t>
        </is>
      </c>
      <c r="M448" s="9" t="inlineStr">
        <is>
          <t>0</t>
        </is>
      </c>
      <c r="N448" s="9" t="inlineStr">
        <is>
          <t>0</t>
        </is>
      </c>
      <c r="O448" s="10" t="inlineStr">
        <is>
          <t>0</t>
        </is>
      </c>
      <c r="P448" s="10" t="inlineStr">
        <is>
          <t>0</t>
        </is>
      </c>
      <c r="Q448" s="10" t="inlineStr">
        <is>
          <t>0</t>
        </is>
      </c>
      <c r="R448" s="10" t="inlineStr">
        <is>
          <t>0</t>
        </is>
      </c>
      <c r="S448" s="10" t="inlineStr">
        <is>
          <t>1</t>
        </is>
      </c>
    </row>
    <row r="449" ht="241" customHeight="1">
      <c r="A449" s="6">
        <f>IFERROR(__xludf.DUMMYFUNCTION("""COMPUTED_VALUE"""),"Transcription and translation of DNA")</f>
        <v/>
      </c>
      <c r="B449" s="6">
        <f>IFERROR(__xludf.DUMMYFUNCTION("""COMPUTED_VALUE"""),"Application")</f>
        <v/>
      </c>
      <c r="C449" s="6">
        <f>IFERROR(__xludf.DUMMYFUNCTION("""COMPUTED_VALUE"""),"New questionnaire app")</f>
        <v/>
      </c>
      <c r="D449" s="7">
        <f>IFERROR(__xludf.DUMMYFUNCTION("""COMPUTED_VALUE"""),"&lt;p&gt;Reflection&lt;/p&gt;")</f>
        <v/>
      </c>
      <c r="E44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449" s="7" t="inlineStr">
        <is>
          <t>Students reflect on statements using a 5-point scale; no artifacts are embedded in Items 1 and 2, while Item 3 uses the Golabz app/lab.</t>
        </is>
      </c>
      <c r="G449" s="8" t="inlineStr">
        <is>
          <t>0</t>
        </is>
      </c>
      <c r="H449" s="8" t="inlineStr">
        <is>
          <t>0</t>
        </is>
      </c>
      <c r="I449" s="8" t="inlineStr">
        <is>
          <t>1</t>
        </is>
      </c>
      <c r="J449" s="8" t="inlineStr">
        <is>
          <t>1</t>
        </is>
      </c>
      <c r="K449" s="9" t="inlineStr">
        <is>
          <t>0</t>
        </is>
      </c>
      <c r="L449" s="9" t="inlineStr">
        <is>
          <t>1</t>
        </is>
      </c>
      <c r="M449" s="9" t="inlineStr">
        <is>
          <t>0</t>
        </is>
      </c>
      <c r="N449" s="9" t="inlineStr">
        <is>
          <t>0</t>
        </is>
      </c>
      <c r="O449" s="10" t="inlineStr">
        <is>
          <t>0</t>
        </is>
      </c>
      <c r="P449" s="10" t="inlineStr">
        <is>
          <t>0</t>
        </is>
      </c>
      <c r="Q449" s="10" t="inlineStr">
        <is>
          <t>0</t>
        </is>
      </c>
      <c r="R449" s="10" t="inlineStr">
        <is>
          <t>0</t>
        </is>
      </c>
      <c r="S449" s="10" t="inlineStr">
        <is>
          <t>1</t>
        </is>
      </c>
    </row>
    <row r="450" ht="37" customHeight="1">
      <c r="A450" s="6">
        <f>IFERROR(__xludf.DUMMYFUNCTION("""COMPUTED_VALUE"""),"Scenario: Basic scenario")</f>
        <v/>
      </c>
      <c r="B450" s="6">
        <f>IFERROR(__xludf.DUMMYFUNCTION("""COMPUTED_VALUE"""),"Space")</f>
        <v/>
      </c>
      <c r="C450" s="6">
        <f>IFERROR(__xludf.DUMMYFUNCTION("""COMPUTED_VALUE"""),"Orientation")</f>
        <v/>
      </c>
      <c r="D450" s="7">
        <f>IFERROR(__xludf.DUMMYFUNCTION("""COMPUTED_VALUE"""),"&lt;p&gt;This is the Orientation phase.&lt;/p&gt;")</f>
        <v/>
      </c>
      <c r="E450" s="7">
        <f>IFERROR(__xludf.DUMMYFUNCTION("""COMPUTED_VALUE"""),"No artifact embedded")</f>
        <v/>
      </c>
      <c r="F450" s="7" t="inlineStr">
        <is>
          <t>Students reflect on statements using a 5-point scale. Embedded artifacts include Golabz app/lab with questionnaire features in Item2.</t>
        </is>
      </c>
      <c r="G450" s="8" t="inlineStr">
        <is>
          <t>1</t>
        </is>
      </c>
      <c r="H450" s="8" t="inlineStr">
        <is>
          <t>0</t>
        </is>
      </c>
      <c r="I450" s="8" t="inlineStr">
        <is>
          <t>0</t>
        </is>
      </c>
      <c r="J450" s="8" t="inlineStr">
        <is>
          <t>0</t>
        </is>
      </c>
      <c r="K450" s="9" t="inlineStr">
        <is>
          <t>1</t>
        </is>
      </c>
      <c r="L450" s="9" t="inlineStr">
        <is>
          <t>0</t>
        </is>
      </c>
      <c r="M450" s="9" t="inlineStr">
        <is>
          <t>0</t>
        </is>
      </c>
      <c r="N450" s="9" t="inlineStr">
        <is>
          <t>0</t>
        </is>
      </c>
      <c r="O450" s="10" t="inlineStr">
        <is>
          <t>0</t>
        </is>
      </c>
      <c r="P450" s="10" t="inlineStr">
        <is>
          <t>0</t>
        </is>
      </c>
      <c r="Q450" s="10" t="inlineStr">
        <is>
          <t>0</t>
        </is>
      </c>
      <c r="R450" s="10" t="inlineStr">
        <is>
          <t>0</t>
        </is>
      </c>
      <c r="S450" s="10" t="inlineStr">
        <is>
          <t>0</t>
        </is>
      </c>
    </row>
    <row r="451" ht="37" customHeight="1">
      <c r="A451" s="6">
        <f>IFERROR(__xludf.DUMMYFUNCTION("""COMPUTED_VALUE"""),"Scenario: Basic scenario")</f>
        <v/>
      </c>
      <c r="B451" s="6">
        <f>IFERROR(__xludf.DUMMYFUNCTION("""COMPUTED_VALUE"""),"Space")</f>
        <v/>
      </c>
      <c r="C451" s="6">
        <f>IFERROR(__xludf.DUMMYFUNCTION("""COMPUTED_VALUE"""),"Conceptualisation")</f>
        <v/>
      </c>
      <c r="D451" s="7">
        <f>IFERROR(__xludf.DUMMYFUNCTION("""COMPUTED_VALUE"""),"&lt;p&gt;This is the Conceptualisation phase.&lt;/p&gt;")</f>
        <v/>
      </c>
      <c r="E451" s="7">
        <f>IFERROR(__xludf.DUMMYFUNCTION("""COMPUTED_VALUE"""),"No artifact embedded")</f>
        <v/>
      </c>
      <c r="F451" s="7" t="inlineStr">
        <is>
          <t>Students received task descriptions for Reflection, Orientation, and Conceptualisation phases, with Golabz app/lab as an embedded artifact in Reflection.</t>
        </is>
      </c>
      <c r="G451" s="8" t="inlineStr">
        <is>
          <t>0</t>
        </is>
      </c>
      <c r="H451" s="8" t="inlineStr">
        <is>
          <t>0</t>
        </is>
      </c>
      <c r="I451" s="8" t="inlineStr">
        <is>
          <t>0</t>
        </is>
      </c>
      <c r="J451" s="8" t="inlineStr">
        <is>
          <t>0</t>
        </is>
      </c>
      <c r="K451" s="9" t="inlineStr">
        <is>
          <t>1</t>
        </is>
      </c>
      <c r="L451" s="9" t="inlineStr">
        <is>
          <t>0</t>
        </is>
      </c>
      <c r="M451" s="9" t="inlineStr">
        <is>
          <t>0</t>
        </is>
      </c>
      <c r="N451" s="9" t="inlineStr">
        <is>
          <t>0</t>
        </is>
      </c>
      <c r="O451" s="10" t="inlineStr">
        <is>
          <t>0</t>
        </is>
      </c>
      <c r="P451" s="10" t="inlineStr">
        <is>
          <t>0</t>
        </is>
      </c>
      <c r="Q451" s="10" t="inlineStr">
        <is>
          <t>0</t>
        </is>
      </c>
      <c r="R451" s="10" t="inlineStr">
        <is>
          <t>0</t>
        </is>
      </c>
      <c r="S451" s="10" t="inlineStr">
        <is>
          <t>0</t>
        </is>
      </c>
    </row>
    <row r="452" ht="37" customHeight="1">
      <c r="A452" s="6">
        <f>IFERROR(__xludf.DUMMYFUNCTION("""COMPUTED_VALUE"""),"Scenario: Basic scenario")</f>
        <v/>
      </c>
      <c r="B452" s="6">
        <f>IFERROR(__xludf.DUMMYFUNCTION("""COMPUTED_VALUE"""),"Space")</f>
        <v/>
      </c>
      <c r="C452" s="6">
        <f>IFERROR(__xludf.DUMMYFUNCTION("""COMPUTED_VALUE"""),"Investigation")</f>
        <v/>
      </c>
      <c r="D452" s="7">
        <f>IFERROR(__xludf.DUMMYFUNCTION("""COMPUTED_VALUE"""),"&lt;p&gt;This is the Investigation phase.&lt;/p&gt;")</f>
        <v/>
      </c>
      <c r="E452" s="7">
        <f>IFERROR(__xludf.DUMMYFUNCTION("""COMPUTED_VALUE"""),"No artifact embedded")</f>
        <v/>
      </c>
      <c r="F452" s="7" t="inlineStr">
        <is>
          <t>Students are instructed to complete three phases: Orientation, Conceptualisation, and Investigation. No artifacts are embedded in any phase.</t>
        </is>
      </c>
      <c r="G452" s="8" t="inlineStr">
        <is>
          <t>0</t>
        </is>
      </c>
      <c r="H452" s="8" t="inlineStr">
        <is>
          <t>0</t>
        </is>
      </c>
      <c r="I452" s="8" t="inlineStr">
        <is>
          <t>0</t>
        </is>
      </c>
      <c r="J452" s="8" t="inlineStr">
        <is>
          <t>0</t>
        </is>
      </c>
      <c r="K452" s="9" t="inlineStr">
        <is>
          <t>1</t>
        </is>
      </c>
      <c r="L452" s="9" t="inlineStr">
        <is>
          <t>0</t>
        </is>
      </c>
      <c r="M452" s="9" t="inlineStr">
        <is>
          <t>0</t>
        </is>
      </c>
      <c r="N452" s="9" t="inlineStr">
        <is>
          <t>0</t>
        </is>
      </c>
      <c r="O452" s="10" t="inlineStr">
        <is>
          <t>0</t>
        </is>
      </c>
      <c r="P452" s="10" t="inlineStr">
        <is>
          <t>0</t>
        </is>
      </c>
      <c r="Q452" s="10" t="inlineStr">
        <is>
          <t>0</t>
        </is>
      </c>
      <c r="R452" s="10" t="inlineStr">
        <is>
          <t>0</t>
        </is>
      </c>
      <c r="S452" s="10" t="inlineStr">
        <is>
          <t>0</t>
        </is>
      </c>
    </row>
    <row r="453" ht="37" customHeight="1">
      <c r="A453" s="6">
        <f>IFERROR(__xludf.DUMMYFUNCTION("""COMPUTED_VALUE"""),"Scenario: Basic scenario")</f>
        <v/>
      </c>
      <c r="B453" s="6">
        <f>IFERROR(__xludf.DUMMYFUNCTION("""COMPUTED_VALUE"""),"Space")</f>
        <v/>
      </c>
      <c r="C453" s="6">
        <f>IFERROR(__xludf.DUMMYFUNCTION("""COMPUTED_VALUE"""),"Conclusion")</f>
        <v/>
      </c>
      <c r="D453" s="7">
        <f>IFERROR(__xludf.DUMMYFUNCTION("""COMPUTED_VALUE"""),"&lt;p&gt;This is the Conclusion phase.&lt;/p&gt;")</f>
        <v/>
      </c>
      <c r="E453" s="7">
        <f>IFERROR(__xludf.DUMMYFUNCTION("""COMPUTED_VALUE"""),"No artifact embedded")</f>
        <v/>
      </c>
      <c r="F453" s="7" t="inlineStr">
        <is>
          <t>Students follow phases: Conceptualisation, Investigation, and Conclusion. No artifacts are embedded in any phase.</t>
        </is>
      </c>
      <c r="G453" s="8" t="inlineStr">
        <is>
          <t>0</t>
        </is>
      </c>
      <c r="H453" s="8" t="inlineStr">
        <is>
          <t>0</t>
        </is>
      </c>
      <c r="I453" s="8" t="inlineStr">
        <is>
          <t>0</t>
        </is>
      </c>
      <c r="J453" s="8" t="inlineStr">
        <is>
          <t>0</t>
        </is>
      </c>
      <c r="K453" s="9" t="inlineStr">
        <is>
          <t>1</t>
        </is>
      </c>
      <c r="L453" s="9" t="inlineStr">
        <is>
          <t>0</t>
        </is>
      </c>
      <c r="M453" s="9" t="inlineStr">
        <is>
          <t>0</t>
        </is>
      </c>
      <c r="N453" s="9" t="inlineStr">
        <is>
          <t>0</t>
        </is>
      </c>
      <c r="O453" s="10" t="inlineStr">
        <is>
          <t>0</t>
        </is>
      </c>
      <c r="P453" s="10" t="inlineStr">
        <is>
          <t>0</t>
        </is>
      </c>
      <c r="Q453" s="10" t="inlineStr">
        <is>
          <t>0</t>
        </is>
      </c>
      <c r="R453" s="10" t="inlineStr">
        <is>
          <t>0</t>
        </is>
      </c>
      <c r="S453" s="10" t="inlineStr">
        <is>
          <t>0</t>
        </is>
      </c>
    </row>
    <row r="454" ht="37" customHeight="1">
      <c r="A454" s="6">
        <f>IFERROR(__xludf.DUMMYFUNCTION("""COMPUTED_VALUE"""),"Scenario: Basic scenario")</f>
        <v/>
      </c>
      <c r="B454" s="6">
        <f>IFERROR(__xludf.DUMMYFUNCTION("""COMPUTED_VALUE"""),"Space")</f>
        <v/>
      </c>
      <c r="C454" s="6">
        <f>IFERROR(__xludf.DUMMYFUNCTION("""COMPUTED_VALUE"""),"Discussion")</f>
        <v/>
      </c>
      <c r="D454" s="7">
        <f>IFERROR(__xludf.DUMMYFUNCTION("""COMPUTED_VALUE"""),"&lt;p&gt;This is the Discussion phase.&lt;/p&gt;")</f>
        <v/>
      </c>
      <c r="E454" s="7">
        <f>IFERROR(__xludf.DUMMYFUNCTION("""COMPUTED_VALUE"""),"No artifact embedded")</f>
        <v/>
      </c>
      <c r="F454" s="7" t="inlineStr">
        <is>
          <t>Students are guided through Investigation, Conclusion, and Discussion phases with no artifacts embedded.</t>
        </is>
      </c>
      <c r="G454" s="8" t="inlineStr">
        <is>
          <t>0</t>
        </is>
      </c>
      <c r="H454" s="8" t="inlineStr">
        <is>
          <t>0</t>
        </is>
      </c>
      <c r="I454" s="8" t="inlineStr">
        <is>
          <t>0</t>
        </is>
      </c>
      <c r="J454" s="8" t="inlineStr">
        <is>
          <t>0</t>
        </is>
      </c>
      <c r="K454" s="9" t="inlineStr">
        <is>
          <t>1</t>
        </is>
      </c>
      <c r="L454" s="9" t="inlineStr">
        <is>
          <t>0</t>
        </is>
      </c>
      <c r="M454" s="9" t="inlineStr">
        <is>
          <t>1</t>
        </is>
      </c>
      <c r="N454" s="9" t="inlineStr">
        <is>
          <t>0</t>
        </is>
      </c>
      <c r="O454" s="10" t="inlineStr">
        <is>
          <t>0</t>
        </is>
      </c>
      <c r="P454" s="10" t="inlineStr">
        <is>
          <t>0</t>
        </is>
      </c>
      <c r="Q454" s="10" t="inlineStr">
        <is>
          <t>0</t>
        </is>
      </c>
      <c r="R454" s="10" t="inlineStr">
        <is>
          <t>0</t>
        </is>
      </c>
      <c r="S454" s="10" t="inlineStr">
        <is>
          <t>0</t>
        </is>
      </c>
    </row>
    <row r="455" ht="37" customHeight="1">
      <c r="A455" s="6">
        <f>IFERROR(__xludf.DUMMYFUNCTION("""COMPUTED_VALUE"""),"double quotes")</f>
        <v/>
      </c>
      <c r="B455" s="6">
        <f>IFERROR(__xludf.DUMMYFUNCTION("""COMPUTED_VALUE"""),"Space")</f>
        <v/>
      </c>
      <c r="C455" s="6">
        <f>IFERROR(__xludf.DUMMYFUNCTION("""COMPUTED_VALUE"""),"Orientation")</f>
        <v/>
      </c>
      <c r="D455" s="7">
        <f>IFERROR(__xludf.DUMMYFUNCTION("""COMPUTED_VALUE"""),"&lt;p&gt;This is the Orientation phase.&lt;/p&gt;")</f>
        <v/>
      </c>
      <c r="E455" s="7">
        <f>IFERROR(__xludf.DUMMYFUNCTION("""COMPUTED_VALUE"""),"No artifact embedded")</f>
        <v/>
      </c>
      <c r="F455" s="7" t="inlineStr">
        <is>
          <t>Students received instructions for three phases: Conclusion, Discussion, and Orientation, with no artifacts embedded.</t>
        </is>
      </c>
      <c r="G455" s="8" t="inlineStr">
        <is>
          <t>0</t>
        </is>
      </c>
      <c r="H455" s="8" t="inlineStr">
        <is>
          <t>0</t>
        </is>
      </c>
      <c r="I455" s="8" t="inlineStr">
        <is>
          <t>0</t>
        </is>
      </c>
      <c r="J455" s="8" t="inlineStr">
        <is>
          <t>0</t>
        </is>
      </c>
      <c r="K455" s="9" t="inlineStr">
        <is>
          <t>1</t>
        </is>
      </c>
      <c r="L455" s="9" t="inlineStr">
        <is>
          <t>0</t>
        </is>
      </c>
      <c r="M455" s="9" t="inlineStr">
        <is>
          <t>0</t>
        </is>
      </c>
      <c r="N455" s="9" t="inlineStr">
        <is>
          <t>0</t>
        </is>
      </c>
      <c r="O455" s="10" t="inlineStr">
        <is>
          <t>0</t>
        </is>
      </c>
      <c r="P455" s="10" t="inlineStr">
        <is>
          <t>0</t>
        </is>
      </c>
      <c r="Q455" s="10" t="inlineStr">
        <is>
          <t>0</t>
        </is>
      </c>
      <c r="R455" s="10" t="inlineStr">
        <is>
          <t>0</t>
        </is>
      </c>
      <c r="S455" s="10" t="inlineStr">
        <is>
          <t>0</t>
        </is>
      </c>
    </row>
    <row r="456" ht="49" customHeight="1">
      <c r="A456" s="6">
        <f>IFERROR(__xludf.DUMMYFUNCTION("""COMPUTED_VALUE"""),"double quotes")</f>
        <v/>
      </c>
      <c r="B456" s="6">
        <f>IFERROR(__xludf.DUMMYFUNCTION("""COMPUTED_VALUE"""),"Application")</f>
        <v/>
      </c>
      <c r="C456" s="6">
        <f>IFERROR(__xludf.DUMMYFUNCTION("""COMPUTED_VALUE"""),"res editor")</f>
        <v/>
      </c>
      <c r="D456" s="7">
        <f>IFERROR(__xludf.DUMMYFUNCTION("""COMPUTED_VALUE"""),"No task description")</f>
        <v/>
      </c>
      <c r="E456" s="7">
        <f>IFERROR(__xludf.DUMMYFUNCTION("""COMPUTED_VALUE"""),"Golabz app/lab: No description available for this application")</f>
        <v/>
      </c>
      <c r="F456" s="7" t="inlineStr">
        <is>
          <t>Students received instructions for Discussion, Orientation, and no task. Artifacts included none and the Golabz app/lab.</t>
        </is>
      </c>
      <c r="G456" s="8" t="inlineStr">
        <is>
          <t>0</t>
        </is>
      </c>
      <c r="H456" s="8" t="inlineStr">
        <is>
          <t>1</t>
        </is>
      </c>
      <c r="I456" s="8" t="inlineStr">
        <is>
          <t>0</t>
        </is>
      </c>
      <c r="J456" s="8" t="inlineStr">
        <is>
          <t>0</t>
        </is>
      </c>
      <c r="K456" s="9" t="inlineStr">
        <is>
          <t>0</t>
        </is>
      </c>
      <c r="L456" s="9" t="inlineStr">
        <is>
          <t>0</t>
        </is>
      </c>
      <c r="M456" s="9" t="inlineStr">
        <is>
          <t>0</t>
        </is>
      </c>
      <c r="N456" s="9" t="inlineStr">
        <is>
          <t>0</t>
        </is>
      </c>
      <c r="O456" s="10" t="inlineStr">
        <is>
          <t>0</t>
        </is>
      </c>
      <c r="P456" s="10" t="inlineStr">
        <is>
          <t>0</t>
        </is>
      </c>
      <c r="Q456" s="10" t="inlineStr">
        <is>
          <t>0</t>
        </is>
      </c>
      <c r="R456" s="10" t="inlineStr">
        <is>
          <t>0</t>
        </is>
      </c>
      <c r="S456" s="10" t="inlineStr">
        <is>
          <t>0</t>
        </is>
      </c>
    </row>
    <row r="457" ht="37" customHeight="1">
      <c r="A457" s="6">
        <f>IFERROR(__xludf.DUMMYFUNCTION("""COMPUTED_VALUE"""),"double quotes")</f>
        <v/>
      </c>
      <c r="B457" s="6">
        <f>IFERROR(__xludf.DUMMYFUNCTION("""COMPUTED_VALUE"""),"Space")</f>
        <v/>
      </c>
      <c r="C457" s="6">
        <f>IFERROR(__xludf.DUMMYFUNCTION("""COMPUTED_VALUE"""),"Conceptualisation")</f>
        <v/>
      </c>
      <c r="D457" s="7">
        <f>IFERROR(__xludf.DUMMYFUNCTION("""COMPUTED_VALUE"""),"&lt;p&gt;This is the Conceptualisation phase.&lt;/p&gt;")</f>
        <v/>
      </c>
      <c r="E457" s="7">
        <f>IFERROR(__xludf.DUMMYFUNCTION("""COMPUTED_VALUE"""),"No artifact embedded")</f>
        <v/>
      </c>
      <c r="F457" s="7" t="inlineStr">
        <is>
          <t>Students received task descriptions for Orientation and Conceptualisation phases, with no artifacts embedded in Items 1 and 3, while Item 2 had an unspecified Golabz app/lab.</t>
        </is>
      </c>
      <c r="G457" s="8" t="inlineStr">
        <is>
          <t>0</t>
        </is>
      </c>
      <c r="H457" s="8" t="inlineStr">
        <is>
          <t>0</t>
        </is>
      </c>
      <c r="I457" s="8" t="inlineStr">
        <is>
          <t>0</t>
        </is>
      </c>
      <c r="J457" s="8" t="inlineStr">
        <is>
          <t>0</t>
        </is>
      </c>
      <c r="K457" s="9" t="inlineStr">
        <is>
          <t>1</t>
        </is>
      </c>
      <c r="L457" s="9" t="inlineStr">
        <is>
          <t>0</t>
        </is>
      </c>
      <c r="M457" s="9" t="inlineStr">
        <is>
          <t>0</t>
        </is>
      </c>
      <c r="N457" s="9" t="inlineStr">
        <is>
          <t>0</t>
        </is>
      </c>
      <c r="O457" s="10" t="inlineStr">
        <is>
          <t>0</t>
        </is>
      </c>
      <c r="P457" s="10" t="inlineStr">
        <is>
          <t>0</t>
        </is>
      </c>
      <c r="Q457" s="10" t="inlineStr">
        <is>
          <t>0</t>
        </is>
      </c>
      <c r="R457" s="10" t="inlineStr">
        <is>
          <t>0</t>
        </is>
      </c>
      <c r="S457" s="10" t="inlineStr">
        <is>
          <t>0</t>
        </is>
      </c>
    </row>
    <row r="458" ht="409.5" customHeight="1">
      <c r="A458" s="6">
        <f>IFERROR(__xludf.DUMMYFUNCTION("""COMPUTED_VALUE"""),"double quotes")</f>
        <v/>
      </c>
      <c r="B458" s="6">
        <f>IFERROR(__xludf.DUMMYFUNCTION("""COMPUTED_VALUE"""),"Application")</f>
        <v/>
      </c>
      <c r="C458" s="6">
        <f>IFERROR(__xludf.DUMMYFUNCTION("""COMPUTED_VALUE"""),"report")</f>
        <v/>
      </c>
      <c r="D458" s="7">
        <f>IFERROR(__xludf.DUMMYFUNCTION("""COMPUTED_VALUE"""),"No task description")</f>
        <v/>
      </c>
      <c r="E458"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458" s="7" t="inlineStr">
        <is>
          <t>Students were given tasks with varying levels of description and embedded artifacts, including a Golabz app/lab with a report tool for creating final reports.</t>
        </is>
      </c>
      <c r="G458" s="8" t="inlineStr">
        <is>
          <t>0</t>
        </is>
      </c>
      <c r="H458" s="8" t="inlineStr">
        <is>
          <t>0</t>
        </is>
      </c>
      <c r="I458" s="8" t="inlineStr">
        <is>
          <t>1</t>
        </is>
      </c>
      <c r="J458" s="8" t="inlineStr">
        <is>
          <t>0</t>
        </is>
      </c>
      <c r="K458" s="9" t="inlineStr">
        <is>
          <t>0</t>
        </is>
      </c>
      <c r="L458" s="9" t="inlineStr">
        <is>
          <t>1</t>
        </is>
      </c>
      <c r="M458" s="9" t="inlineStr">
        <is>
          <t>0</t>
        </is>
      </c>
      <c r="N458" s="9" t="inlineStr">
        <is>
          <t>0</t>
        </is>
      </c>
      <c r="O458" s="10" t="inlineStr">
        <is>
          <t>0</t>
        </is>
      </c>
      <c r="P458" s="10" t="inlineStr">
        <is>
          <t>1</t>
        </is>
      </c>
      <c r="Q458" s="10" t="inlineStr">
        <is>
          <t>0</t>
        </is>
      </c>
      <c r="R458" s="10" t="inlineStr">
        <is>
          <t>1</t>
        </is>
      </c>
      <c r="S458" s="10" t="inlineStr">
        <is>
          <t>1</t>
        </is>
      </c>
    </row>
    <row r="459" ht="37" customHeight="1">
      <c r="A459" s="6">
        <f>IFERROR(__xludf.DUMMYFUNCTION("""COMPUTED_VALUE"""),"double quotes")</f>
        <v/>
      </c>
      <c r="B459" s="6">
        <f>IFERROR(__xludf.DUMMYFUNCTION("""COMPUTED_VALUE"""),"Space")</f>
        <v/>
      </c>
      <c r="C459" s="6">
        <f>IFERROR(__xludf.DUMMYFUNCTION("""COMPUTED_VALUE"""),"Investigation")</f>
        <v/>
      </c>
      <c r="D459" s="7">
        <f>IFERROR(__xludf.DUMMYFUNCTION("""COMPUTED_VALUE"""),"&lt;p&gt;This is the Investigation phase.&lt;/p&gt;")</f>
        <v/>
      </c>
      <c r="E459" s="7">
        <f>IFERROR(__xludf.DUMMYFUNCTION("""COMPUTED_VALUE"""),"No artifact embedded")</f>
        <v/>
      </c>
      <c r="F459" s="7" t="inlineStr">
        <is>
          <t>Students receive task descriptions for Conceptualisation and Investigation phases with no artifacts embedded, except for Item2 which describes the Golabz app/lab report tool.</t>
        </is>
      </c>
      <c r="G459" s="8" t="inlineStr">
        <is>
          <t>1</t>
        </is>
      </c>
      <c r="H459" s="8" t="inlineStr">
        <is>
          <t>0</t>
        </is>
      </c>
      <c r="I459" s="8" t="inlineStr">
        <is>
          <t>0</t>
        </is>
      </c>
      <c r="J459" s="8" t="inlineStr">
        <is>
          <t>0</t>
        </is>
      </c>
      <c r="K459" s="9" t="inlineStr">
        <is>
          <t>1</t>
        </is>
      </c>
      <c r="L459" s="9" t="inlineStr">
        <is>
          <t>0</t>
        </is>
      </c>
      <c r="M459" s="9" t="inlineStr">
        <is>
          <t>0</t>
        </is>
      </c>
      <c r="N459" s="9" t="inlineStr">
        <is>
          <t>0</t>
        </is>
      </c>
      <c r="O459" s="10" t="inlineStr">
        <is>
          <t>0</t>
        </is>
      </c>
      <c r="P459" s="10" t="inlineStr">
        <is>
          <t>0</t>
        </is>
      </c>
      <c r="Q459" s="10" t="inlineStr">
        <is>
          <t>0</t>
        </is>
      </c>
      <c r="R459" s="10" t="inlineStr">
        <is>
          <t>0</t>
        </is>
      </c>
      <c r="S459" s="10" t="inlineStr">
        <is>
          <t>0</t>
        </is>
      </c>
    </row>
    <row r="460" ht="37" customHeight="1">
      <c r="A460" s="6">
        <f>IFERROR(__xludf.DUMMYFUNCTION("""COMPUTED_VALUE"""),"double quotes")</f>
        <v/>
      </c>
      <c r="B460" s="6">
        <f>IFERROR(__xludf.DUMMYFUNCTION("""COMPUTED_VALUE"""),"Space")</f>
        <v/>
      </c>
      <c r="C460" s="6">
        <f>IFERROR(__xludf.DUMMYFUNCTION("""COMPUTED_VALUE"""),"Conclusion")</f>
        <v/>
      </c>
      <c r="D460" s="7">
        <f>IFERROR(__xludf.DUMMYFUNCTION("""COMPUTED_VALUE"""),"&lt;p&gt;This is the Conclusion phase.&lt;/p&gt;")</f>
        <v/>
      </c>
      <c r="E460" s="7">
        <f>IFERROR(__xludf.DUMMYFUNCTION("""COMPUTED_VALUE"""),"No artifact embedded")</f>
        <v/>
      </c>
      <c r="F460" s="7" t="inlineStr">
        <is>
          <t>Students are given tasks with descriptions and access to Golabz app/lab for creating reports, with configuration options available for teachers.</t>
        </is>
      </c>
      <c r="G460" s="8" t="inlineStr">
        <is>
          <t>1</t>
        </is>
      </c>
      <c r="H460" s="8" t="inlineStr">
        <is>
          <t>0</t>
        </is>
      </c>
      <c r="I460" s="8" t="inlineStr">
        <is>
          <t>0</t>
        </is>
      </c>
      <c r="J460" s="8" t="inlineStr">
        <is>
          <t>0</t>
        </is>
      </c>
      <c r="K460" s="9" t="inlineStr">
        <is>
          <t>1</t>
        </is>
      </c>
      <c r="L460" s="9" t="inlineStr">
        <is>
          <t>0</t>
        </is>
      </c>
      <c r="M460" s="9" t="inlineStr">
        <is>
          <t>0</t>
        </is>
      </c>
      <c r="N460" s="9" t="inlineStr">
        <is>
          <t>0</t>
        </is>
      </c>
      <c r="O460" s="10" t="inlineStr">
        <is>
          <t>0</t>
        </is>
      </c>
      <c r="P460" s="10" t="inlineStr">
        <is>
          <t>0</t>
        </is>
      </c>
      <c r="Q460" s="10" t="inlineStr">
        <is>
          <t>0</t>
        </is>
      </c>
      <c r="R460" s="10" t="inlineStr">
        <is>
          <t>0</t>
        </is>
      </c>
      <c r="S460" s="10" t="inlineStr">
        <is>
          <t>0</t>
        </is>
      </c>
    </row>
    <row r="461" ht="37" customHeight="1">
      <c r="A461" s="6">
        <f>IFERROR(__xludf.DUMMYFUNCTION("""COMPUTED_VALUE"""),"˝ Otkrivanje ˝ Arhimedovog zakona (1)")</f>
        <v/>
      </c>
      <c r="B461" s="6">
        <f>IFERROR(__xludf.DUMMYFUNCTION("""COMPUTED_VALUE"""),"Space")</f>
        <v/>
      </c>
      <c r="C461" s="6">
        <f>IFERROR(__xludf.DUMMYFUNCTION("""COMPUTED_VALUE"""),"Orientation")</f>
        <v/>
      </c>
      <c r="D461" s="7">
        <f>IFERROR(__xludf.DUMMYFUNCTION("""COMPUTED_VALUE"""),"&lt;p&gt;This is the Orientation phase.&lt;/p&gt;")</f>
        <v/>
      </c>
      <c r="E461" s="7">
        <f>IFERROR(__xludf.DUMMYFUNCTION("""COMPUTED_VALUE"""),"No artifact embedded")</f>
        <v/>
      </c>
      <c r="F461" s="7" t="inlineStr">
        <is>
          <t>Students received task descriptions for Investigation, Conclusion, and Orientation phases with no embedded artifacts.</t>
        </is>
      </c>
      <c r="G461" s="8" t="inlineStr">
        <is>
          <t>0</t>
        </is>
      </c>
      <c r="H461" s="8" t="inlineStr">
        <is>
          <t>0</t>
        </is>
      </c>
      <c r="I461" s="8" t="inlineStr">
        <is>
          <t>0</t>
        </is>
      </c>
      <c r="J461" s="8" t="inlineStr">
        <is>
          <t>0</t>
        </is>
      </c>
      <c r="K461" s="9" t="inlineStr">
        <is>
          <t>1</t>
        </is>
      </c>
      <c r="L461" s="9" t="inlineStr">
        <is>
          <t>0</t>
        </is>
      </c>
      <c r="M461" s="9" t="inlineStr">
        <is>
          <t>0</t>
        </is>
      </c>
      <c r="N461" s="9" t="inlineStr">
        <is>
          <t>0</t>
        </is>
      </c>
      <c r="O461" s="10" t="inlineStr">
        <is>
          <t>0</t>
        </is>
      </c>
      <c r="P461" s="10" t="inlineStr">
        <is>
          <t>0</t>
        </is>
      </c>
      <c r="Q461" s="10" t="inlineStr">
        <is>
          <t>0</t>
        </is>
      </c>
      <c r="R461" s="10" t="inlineStr">
        <is>
          <t>0</t>
        </is>
      </c>
      <c r="S461" s="10" t="inlineStr">
        <is>
          <t>0</t>
        </is>
      </c>
    </row>
    <row r="462" ht="285" customHeight="1">
      <c r="A462" s="6">
        <f>IFERROR(__xludf.DUMMYFUNCTION("""COMPUTED_VALUE"""),"˝ Otkrivanje ˝ Arhimedovog zakona (1)")</f>
        <v/>
      </c>
      <c r="B462" s="6">
        <f>IFERROR(__xludf.DUMMYFUNCTION("""COMPUTED_VALUE"""),"Resource")</f>
        <v/>
      </c>
      <c r="C462" s="6">
        <f>IFERROR(__xludf.DUMMYFUNCTION("""COMPUTED_VALUE"""),"The Golden Crown (Introduction)")</f>
        <v/>
      </c>
      <c r="D462" s="7">
        <f>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
      </c>
      <c r="E462" s="7">
        <f>IFERROR(__xludf.DUMMYFUNCTION("""COMPUTED_VALUE"""),"Artifact from math.nyu.edu: New York University's mathematics department site, offering resources like explorations of Archimedes' principles.")</f>
        <v/>
      </c>
      <c r="F462" s="7" t="inlineStr">
        <is>
          <t>Students receive task descriptions for Conclusion, Orientation, and a problem about Archimedes. Artifacts are embedded in the third item, from NYU's math department website.</t>
        </is>
      </c>
      <c r="G462" s="8" t="inlineStr">
        <is>
          <t>1</t>
        </is>
      </c>
      <c r="H462" s="8" t="inlineStr">
        <is>
          <t>0</t>
        </is>
      </c>
      <c r="I462" s="8" t="inlineStr">
        <is>
          <t>0</t>
        </is>
      </c>
      <c r="J462" s="8" t="inlineStr">
        <is>
          <t>0</t>
        </is>
      </c>
      <c r="K462" s="9" t="inlineStr">
        <is>
          <t>1</t>
        </is>
      </c>
      <c r="L462" s="9" t="inlineStr">
        <is>
          <t>0</t>
        </is>
      </c>
      <c r="M462" s="9" t="inlineStr">
        <is>
          <t>0</t>
        </is>
      </c>
      <c r="N462" s="9" t="inlineStr">
        <is>
          <t>0</t>
        </is>
      </c>
      <c r="O462" s="10" t="inlineStr">
        <is>
          <t>1</t>
        </is>
      </c>
      <c r="P462" s="10" t="inlineStr">
        <is>
          <t>0</t>
        </is>
      </c>
      <c r="Q462" s="10" t="inlineStr">
        <is>
          <t>0</t>
        </is>
      </c>
      <c r="R462" s="10" t="inlineStr">
        <is>
          <t>0</t>
        </is>
      </c>
      <c r="S462" s="10" t="inlineStr">
        <is>
          <t>0</t>
        </is>
      </c>
    </row>
    <row r="463" ht="37" customHeight="1">
      <c r="A463" s="6">
        <f>IFERROR(__xludf.DUMMYFUNCTION("""COMPUTED_VALUE"""),"˝ Otkrivanje ˝ Arhimedovog zakona (1)")</f>
        <v/>
      </c>
      <c r="B463" s="6">
        <f>IFERROR(__xludf.DUMMYFUNCTION("""COMPUTED_VALUE"""),"Space")</f>
        <v/>
      </c>
      <c r="C463" s="6">
        <f>IFERROR(__xludf.DUMMYFUNCTION("""COMPUTED_VALUE"""),"Conceptualisation")</f>
        <v/>
      </c>
      <c r="D463" s="7">
        <f>IFERROR(__xludf.DUMMYFUNCTION("""COMPUTED_VALUE"""),"&lt;p&gt;This is the Conceptualisation phase.&lt;/p&gt;")</f>
        <v/>
      </c>
      <c r="E463" s="7">
        <f>IFERROR(__xludf.DUMMYFUNCTION("""COMPUTED_VALUE"""),"No artifact embedded")</f>
        <v/>
      </c>
      <c r="F463" s="7" t="inlineStr">
        <is>
          <t>Students are guided through phases with some items containing artifacts, such as a math resource from NYU.</t>
        </is>
      </c>
      <c r="G463" s="8" t="inlineStr">
        <is>
          <t>0</t>
        </is>
      </c>
      <c r="H463" s="8" t="inlineStr">
        <is>
          <t>0</t>
        </is>
      </c>
      <c r="I463" s="8" t="inlineStr">
        <is>
          <t>0</t>
        </is>
      </c>
      <c r="J463" s="8" t="inlineStr">
        <is>
          <t>0</t>
        </is>
      </c>
      <c r="K463" s="9" t="inlineStr">
        <is>
          <t>0</t>
        </is>
      </c>
      <c r="L463" s="9" t="inlineStr">
        <is>
          <t>0</t>
        </is>
      </c>
      <c r="M463" s="9" t="inlineStr">
        <is>
          <t>0</t>
        </is>
      </c>
      <c r="N463" s="9" t="inlineStr">
        <is>
          <t>0</t>
        </is>
      </c>
      <c r="O463" s="10" t="inlineStr">
        <is>
          <t>0</t>
        </is>
      </c>
      <c r="P463" s="10" t="inlineStr">
        <is>
          <t>0</t>
        </is>
      </c>
      <c r="Q463" s="10" t="inlineStr">
        <is>
          <t>0</t>
        </is>
      </c>
      <c r="R463" s="10" t="inlineStr">
        <is>
          <t>0</t>
        </is>
      </c>
      <c r="S463" s="10" t="inlineStr">
        <is>
          <t>0</t>
        </is>
      </c>
    </row>
    <row r="464" ht="97" customHeight="1">
      <c r="A464" s="6">
        <f>IFERROR(__xludf.DUMMYFUNCTION("""COMPUTED_VALUE"""),"˝ Otkrivanje ˝ Arhimedovog zakona (1)")</f>
        <v/>
      </c>
      <c r="B464" s="6">
        <f>IFERROR(__xludf.DUMMYFUNCTION("""COMPUTED_VALUE"""),"Resource")</f>
        <v/>
      </c>
      <c r="C464" s="6">
        <f>IFERROR(__xludf.DUMMYFUNCTION("""COMPUTED_VALUE"""),"dissplacemet[1].gif")</f>
        <v/>
      </c>
      <c r="D464" s="7">
        <f>IFERROR(__xludf.DUMMYFUNCTION("""COMPUTED_VALUE"""),"No task description")</f>
        <v/>
      </c>
      <c r="E464" s="7">
        <f>IFERROR(__xludf.DUMMYFUNCTION("""COMPUTED_VALUE"""),"image/gif – An animated or static graphic using the GIF format, often seen in memes and web animations.")</f>
        <v/>
      </c>
      <c r="F464" s="7" t="inlineStr">
        <is>
          <t>Students are given tasks with artifacts, including a math resource from NYU and a GIF image.</t>
        </is>
      </c>
      <c r="G464" s="8" t="inlineStr">
        <is>
          <t>1</t>
        </is>
      </c>
      <c r="H464" s="8" t="inlineStr">
        <is>
          <t>0</t>
        </is>
      </c>
      <c r="I464" s="8" t="inlineStr">
        <is>
          <t>0</t>
        </is>
      </c>
      <c r="J464" s="8" t="inlineStr">
        <is>
          <t>0</t>
        </is>
      </c>
      <c r="K464" s="9" t="inlineStr">
        <is>
          <t>1</t>
        </is>
      </c>
      <c r="L464" s="9" t="inlineStr">
        <is>
          <t>0</t>
        </is>
      </c>
      <c r="M464" s="9" t="inlineStr">
        <is>
          <t>0</t>
        </is>
      </c>
      <c r="N464" s="9" t="inlineStr">
        <is>
          <t>0</t>
        </is>
      </c>
      <c r="O464" s="10" t="inlineStr">
        <is>
          <t>0</t>
        </is>
      </c>
      <c r="P464" s="10" t="inlineStr">
        <is>
          <t>0</t>
        </is>
      </c>
      <c r="Q464" s="10" t="inlineStr">
        <is>
          <t>0</t>
        </is>
      </c>
      <c r="R464" s="10" t="inlineStr">
        <is>
          <t>0</t>
        </is>
      </c>
      <c r="S464" s="10" t="inlineStr">
        <is>
          <t>0</t>
        </is>
      </c>
    </row>
    <row r="465" ht="409.5" customHeight="1">
      <c r="A465" s="6">
        <f>IFERROR(__xludf.DUMMYFUNCTION("""COMPUTED_VALUE"""),"˝ Otkrivanje ˝ Arhimedovog zakona (1)")</f>
        <v/>
      </c>
      <c r="B465" s="6">
        <f>IFERROR(__xludf.DUMMYFUNCTION("""COMPUTED_VALUE"""),"Application")</f>
        <v/>
      </c>
      <c r="C465" s="6">
        <f>IFERROR(__xludf.DUMMYFUNCTION("""COMPUTED_VALUE"""),"Experiment Design Tool")</f>
        <v/>
      </c>
      <c r="D465" s="7">
        <f>IFERROR(__xludf.DUMMYFUNCTION("""COMPUTED_VALUE"""),"No task description")</f>
        <v/>
      </c>
      <c r="E465"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5" s="7" t="inlineStr">
        <is>
          <t>Students were given no task descriptions for Items 2 and 3. Embedded artifacts include a GIF image and the Experiment Design Tool (EDT) app.</t>
        </is>
      </c>
      <c r="G465" s="8" t="inlineStr">
        <is>
          <t>0</t>
        </is>
      </c>
      <c r="H465" s="8" t="inlineStr">
        <is>
          <t>1</t>
        </is>
      </c>
      <c r="I465" s="8" t="inlineStr">
        <is>
          <t>1</t>
        </is>
      </c>
      <c r="J465" s="8" t="inlineStr">
        <is>
          <t>0</t>
        </is>
      </c>
      <c r="K465" s="9" t="inlineStr">
        <is>
          <t>0</t>
        </is>
      </c>
      <c r="L465" s="9" t="inlineStr">
        <is>
          <t>1</t>
        </is>
      </c>
      <c r="M465" s="9" t="inlineStr">
        <is>
          <t>0</t>
        </is>
      </c>
      <c r="N465" s="9" t="inlineStr">
        <is>
          <t>0</t>
        </is>
      </c>
      <c r="O465" s="10" t="inlineStr">
        <is>
          <t>0</t>
        </is>
      </c>
      <c r="P465" s="10" t="inlineStr">
        <is>
          <t>1</t>
        </is>
      </c>
      <c r="Q465" s="10" t="inlineStr">
        <is>
          <t>1</t>
        </is>
      </c>
      <c r="R465" s="10" t="inlineStr">
        <is>
          <t>0</t>
        </is>
      </c>
      <c r="S465" s="10" t="inlineStr">
        <is>
          <t>0</t>
        </is>
      </c>
    </row>
    <row r="466" ht="37" customHeight="1">
      <c r="A466" s="6">
        <f>IFERROR(__xludf.DUMMYFUNCTION("""COMPUTED_VALUE"""),"˝ Otkrivanje ˝ Arhimedovog zakona (1)")</f>
        <v/>
      </c>
      <c r="B466" s="6">
        <f>IFERROR(__xludf.DUMMYFUNCTION("""COMPUTED_VALUE"""),"Space")</f>
        <v/>
      </c>
      <c r="C466" s="6">
        <f>IFERROR(__xludf.DUMMYFUNCTION("""COMPUTED_VALUE"""),"Investigation")</f>
        <v/>
      </c>
      <c r="D466" s="7">
        <f>IFERROR(__xludf.DUMMYFUNCTION("""COMPUTED_VALUE"""),"&lt;p&gt;This is the Investigation phase.&lt;/p&gt;")</f>
        <v/>
      </c>
      <c r="E466" s="7">
        <f>IFERROR(__xludf.DUMMYFUNCTION("""COMPUTED_VALUE"""),"No artifact embedded")</f>
        <v/>
      </c>
      <c r="F466" s="7" t="inlineStr">
        <is>
          <t>No task descriptions are provided for Items 1 and 2. Artifacts include a GIF image and the Experiment Design Tool (EDT) app.</t>
        </is>
      </c>
      <c r="G466" s="8" t="inlineStr">
        <is>
          <t>0</t>
        </is>
      </c>
      <c r="H466" s="8" t="inlineStr">
        <is>
          <t>0</t>
        </is>
      </c>
      <c r="I466" s="8" t="inlineStr">
        <is>
          <t>0</t>
        </is>
      </c>
      <c r="J466" s="8" t="inlineStr">
        <is>
          <t>0</t>
        </is>
      </c>
      <c r="K466" s="9" t="inlineStr">
        <is>
          <t>1</t>
        </is>
      </c>
      <c r="L466" s="9" t="inlineStr">
        <is>
          <t>0</t>
        </is>
      </c>
      <c r="M466" s="9" t="inlineStr">
        <is>
          <t>0</t>
        </is>
      </c>
      <c r="N466" s="9" t="inlineStr">
        <is>
          <t>0</t>
        </is>
      </c>
      <c r="O466" s="10" t="inlineStr">
        <is>
          <t>0</t>
        </is>
      </c>
      <c r="P466" s="10" t="inlineStr">
        <is>
          <t>0</t>
        </is>
      </c>
      <c r="Q466" s="10" t="inlineStr">
        <is>
          <t>0</t>
        </is>
      </c>
      <c r="R466" s="10" t="inlineStr">
        <is>
          <t>0</t>
        </is>
      </c>
      <c r="S466" s="10" t="inlineStr">
        <is>
          <t>0</t>
        </is>
      </c>
    </row>
    <row r="467" ht="373" customHeight="1">
      <c r="A467" s="6">
        <f>IFERROR(__xludf.DUMMYFUNCTION("""COMPUTED_VALUE"""),"˝ Otkrivanje ˝ Arhimedovog zakona (1)")</f>
        <v/>
      </c>
      <c r="B467" s="6">
        <f>IFERROR(__xludf.DUMMYFUNCTION("""COMPUTED_VALUE"""),"Application")</f>
        <v/>
      </c>
      <c r="C467" s="6">
        <f>IFERROR(__xludf.DUMMYFUNCTION("""COMPUTED_VALUE"""),"Splash app")</f>
        <v/>
      </c>
      <c r="D467" s="7">
        <f>IFERROR(__xludf.DUMMYFUNCTION("""COMPUTED_VALUE"""),"No task description")</f>
        <v/>
      </c>
      <c r="E467" s="7">
        <f>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
      </c>
      <c r="F467" s="7" t="inlineStr">
        <is>
          <t>Students were given tasks with embedded labs: EDT for experiment design and Splash for exploring object properties and fluid density.</t>
        </is>
      </c>
      <c r="G467" s="8" t="inlineStr">
        <is>
          <t>0</t>
        </is>
      </c>
      <c r="H467" s="8" t="inlineStr">
        <is>
          <t>1</t>
        </is>
      </c>
      <c r="I467" s="8" t="inlineStr">
        <is>
          <t>1</t>
        </is>
      </c>
      <c r="J467" s="8" t="inlineStr">
        <is>
          <t>1</t>
        </is>
      </c>
      <c r="K467" s="9" t="inlineStr">
        <is>
          <t>0</t>
        </is>
      </c>
      <c r="L467" s="9" t="inlineStr">
        <is>
          <t>1</t>
        </is>
      </c>
      <c r="M467" s="9" t="inlineStr">
        <is>
          <t>0</t>
        </is>
      </c>
      <c r="N467" s="9" t="inlineStr">
        <is>
          <t>0</t>
        </is>
      </c>
      <c r="O467" s="10" t="inlineStr">
        <is>
          <t>1</t>
        </is>
      </c>
      <c r="P467" s="10" t="inlineStr">
        <is>
          <t>0</t>
        </is>
      </c>
      <c r="Q467" s="10" t="inlineStr">
        <is>
          <t>1</t>
        </is>
      </c>
      <c r="R467" s="10" t="inlineStr">
        <is>
          <t>0</t>
        </is>
      </c>
      <c r="S467" s="10" t="inlineStr">
        <is>
          <t>0</t>
        </is>
      </c>
    </row>
    <row r="468" ht="409.5" customHeight="1">
      <c r="A468" s="6">
        <f>IFERROR(__xludf.DUMMYFUNCTION("""COMPUTED_VALUE"""),"˝ Otkrivanje ˝ Arhimedovog zakona (1)")</f>
        <v/>
      </c>
      <c r="B468" s="6">
        <f>IFERROR(__xludf.DUMMYFUNCTION("""COMPUTED_VALUE"""),"Application")</f>
        <v/>
      </c>
      <c r="C468" s="6">
        <f>IFERROR(__xludf.DUMMYFUNCTION("""COMPUTED_VALUE"""),"Table tool")</f>
        <v/>
      </c>
      <c r="D468" s="7">
        <f>IFERROR(__xludf.DUMMYFUNCTION("""COMPUTED_VALUE"""),"No task description")</f>
        <v/>
      </c>
      <c r="E46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68" s="7" t="inlineStr">
        <is>
          <t>Students investigate object properties and fluid density using Golabz apps, with tasks including creating objects and measuring fluid displacement.</t>
        </is>
      </c>
      <c r="G468" s="8" t="inlineStr">
        <is>
          <t>1</t>
        </is>
      </c>
      <c r="H468" s="8" t="inlineStr">
        <is>
          <t>1</t>
        </is>
      </c>
      <c r="I468" s="8" t="inlineStr">
        <is>
          <t>1</t>
        </is>
      </c>
      <c r="J468" s="8" t="inlineStr">
        <is>
          <t>0</t>
        </is>
      </c>
      <c r="K468" s="9" t="inlineStr">
        <is>
          <t>0</t>
        </is>
      </c>
      <c r="L468" s="9" t="inlineStr">
        <is>
          <t>1</t>
        </is>
      </c>
      <c r="M468" s="9" t="inlineStr">
        <is>
          <t>1</t>
        </is>
      </c>
      <c r="N468" s="9" t="inlineStr">
        <is>
          <t>1</t>
        </is>
      </c>
      <c r="O468" s="10" t="inlineStr">
        <is>
          <t>0</t>
        </is>
      </c>
      <c r="P468" s="10" t="inlineStr">
        <is>
          <t>0</t>
        </is>
      </c>
      <c r="Q468" s="10" t="inlineStr">
        <is>
          <t>0</t>
        </is>
      </c>
      <c r="R468" s="10" t="inlineStr">
        <is>
          <t>0</t>
        </is>
      </c>
      <c r="S468" s="10" t="inlineStr">
        <is>
          <t>1</t>
        </is>
      </c>
    </row>
    <row r="469" ht="409.5" customHeight="1">
      <c r="A469" s="6">
        <f>IFERROR(__xludf.DUMMYFUNCTION("""COMPUTED_VALUE"""),"˝ Otkrivanje ˝ Arhimedovog zakona (1)")</f>
        <v/>
      </c>
      <c r="B469" s="6">
        <f>IFERROR(__xludf.DUMMYFUNCTION("""COMPUTED_VALUE"""),"Application")</f>
        <v/>
      </c>
      <c r="C469" s="6">
        <f>IFERROR(__xludf.DUMMYFUNCTION("""COMPUTED_VALUE"""),"Experiment Design Tool")</f>
        <v/>
      </c>
      <c r="D469" s="7">
        <f>IFERROR(__xludf.DUMMYFUNCTION("""COMPUTED_VALUE"""),"No task description")</f>
        <v/>
      </c>
      <c r="E46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9" s="7" t="inlineStr">
        <is>
          <t>No task descriptions. Embedded artifacts include Golabz apps for interactive science experiments and data analysis tools.</t>
        </is>
      </c>
      <c r="G469" s="8" t="inlineStr">
        <is>
          <t>0</t>
        </is>
      </c>
      <c r="H469" s="8" t="inlineStr">
        <is>
          <t>1</t>
        </is>
      </c>
      <c r="I469" s="8" t="inlineStr">
        <is>
          <t>1</t>
        </is>
      </c>
      <c r="J469" s="8" t="inlineStr">
        <is>
          <t>1</t>
        </is>
      </c>
      <c r="K469" s="9" t="inlineStr">
        <is>
          <t>0</t>
        </is>
      </c>
      <c r="L469" s="9" t="inlineStr">
        <is>
          <t>1</t>
        </is>
      </c>
      <c r="M469" s="9" t="inlineStr">
        <is>
          <t>0</t>
        </is>
      </c>
      <c r="N469" s="9" t="inlineStr">
        <is>
          <t>0</t>
        </is>
      </c>
      <c r="O469" s="10" t="inlineStr">
        <is>
          <t>0</t>
        </is>
      </c>
      <c r="P469" s="10" t="inlineStr">
        <is>
          <t>1</t>
        </is>
      </c>
      <c r="Q469" s="10" t="inlineStr">
        <is>
          <t>1</t>
        </is>
      </c>
      <c r="R469" s="10" t="inlineStr">
        <is>
          <t>0</t>
        </is>
      </c>
      <c r="S469" s="10" t="inlineStr">
        <is>
          <t>0</t>
        </is>
      </c>
    </row>
    <row r="470" ht="49" customHeight="1">
      <c r="A470" s="6">
        <f>IFERROR(__xludf.DUMMYFUNCTION("""COMPUTED_VALUE"""),"˝ Otkrivanje ˝ Arhimedovog zakona (1)")</f>
        <v/>
      </c>
      <c r="B470" s="6">
        <f>IFERROR(__xludf.DUMMYFUNCTION("""COMPUTED_VALUE"""),"Application")</f>
        <v/>
      </c>
      <c r="C470" s="6">
        <f>IFERROR(__xludf.DUMMYFUNCTION("""COMPUTED_VALUE"""),"Laboratory")</f>
        <v/>
      </c>
      <c r="D470" s="7">
        <f>IFERROR(__xludf.DUMMYFUNCTION("""COMPUTED_VALUE"""),"No task description")</f>
        <v/>
      </c>
      <c r="E470" s="7">
        <f>IFERROR(__xludf.DUMMYFUNCTION("""COMPUTED_VALUE"""),"Golabz app/lab: No description available for this online lab")</f>
        <v/>
      </c>
      <c r="F470" s="7" t="inlineStr">
        <is>
          <t>No task descriptions provided. Embedded artifacts describe Golabz apps for data entry and experiment design.</t>
        </is>
      </c>
      <c r="G470" s="8" t="inlineStr">
        <is>
          <t>1</t>
        </is>
      </c>
      <c r="H470" s="8" t="inlineStr">
        <is>
          <t>1</t>
        </is>
      </c>
      <c r="I470" s="8" t="inlineStr">
        <is>
          <t>0</t>
        </is>
      </c>
      <c r="J470" s="8" t="inlineStr">
        <is>
          <t>0</t>
        </is>
      </c>
      <c r="K470" s="9" t="inlineStr">
        <is>
          <t>1</t>
        </is>
      </c>
      <c r="L470" s="9" t="inlineStr">
        <is>
          <t>0</t>
        </is>
      </c>
      <c r="M470" s="9" t="inlineStr">
        <is>
          <t>0</t>
        </is>
      </c>
      <c r="N470" s="9" t="inlineStr">
        <is>
          <t>0</t>
        </is>
      </c>
      <c r="O470" s="10" t="inlineStr">
        <is>
          <t>0</t>
        </is>
      </c>
      <c r="P470" s="10" t="inlineStr">
        <is>
          <t>0</t>
        </is>
      </c>
      <c r="Q470" s="10" t="inlineStr">
        <is>
          <t>0</t>
        </is>
      </c>
      <c r="R470" s="10" t="inlineStr">
        <is>
          <t>0</t>
        </is>
      </c>
      <c r="S470" s="10" t="inlineStr">
        <is>
          <t>0</t>
        </is>
      </c>
    </row>
    <row r="471" ht="37" customHeight="1">
      <c r="A471" s="6">
        <f>IFERROR(__xludf.DUMMYFUNCTION("""COMPUTED_VALUE"""),"˝ Otkrivanje ˝ Arhimedovog zakona (1)")</f>
        <v/>
      </c>
      <c r="B471" s="6">
        <f>IFERROR(__xludf.DUMMYFUNCTION("""COMPUTED_VALUE"""),"Space")</f>
        <v/>
      </c>
      <c r="C471" s="6">
        <f>IFERROR(__xludf.DUMMYFUNCTION("""COMPUTED_VALUE"""),"Conclusion")</f>
        <v/>
      </c>
      <c r="D471" s="7">
        <f>IFERROR(__xludf.DUMMYFUNCTION("""COMPUTED_VALUE"""),"&lt;p&gt;This is the Conclusion phase.&lt;/p&gt;")</f>
        <v/>
      </c>
      <c r="E471" s="7">
        <f>IFERROR(__xludf.DUMMYFUNCTION("""COMPUTED_VALUE"""),"No artifact embedded")</f>
        <v/>
      </c>
      <c r="F471" s="7" t="inlineStr">
        <is>
          <t>No task descriptions are provided, but Items 1 and 2 include Golabz app/lab with an Experiment Design Tool.</t>
        </is>
      </c>
      <c r="G471" s="8" t="inlineStr">
        <is>
          <t>0</t>
        </is>
      </c>
      <c r="H471" s="8" t="inlineStr">
        <is>
          <t>0</t>
        </is>
      </c>
      <c r="I471" s="8" t="inlineStr">
        <is>
          <t>0</t>
        </is>
      </c>
      <c r="J471" s="8" t="inlineStr">
        <is>
          <t>0</t>
        </is>
      </c>
      <c r="K471" s="9" t="inlineStr">
        <is>
          <t>1</t>
        </is>
      </c>
      <c r="L471" s="9" t="inlineStr">
        <is>
          <t>0</t>
        </is>
      </c>
      <c r="M471" s="9" t="inlineStr">
        <is>
          <t>0</t>
        </is>
      </c>
      <c r="N471" s="9" t="inlineStr">
        <is>
          <t>0</t>
        </is>
      </c>
      <c r="O471" s="10" t="inlineStr">
        <is>
          <t>0</t>
        </is>
      </c>
      <c r="P471" s="10" t="inlineStr">
        <is>
          <t>0</t>
        </is>
      </c>
      <c r="Q471" s="10" t="inlineStr">
        <is>
          <t>0</t>
        </is>
      </c>
      <c r="R471" s="10" t="inlineStr">
        <is>
          <t>0</t>
        </is>
      </c>
      <c r="S471" s="10" t="inlineStr">
        <is>
          <t>0</t>
        </is>
      </c>
    </row>
    <row r="472" ht="37" customHeight="1">
      <c r="A472" s="6">
        <f>IFERROR(__xludf.DUMMYFUNCTION("""COMPUTED_VALUE"""),"˝ Otkrivanje ˝ Arhimedovog zakona (1)")</f>
        <v/>
      </c>
      <c r="B472" s="6">
        <f>IFERROR(__xludf.DUMMYFUNCTION("""COMPUTED_VALUE"""),"Space")</f>
        <v/>
      </c>
      <c r="C472" s="6">
        <f>IFERROR(__xludf.DUMMYFUNCTION("""COMPUTED_VALUE"""),"Discussion")</f>
        <v/>
      </c>
      <c r="D472" s="7">
        <f>IFERROR(__xludf.DUMMYFUNCTION("""COMPUTED_VALUE"""),"&lt;p&gt;This is the Discussion phase.&lt;/p&gt;")</f>
        <v/>
      </c>
      <c r="E472" s="7">
        <f>IFERROR(__xludf.DUMMYFUNCTION("""COMPUTED_VALUE"""),"No artifact embedded")</f>
        <v/>
      </c>
      <c r="F472" s="7" t="inlineStr">
        <is>
          <t>Students received task descriptions and embedded artifacts for three items, including a lab app, conclusion, and discussion phases.</t>
        </is>
      </c>
      <c r="G472" s="8" t="inlineStr">
        <is>
          <t>0</t>
        </is>
      </c>
      <c r="H472" s="8" t="inlineStr">
        <is>
          <t>0</t>
        </is>
      </c>
      <c r="I472" s="8" t="inlineStr">
        <is>
          <t>0</t>
        </is>
      </c>
      <c r="J472" s="8" t="inlineStr">
        <is>
          <t>0</t>
        </is>
      </c>
      <c r="K472" s="9" t="inlineStr">
        <is>
          <t>0</t>
        </is>
      </c>
      <c r="L472" s="9" t="inlineStr">
        <is>
          <t>0</t>
        </is>
      </c>
      <c r="M472" s="9" t="inlineStr">
        <is>
          <t>1</t>
        </is>
      </c>
      <c r="N472" s="9" t="inlineStr">
        <is>
          <t>0</t>
        </is>
      </c>
      <c r="O472" s="10" t="inlineStr">
        <is>
          <t>0</t>
        </is>
      </c>
      <c r="P472" s="10" t="inlineStr">
        <is>
          <t>0</t>
        </is>
      </c>
      <c r="Q472" s="10" t="inlineStr">
        <is>
          <t>0</t>
        </is>
      </c>
      <c r="R472" s="10" t="inlineStr">
        <is>
          <t>0</t>
        </is>
      </c>
      <c r="S472" s="10" t="inlineStr">
        <is>
          <t>0</t>
        </is>
      </c>
    </row>
    <row r="473" ht="25" customHeight="1">
      <c r="A473" s="6">
        <f>IFERROR(__xludf.DUMMYFUNCTION("""COMPUTED_VALUE"""),"Tsedey")</f>
        <v/>
      </c>
      <c r="B473" s="6">
        <f>IFERROR(__xludf.DUMMYFUNCTION("""COMPUTED_VALUE"""),"Space")</f>
        <v/>
      </c>
      <c r="C473" s="6">
        <f>IFERROR(__xludf.DUMMYFUNCTION("""COMPUTED_VALUE"""),"Orientation")</f>
        <v/>
      </c>
      <c r="D473" s="7">
        <f>IFERROR(__xludf.DUMMYFUNCTION("""COMPUTED_VALUE"""),"No task description")</f>
        <v/>
      </c>
      <c r="E473" s="7">
        <f>IFERROR(__xludf.DUMMYFUNCTION("""COMPUTED_VALUE"""),"No artifact embedded")</f>
        <v/>
      </c>
      <c r="F473" s="7" t="inlineStr">
        <is>
          <t>Students received instructions for Conclusion, Discussion, and an unspecified phase with no embedded artifacts.</t>
        </is>
      </c>
      <c r="G473" s="8" t="inlineStr">
        <is>
          <t>0</t>
        </is>
      </c>
      <c r="H473" s="8" t="inlineStr">
        <is>
          <t>0</t>
        </is>
      </c>
      <c r="I473" s="8" t="inlineStr">
        <is>
          <t>0</t>
        </is>
      </c>
      <c r="J473" s="8" t="inlineStr">
        <is>
          <t>0</t>
        </is>
      </c>
      <c r="K473" s="9" t="inlineStr">
        <is>
          <t>0</t>
        </is>
      </c>
      <c r="L473" s="9" t="inlineStr">
        <is>
          <t>0</t>
        </is>
      </c>
      <c r="M473" s="9" t="inlineStr">
        <is>
          <t>0</t>
        </is>
      </c>
      <c r="N473" s="9" t="inlineStr">
        <is>
          <t>0</t>
        </is>
      </c>
      <c r="O473" s="10" t="inlineStr">
        <is>
          <t>0</t>
        </is>
      </c>
      <c r="P473" s="10" t="inlineStr">
        <is>
          <t>0</t>
        </is>
      </c>
      <c r="Q473" s="10" t="inlineStr">
        <is>
          <t>0</t>
        </is>
      </c>
      <c r="R473" s="10" t="inlineStr">
        <is>
          <t>0</t>
        </is>
      </c>
      <c r="S473" s="10" t="inlineStr">
        <is>
          <t>0</t>
        </is>
      </c>
    </row>
    <row r="474" ht="37" customHeight="1">
      <c r="A474" s="6">
        <f>IFERROR(__xludf.DUMMYFUNCTION("""COMPUTED_VALUE"""),"Tsedey")</f>
        <v/>
      </c>
      <c r="B474" s="6">
        <f>IFERROR(__xludf.DUMMYFUNCTION("""COMPUTED_VALUE"""),"Resource")</f>
        <v/>
      </c>
      <c r="C474" s="6">
        <f>IFERROR(__xludf.DUMMYFUNCTION("""COMPUTED_VALUE"""),"Text.graasp")</f>
        <v/>
      </c>
      <c r="D474" s="7">
        <f>IFERROR(__xludf.DUMMYFUNCTION("""COMPUTED_VALUE"""),"&lt;p&gt;best game on this app easy enough &lt;/p&gt;")</f>
        <v/>
      </c>
      <c r="E474" s="7">
        <f>IFERROR(__xludf.DUMMYFUNCTION("""COMPUTED_VALUE"""),"No artifact embedded")</f>
        <v/>
      </c>
      <c r="F474" s="7" t="inlineStr">
        <is>
          <t>Students were given vague instructions with no embedded artifacts in Items 1, 2, and 3.</t>
        </is>
      </c>
      <c r="G474" s="8" t="inlineStr">
        <is>
          <t>0</t>
        </is>
      </c>
      <c r="H474" s="8" t="inlineStr">
        <is>
          <t>0</t>
        </is>
      </c>
      <c r="I474" s="8" t="inlineStr">
        <is>
          <t>0</t>
        </is>
      </c>
      <c r="J474" s="8" t="inlineStr">
        <is>
          <t>0</t>
        </is>
      </c>
      <c r="K474" s="9" t="inlineStr">
        <is>
          <t>0</t>
        </is>
      </c>
      <c r="L474" s="9" t="inlineStr">
        <is>
          <t>0</t>
        </is>
      </c>
      <c r="M474" s="9" t="inlineStr">
        <is>
          <t>0</t>
        </is>
      </c>
      <c r="N474" s="9" t="inlineStr">
        <is>
          <t>0</t>
        </is>
      </c>
      <c r="O474" s="10" t="inlineStr">
        <is>
          <t>0</t>
        </is>
      </c>
      <c r="P474" s="10" t="inlineStr">
        <is>
          <t>0</t>
        </is>
      </c>
      <c r="Q474" s="10" t="inlineStr">
        <is>
          <t>0</t>
        </is>
      </c>
      <c r="R474" s="10" t="inlineStr">
        <is>
          <t>0</t>
        </is>
      </c>
      <c r="S474" s="10" t="inlineStr">
        <is>
          <t>0</t>
        </is>
      </c>
    </row>
    <row r="475" ht="409.5" customHeight="1">
      <c r="A475" s="6">
        <f>IFERROR(__xludf.DUMMYFUNCTION("""COMPUTED_VALUE"""),"Tsedey")</f>
        <v/>
      </c>
      <c r="B475" s="6">
        <f>IFERROR(__xludf.DUMMYFUNCTION("""COMPUTED_VALUE"""),"Resource")</f>
        <v/>
      </c>
      <c r="C475" s="6">
        <f>IFERROR(__xludf.DUMMYFUNCTION("""COMPUTED_VALUE"""),"I Bought My DREAM CAR and it's AMAZING!!!")</f>
        <v/>
      </c>
      <c r="D475" s="7">
        <f>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
      </c>
      <c r="E475" s="7">
        <f>IFERROR(__xludf.DUMMYFUNCTION("""COMPUTED_VALUE"""),"youtu.be: A shortened URL service for YouTube, leading to various videos on the platform.")</f>
        <v/>
      </c>
      <c r="F475" s="7" t="inlineStr">
        <is>
          <t>Students have no task descriptions for Item1. Item2 has a simple game task. Item3 involves watching a video about buying a dream car with embedded YouTube links.</t>
        </is>
      </c>
      <c r="G475" s="8" t="inlineStr">
        <is>
          <t>1</t>
        </is>
      </c>
      <c r="H475" s="8" t="inlineStr">
        <is>
          <t>0</t>
        </is>
      </c>
      <c r="I475" s="8" t="inlineStr">
        <is>
          <t>0</t>
        </is>
      </c>
      <c r="J475" s="8" t="inlineStr">
        <is>
          <t>0</t>
        </is>
      </c>
      <c r="K475" s="9" t="inlineStr">
        <is>
          <t>1</t>
        </is>
      </c>
      <c r="L475" s="9" t="inlineStr">
        <is>
          <t>0</t>
        </is>
      </c>
      <c r="M475" s="9" t="inlineStr">
        <is>
          <t>0</t>
        </is>
      </c>
      <c r="N475" s="9" t="inlineStr">
        <is>
          <t>0</t>
        </is>
      </c>
      <c r="O475" s="10" t="inlineStr">
        <is>
          <t>0</t>
        </is>
      </c>
      <c r="P475" s="10" t="inlineStr">
        <is>
          <t>0</t>
        </is>
      </c>
      <c r="Q475" s="10" t="inlineStr">
        <is>
          <t>0</t>
        </is>
      </c>
      <c r="R475" s="10" t="inlineStr">
        <is>
          <t>0</t>
        </is>
      </c>
      <c r="S475" s="10" t="inlineStr">
        <is>
          <t>0</t>
        </is>
      </c>
    </row>
    <row r="476" ht="409.5" customHeight="1">
      <c r="A476" s="6">
        <f>IFERROR(__xludf.DUMMYFUNCTION("""COMPUTED_VALUE"""),"Tsedey")</f>
        <v/>
      </c>
      <c r="B476" s="6">
        <f>IFERROR(__xludf.DUMMYFUNCTION("""COMPUTED_VALUE"""),"Application")</f>
        <v/>
      </c>
      <c r="C476" s="6">
        <f>IFERROR(__xludf.DUMMYFUNCTION("""COMPUTED_VALUE"""),"Concept Mapper")</f>
        <v/>
      </c>
      <c r="D476" s="7">
        <f>IFERROR(__xludf.DUMMYFUNCTION("""COMPUTED_VALUE"""),"No task description")</f>
        <v/>
      </c>
      <c r="E476"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76" s="7" t="inlineStr">
        <is>
          <t>Students received task descriptions and embedded artifacts for Items 1 and 2, with Item 3 lacking a task description but having an artifact.</t>
        </is>
      </c>
      <c r="G476" s="8" t="inlineStr">
        <is>
          <t>0</t>
        </is>
      </c>
      <c r="H476" s="8" t="inlineStr">
        <is>
          <t>1</t>
        </is>
      </c>
      <c r="I476" s="8" t="inlineStr">
        <is>
          <t>1</t>
        </is>
      </c>
      <c r="J476" s="8" t="inlineStr">
        <is>
          <t>0</t>
        </is>
      </c>
      <c r="K476" s="9" t="inlineStr">
        <is>
          <t>0</t>
        </is>
      </c>
      <c r="L476" s="9" t="inlineStr">
        <is>
          <t>1</t>
        </is>
      </c>
      <c r="M476" s="9" t="inlineStr">
        <is>
          <t>0</t>
        </is>
      </c>
      <c r="N476" s="9" t="inlineStr">
        <is>
          <t>0</t>
        </is>
      </c>
      <c r="O476" s="10" t="inlineStr">
        <is>
          <t>0</t>
        </is>
      </c>
      <c r="P476" s="10" t="inlineStr">
        <is>
          <t>1</t>
        </is>
      </c>
      <c r="Q476" s="10" t="inlineStr">
        <is>
          <t>0</t>
        </is>
      </c>
      <c r="R476" s="10" t="inlineStr">
        <is>
          <t>0</t>
        </is>
      </c>
      <c r="S476" s="10" t="inlineStr">
        <is>
          <t>1</t>
        </is>
      </c>
    </row>
    <row r="477" ht="49" customHeight="1">
      <c r="A477" s="6">
        <f>IFERROR(__xludf.DUMMYFUNCTION("""COMPUTED_VALUE"""),"Tsedey")</f>
        <v/>
      </c>
      <c r="B477" s="6">
        <f>IFERROR(__xludf.DUMMYFUNCTION("""COMPUTED_VALUE"""),"Application")</f>
        <v/>
      </c>
      <c r="C477" s="6">
        <f>IFERROR(__xludf.DUMMYFUNCTION("""COMPUTED_VALUE"""),"Input")</f>
        <v/>
      </c>
      <c r="D477" s="7">
        <f>IFERROR(__xludf.DUMMYFUNCTION("""COMPUTED_VALUE"""),"No task description")</f>
        <v/>
      </c>
      <c r="E477" s="7">
        <f>IFERROR(__xludf.DUMMYFUNCTION("""COMPUTED_VALUE"""),"Golabz app/lab: No description available for this online app")</f>
        <v/>
      </c>
      <c r="F477" s="7" t="inlineStr">
        <is>
          <t>No instructions are provided to students; embedded artifacts include YouTube links and Golabz app descriptions.</t>
        </is>
      </c>
      <c r="G477" s="8" t="inlineStr">
        <is>
          <t>1</t>
        </is>
      </c>
      <c r="H477" s="8" t="inlineStr">
        <is>
          <t>0</t>
        </is>
      </c>
      <c r="I477" s="8" t="inlineStr">
        <is>
          <t>0</t>
        </is>
      </c>
      <c r="J477" s="8" t="inlineStr">
        <is>
          <t>0</t>
        </is>
      </c>
      <c r="K477" s="9" t="inlineStr">
        <is>
          <t>0</t>
        </is>
      </c>
      <c r="L477" s="9" t="inlineStr">
        <is>
          <t>0</t>
        </is>
      </c>
      <c r="M477" s="9" t="inlineStr">
        <is>
          <t>0</t>
        </is>
      </c>
      <c r="N477" s="9" t="inlineStr">
        <is>
          <t>0</t>
        </is>
      </c>
      <c r="O477" s="10" t="inlineStr">
        <is>
          <t>0</t>
        </is>
      </c>
      <c r="P477" s="10" t="inlineStr">
        <is>
          <t>0</t>
        </is>
      </c>
      <c r="Q477" s="10" t="inlineStr">
        <is>
          <t>0</t>
        </is>
      </c>
      <c r="R477" s="10" t="inlineStr">
        <is>
          <t>0</t>
        </is>
      </c>
      <c r="S477" s="10" t="inlineStr">
        <is>
          <t>0</t>
        </is>
      </c>
    </row>
    <row r="478" ht="25" customHeight="1">
      <c r="A478" s="6">
        <f>IFERROR(__xludf.DUMMYFUNCTION("""COMPUTED_VALUE"""),"Tsedey")</f>
        <v/>
      </c>
      <c r="B478" s="6">
        <f>IFERROR(__xludf.DUMMYFUNCTION("""COMPUTED_VALUE"""),"Space")</f>
        <v/>
      </c>
      <c r="C478" s="6">
        <f>IFERROR(__xludf.DUMMYFUNCTION("""COMPUTED_VALUE"""),"Conceptualisation")</f>
        <v/>
      </c>
      <c r="D478" s="7">
        <f>IFERROR(__xludf.DUMMYFUNCTION("""COMPUTED_VALUE"""),"No task description")</f>
        <v/>
      </c>
      <c r="E478" s="7">
        <f>IFERROR(__xludf.DUMMYFUNCTION("""COMPUTED_VALUE"""),"No artifact embedded")</f>
        <v/>
      </c>
      <c r="F478" s="7" t="inlineStr">
        <is>
          <t>No task descriptions; artifacts include Golabz app/lab with Concept Mapper tool.</t>
        </is>
      </c>
      <c r="G478" s="8" t="inlineStr">
        <is>
          <t>0</t>
        </is>
      </c>
      <c r="H478" s="8" t="inlineStr">
        <is>
          <t>0</t>
        </is>
      </c>
      <c r="I478" s="8" t="inlineStr">
        <is>
          <t>0</t>
        </is>
      </c>
      <c r="J478" s="8" t="inlineStr">
        <is>
          <t>0</t>
        </is>
      </c>
      <c r="K478" s="9" t="inlineStr">
        <is>
          <t>0</t>
        </is>
      </c>
      <c r="L478" s="9" t="inlineStr">
        <is>
          <t>0</t>
        </is>
      </c>
      <c r="M478" s="9" t="inlineStr">
        <is>
          <t>0</t>
        </is>
      </c>
      <c r="N478" s="9" t="inlineStr">
        <is>
          <t>0</t>
        </is>
      </c>
      <c r="O478" s="10" t="inlineStr">
        <is>
          <t>0</t>
        </is>
      </c>
      <c r="P478" s="10" t="inlineStr">
        <is>
          <t>0</t>
        </is>
      </c>
      <c r="Q478" s="10" t="inlineStr">
        <is>
          <t>0</t>
        </is>
      </c>
      <c r="R478" s="10" t="inlineStr">
        <is>
          <t>0</t>
        </is>
      </c>
      <c r="S478" s="10" t="inlineStr">
        <is>
          <t>0</t>
        </is>
      </c>
    </row>
    <row r="479" ht="25" customHeight="1">
      <c r="A479" s="6">
        <f>IFERROR(__xludf.DUMMYFUNCTION("""COMPUTED_VALUE"""),"Tsedey")</f>
        <v/>
      </c>
      <c r="B479" s="6">
        <f>IFERROR(__xludf.DUMMYFUNCTION("""COMPUTED_VALUE"""),"Space")</f>
        <v/>
      </c>
      <c r="C479" s="6">
        <f>IFERROR(__xludf.DUMMYFUNCTION("""COMPUTED_VALUE"""),"Investigation")</f>
        <v/>
      </c>
      <c r="D479" s="7">
        <f>IFERROR(__xludf.DUMMYFUNCTION("""COMPUTED_VALUE"""),"No task description")</f>
        <v/>
      </c>
      <c r="E479" s="7">
        <f>IFERROR(__xludf.DUMMYFUNCTION("""COMPUTED_VALUE"""),"No artifact embedded")</f>
        <v/>
      </c>
      <c r="F479" s="7" t="inlineStr">
        <is>
          <t>No instructions or artifacts are provided to students in Items 1, 2, and 3.</t>
        </is>
      </c>
      <c r="G479" s="8" t="inlineStr">
        <is>
          <t>0</t>
        </is>
      </c>
      <c r="H479" s="8" t="inlineStr">
        <is>
          <t>0</t>
        </is>
      </c>
      <c r="I479" s="8" t="inlineStr">
        <is>
          <t>0</t>
        </is>
      </c>
      <c r="J479" s="8" t="inlineStr">
        <is>
          <t>0</t>
        </is>
      </c>
      <c r="K479" s="9" t="inlineStr">
        <is>
          <t>0</t>
        </is>
      </c>
      <c r="L479" s="9" t="inlineStr">
        <is>
          <t>0</t>
        </is>
      </c>
      <c r="M479" s="9" t="inlineStr">
        <is>
          <t>0</t>
        </is>
      </c>
      <c r="N479" s="9" t="inlineStr">
        <is>
          <t>0</t>
        </is>
      </c>
      <c r="O479" s="10" t="inlineStr">
        <is>
          <t>0</t>
        </is>
      </c>
      <c r="P479" s="10" t="inlineStr">
        <is>
          <t>0</t>
        </is>
      </c>
      <c r="Q479" s="10" t="inlineStr">
        <is>
          <t>0</t>
        </is>
      </c>
      <c r="R479" s="10" t="inlineStr">
        <is>
          <t>0</t>
        </is>
      </c>
      <c r="S479" s="10" t="inlineStr">
        <is>
          <t>0</t>
        </is>
      </c>
    </row>
    <row r="480" ht="25" customHeight="1">
      <c r="A480" s="6">
        <f>IFERROR(__xludf.DUMMYFUNCTION("""COMPUTED_VALUE"""),"Tsedey")</f>
        <v/>
      </c>
      <c r="B480" s="6">
        <f>IFERROR(__xludf.DUMMYFUNCTION("""COMPUTED_VALUE"""),"Space")</f>
        <v/>
      </c>
      <c r="C480" s="6">
        <f>IFERROR(__xludf.DUMMYFUNCTION("""COMPUTED_VALUE"""),"Conclusion")</f>
        <v/>
      </c>
      <c r="D480" s="7">
        <f>IFERROR(__xludf.DUMMYFUNCTION("""COMPUTED_VALUE"""),"No task description")</f>
        <v/>
      </c>
      <c r="E480" s="7">
        <f>IFERROR(__xludf.DUMMYFUNCTION("""COMPUTED_VALUE"""),"No artifact embedded")</f>
        <v/>
      </c>
      <c r="F480" s="7" t="inlineStr">
        <is>
          <t>No instructions or artifacts are provided for any of the items.</t>
        </is>
      </c>
      <c r="G480" s="8" t="inlineStr">
        <is>
          <t>0</t>
        </is>
      </c>
      <c r="H480" s="8" t="inlineStr">
        <is>
          <t>0</t>
        </is>
      </c>
      <c r="I480" s="8" t="inlineStr">
        <is>
          <t>0</t>
        </is>
      </c>
      <c r="J480" s="8" t="inlineStr">
        <is>
          <t>0</t>
        </is>
      </c>
      <c r="K480" s="9" t="inlineStr">
        <is>
          <t>0</t>
        </is>
      </c>
      <c r="L480" s="9" t="inlineStr">
        <is>
          <t>0</t>
        </is>
      </c>
      <c r="M480" s="9" t="inlineStr">
        <is>
          <t>0</t>
        </is>
      </c>
      <c r="N480" s="9" t="inlineStr">
        <is>
          <t>0</t>
        </is>
      </c>
      <c r="O480" s="10" t="inlineStr">
        <is>
          <t>0</t>
        </is>
      </c>
      <c r="P480" s="10" t="inlineStr">
        <is>
          <t>0</t>
        </is>
      </c>
      <c r="Q480" s="10" t="inlineStr">
        <is>
          <t>0</t>
        </is>
      </c>
      <c r="R480" s="10" t="inlineStr">
        <is>
          <t>0</t>
        </is>
      </c>
      <c r="S480" s="10" t="inlineStr">
        <is>
          <t>0</t>
        </is>
      </c>
    </row>
    <row r="481" ht="25" customHeight="1">
      <c r="A481" s="6">
        <f>IFERROR(__xludf.DUMMYFUNCTION("""COMPUTED_VALUE"""),"Tsedey")</f>
        <v/>
      </c>
      <c r="B481" s="6">
        <f>IFERROR(__xludf.DUMMYFUNCTION("""COMPUTED_VALUE"""),"Space")</f>
        <v/>
      </c>
      <c r="C481" s="6">
        <f>IFERROR(__xludf.DUMMYFUNCTION("""COMPUTED_VALUE"""),"Discussion")</f>
        <v/>
      </c>
      <c r="D481" s="7">
        <f>IFERROR(__xludf.DUMMYFUNCTION("""COMPUTED_VALUE"""),"No task description")</f>
        <v/>
      </c>
      <c r="E481" s="7">
        <f>IFERROR(__xludf.DUMMYFUNCTION("""COMPUTED_VALUE"""),"No artifact embedded")</f>
        <v/>
      </c>
      <c r="F481" s="7" t="inlineStr">
        <is>
          <t>No instructions or artifacts are provided for any of the items.</t>
        </is>
      </c>
      <c r="G481" s="8" t="inlineStr">
        <is>
          <t>0</t>
        </is>
      </c>
      <c r="H481" s="8" t="inlineStr">
        <is>
          <t>0</t>
        </is>
      </c>
      <c r="I481" s="8" t="inlineStr">
        <is>
          <t>0</t>
        </is>
      </c>
      <c r="J481" s="8" t="inlineStr">
        <is>
          <t>0</t>
        </is>
      </c>
      <c r="K481" s="9" t="inlineStr">
        <is>
          <t>0</t>
        </is>
      </c>
      <c r="L481" s="9" t="inlineStr">
        <is>
          <t>0</t>
        </is>
      </c>
      <c r="M481" s="9" t="inlineStr">
        <is>
          <t>0</t>
        </is>
      </c>
      <c r="N481" s="9" t="inlineStr">
        <is>
          <t>0</t>
        </is>
      </c>
      <c r="O481" s="10" t="inlineStr">
        <is>
          <t>0</t>
        </is>
      </c>
      <c r="P481" s="10" t="inlineStr">
        <is>
          <t>0</t>
        </is>
      </c>
      <c r="Q481" s="10" t="inlineStr">
        <is>
          <t>0</t>
        </is>
      </c>
      <c r="R481" s="10" t="inlineStr">
        <is>
          <t>0</t>
        </is>
      </c>
      <c r="S481" s="10" t="inlineStr">
        <is>
          <t>0</t>
        </is>
      </c>
    </row>
    <row r="482" ht="37" customHeight="1">
      <c r="A482" s="6">
        <f>IFERROR(__xludf.DUMMYFUNCTION("""COMPUTED_VALUE"""),"Teste")</f>
        <v/>
      </c>
      <c r="B482" s="6">
        <f>IFERROR(__xludf.DUMMYFUNCTION("""COMPUTED_VALUE"""),"Space")</f>
        <v/>
      </c>
      <c r="C482" s="6">
        <f>IFERROR(__xludf.DUMMYFUNCTION("""COMPUTED_VALUE"""),"Orientation")</f>
        <v/>
      </c>
      <c r="D482" s="7">
        <f>IFERROR(__xludf.DUMMYFUNCTION("""COMPUTED_VALUE"""),"&lt;p&gt;This is the Orientation phase.&lt;/p&gt;")</f>
        <v/>
      </c>
      <c r="E482" s="7">
        <f>IFERROR(__xludf.DUMMYFUNCTION("""COMPUTED_VALUE"""),"No artifact embedded")</f>
        <v/>
      </c>
      <c r="F482" s="7" t="inlineStr">
        <is>
          <t>Students received no task descriptions for Items 1 and 2. Item 3's task was the Orientation phase with no embedded artifacts.</t>
        </is>
      </c>
      <c r="G482" s="8" t="inlineStr">
        <is>
          <t>0</t>
        </is>
      </c>
      <c r="H482" s="8" t="inlineStr">
        <is>
          <t>0</t>
        </is>
      </c>
      <c r="I482" s="8" t="inlineStr">
        <is>
          <t>0</t>
        </is>
      </c>
      <c r="J482" s="8" t="inlineStr">
        <is>
          <t>0</t>
        </is>
      </c>
      <c r="K482" s="9" t="inlineStr">
        <is>
          <t>1</t>
        </is>
      </c>
      <c r="L482" s="9" t="inlineStr">
        <is>
          <t>0</t>
        </is>
      </c>
      <c r="M482" s="9" t="inlineStr">
        <is>
          <t>0</t>
        </is>
      </c>
      <c r="N482" s="9" t="inlineStr">
        <is>
          <t>0</t>
        </is>
      </c>
      <c r="O482" s="10" t="inlineStr">
        <is>
          <t>0</t>
        </is>
      </c>
      <c r="P482" s="10" t="inlineStr">
        <is>
          <t>0</t>
        </is>
      </c>
      <c r="Q482" s="10" t="inlineStr">
        <is>
          <t>0</t>
        </is>
      </c>
      <c r="R482" s="10" t="inlineStr">
        <is>
          <t>0</t>
        </is>
      </c>
      <c r="S482" s="10" t="inlineStr">
        <is>
          <t>0</t>
        </is>
      </c>
    </row>
    <row r="483" ht="37" customHeight="1">
      <c r="A483" s="6">
        <f>IFERROR(__xludf.DUMMYFUNCTION("""COMPUTED_VALUE"""),"Teste")</f>
        <v/>
      </c>
      <c r="B483" s="6">
        <f>IFERROR(__xludf.DUMMYFUNCTION("""COMPUTED_VALUE"""),"Space")</f>
        <v/>
      </c>
      <c r="C483" s="6">
        <f>IFERROR(__xludf.DUMMYFUNCTION("""COMPUTED_VALUE"""),"Conceptualisation")</f>
        <v/>
      </c>
      <c r="D483" s="7">
        <f>IFERROR(__xludf.DUMMYFUNCTION("""COMPUTED_VALUE"""),"&lt;p&gt;This is the Conceptualisation phase.&lt;/p&gt;")</f>
        <v/>
      </c>
      <c r="E483" s="7">
        <f>IFERROR(__xludf.DUMMYFUNCTION("""COMPUTED_VALUE"""),"No artifact embedded")</f>
        <v/>
      </c>
      <c r="F483" s="7" t="inlineStr">
        <is>
          <t>Students were instructed on Orientation and Conceptualisation phases with no artifacts or task descriptions provided for some items.</t>
        </is>
      </c>
      <c r="G483" s="8" t="inlineStr">
        <is>
          <t>0</t>
        </is>
      </c>
      <c r="H483" s="8" t="inlineStr">
        <is>
          <t>0</t>
        </is>
      </c>
      <c r="I483" s="8" t="inlineStr">
        <is>
          <t>0</t>
        </is>
      </c>
      <c r="J483" s="8" t="inlineStr">
        <is>
          <t>0</t>
        </is>
      </c>
      <c r="K483" s="9" t="inlineStr">
        <is>
          <t>1</t>
        </is>
      </c>
      <c r="L483" s="9" t="inlineStr">
        <is>
          <t>0</t>
        </is>
      </c>
      <c r="M483" s="9" t="inlineStr">
        <is>
          <t>0</t>
        </is>
      </c>
      <c r="N483" s="9" t="inlineStr">
        <is>
          <t>0</t>
        </is>
      </c>
      <c r="O483" s="10" t="inlineStr">
        <is>
          <t>0</t>
        </is>
      </c>
      <c r="P483" s="10" t="inlineStr">
        <is>
          <t>0</t>
        </is>
      </c>
      <c r="Q483" s="10" t="inlineStr">
        <is>
          <t>0</t>
        </is>
      </c>
      <c r="R483" s="10" t="inlineStr">
        <is>
          <t>0</t>
        </is>
      </c>
      <c r="S483" s="10" t="inlineStr">
        <is>
          <t>0</t>
        </is>
      </c>
    </row>
    <row r="484" ht="37" customHeight="1">
      <c r="A484" s="6">
        <f>IFERROR(__xludf.DUMMYFUNCTION("""COMPUTED_VALUE"""),"Teste")</f>
        <v/>
      </c>
      <c r="B484" s="6">
        <f>IFERROR(__xludf.DUMMYFUNCTION("""COMPUTED_VALUE"""),"Space")</f>
        <v/>
      </c>
      <c r="C484" s="6">
        <f>IFERROR(__xludf.DUMMYFUNCTION("""COMPUTED_VALUE"""),"Investigation")</f>
        <v/>
      </c>
      <c r="D484" s="7">
        <f>IFERROR(__xludf.DUMMYFUNCTION("""COMPUTED_VALUE"""),"&lt;p&gt;This is the Investigation phase.&lt;/p&gt;")</f>
        <v/>
      </c>
      <c r="E484" s="7">
        <f>IFERROR(__xludf.DUMMYFUNCTION("""COMPUTED_VALUE"""),"No artifact embedded")</f>
        <v/>
      </c>
      <c r="F484" s="7" t="inlineStr">
        <is>
          <t>Students receive task descriptions for Orientation, Conceptualisation, and Investigation phases with no embedded artifacts.</t>
        </is>
      </c>
      <c r="G484" s="8" t="inlineStr">
        <is>
          <t>0</t>
        </is>
      </c>
      <c r="H484" s="8" t="inlineStr">
        <is>
          <t>0</t>
        </is>
      </c>
      <c r="I484" s="8" t="inlineStr">
        <is>
          <t>0</t>
        </is>
      </c>
      <c r="J484" s="8" t="inlineStr">
        <is>
          <t>0</t>
        </is>
      </c>
      <c r="K484" s="9" t="inlineStr">
        <is>
          <t>1</t>
        </is>
      </c>
      <c r="L484" s="9" t="inlineStr">
        <is>
          <t>0</t>
        </is>
      </c>
      <c r="M484" s="9" t="inlineStr">
        <is>
          <t>0</t>
        </is>
      </c>
      <c r="N484" s="9" t="inlineStr">
        <is>
          <t>0</t>
        </is>
      </c>
      <c r="O484" s="10" t="inlineStr">
        <is>
          <t>0</t>
        </is>
      </c>
      <c r="P484" s="10" t="inlineStr">
        <is>
          <t>0</t>
        </is>
      </c>
      <c r="Q484" s="10" t="inlineStr">
        <is>
          <t>0</t>
        </is>
      </c>
      <c r="R484" s="10" t="inlineStr">
        <is>
          <t>0</t>
        </is>
      </c>
      <c r="S484" s="10" t="inlineStr">
        <is>
          <t>0</t>
        </is>
      </c>
    </row>
    <row r="485" ht="340" customHeight="1">
      <c r="A485" s="6">
        <f>IFERROR(__xludf.DUMMYFUNCTION("""COMPUTED_VALUE"""),"Teste")</f>
        <v/>
      </c>
      <c r="B485" s="6">
        <f>IFERROR(__xludf.DUMMYFUNCTION("""COMPUTED_VALUE"""),"Application")</f>
        <v/>
      </c>
      <c r="C485" s="6">
        <f>IFERROR(__xludf.DUMMYFUNCTION("""COMPUTED_VALUE"""),"John Travoltage source")</f>
        <v/>
      </c>
      <c r="D485" s="7">
        <f>IFERROR(__xludf.DUMMYFUNCTION("""COMPUTED_VALUE"""),"No task description")</f>
        <v/>
      </c>
      <c r="E485" s="7">
        <f>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
      </c>
      <c r="F485" s="7" t="inlineStr">
        <is>
          <t>Students follow phases: Conceptualisation, Investigation. An artifact "John Travoltage" simulates static electricity concepts.</t>
        </is>
      </c>
      <c r="G485" s="8" t="inlineStr">
        <is>
          <t>0</t>
        </is>
      </c>
      <c r="H485" s="8" t="inlineStr">
        <is>
          <t>1</t>
        </is>
      </c>
      <c r="I485" s="8" t="inlineStr">
        <is>
          <t>1</t>
        </is>
      </c>
      <c r="J485" s="8" t="inlineStr">
        <is>
          <t>1</t>
        </is>
      </c>
      <c r="K485" s="9" t="inlineStr">
        <is>
          <t>1</t>
        </is>
      </c>
      <c r="L485" s="9" t="inlineStr">
        <is>
          <t>1</t>
        </is>
      </c>
      <c r="M485" s="9" t="inlineStr">
        <is>
          <t>0</t>
        </is>
      </c>
      <c r="N485" s="9" t="inlineStr">
        <is>
          <t>0</t>
        </is>
      </c>
      <c r="O485" s="10" t="inlineStr">
        <is>
          <t>1</t>
        </is>
      </c>
      <c r="P485" s="10" t="inlineStr">
        <is>
          <t>0</t>
        </is>
      </c>
      <c r="Q485" s="10" t="inlineStr">
        <is>
          <t>1</t>
        </is>
      </c>
      <c r="R485" s="10" t="inlineStr">
        <is>
          <t>0</t>
        </is>
      </c>
      <c r="S485" s="10" t="inlineStr">
        <is>
          <t>0</t>
        </is>
      </c>
    </row>
    <row r="486" ht="409.5" customHeight="1">
      <c r="A486" s="6">
        <f>IFERROR(__xludf.DUMMYFUNCTION("""COMPUTED_VALUE"""),"Teste")</f>
        <v/>
      </c>
      <c r="B486" s="6">
        <f>IFERROR(__xludf.DUMMYFUNCTION("""COMPUTED_VALUE"""),"Application")</f>
        <v/>
      </c>
      <c r="C486" s="6">
        <f>IFERROR(__xludf.DUMMYFUNCTION("""COMPUTED_VALUE"""),"Vector Addition")</f>
        <v/>
      </c>
      <c r="D486" s="7">
        <f>IFERROR(__xludf.DUMMYFUNCTION("""COMPUTED_VALUE"""),"No task description")</f>
        <v/>
      </c>
      <c r="E486" s="7">
        <f>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
      </c>
      <c r="F486" s="7" t="inlineStr">
        <is>
          <t>Students were given tasks with embedded labs: static electricity and vector exploration, with specific learning goals.</t>
        </is>
      </c>
      <c r="G486" s="8" t="inlineStr">
        <is>
          <t>0</t>
        </is>
      </c>
      <c r="H486" s="8" t="inlineStr">
        <is>
          <t>1</t>
        </is>
      </c>
      <c r="I486" s="8" t="inlineStr">
        <is>
          <t>1</t>
        </is>
      </c>
      <c r="J486" s="8" t="inlineStr">
        <is>
          <t>1</t>
        </is>
      </c>
      <c r="K486" s="9" t="inlineStr">
        <is>
          <t>1</t>
        </is>
      </c>
      <c r="L486" s="9" t="inlineStr">
        <is>
          <t>1</t>
        </is>
      </c>
      <c r="M486" s="9" t="inlineStr">
        <is>
          <t>0</t>
        </is>
      </c>
      <c r="N486" s="9" t="inlineStr">
        <is>
          <t>0</t>
        </is>
      </c>
      <c r="O486" s="10" t="inlineStr">
        <is>
          <t>1</t>
        </is>
      </c>
      <c r="P486" s="10" t="inlineStr">
        <is>
          <t>0</t>
        </is>
      </c>
      <c r="Q486" s="10" t="inlineStr">
        <is>
          <t>1</t>
        </is>
      </c>
      <c r="R486" s="10" t="inlineStr">
        <is>
          <t>0</t>
        </is>
      </c>
      <c r="S486" s="10" t="inlineStr">
        <is>
          <t>0</t>
        </is>
      </c>
    </row>
    <row r="487" ht="37" customHeight="1">
      <c r="A487" s="6">
        <f>IFERROR(__xludf.DUMMYFUNCTION("""COMPUTED_VALUE"""),"Teste")</f>
        <v/>
      </c>
      <c r="B487" s="6">
        <f>IFERROR(__xludf.DUMMYFUNCTION("""COMPUTED_VALUE"""),"Space")</f>
        <v/>
      </c>
      <c r="C487" s="6">
        <f>IFERROR(__xludf.DUMMYFUNCTION("""COMPUTED_VALUE"""),"Conclusion")</f>
        <v/>
      </c>
      <c r="D487" s="7">
        <f>IFERROR(__xludf.DUMMYFUNCTION("""COMPUTED_VALUE"""),"&lt;p&gt;This is the Conclusion phase.&lt;/p&gt;")</f>
        <v/>
      </c>
      <c r="E487" s="7">
        <f>IFERROR(__xludf.DUMMYFUNCTION("""COMPUTED_VALUE"""),"No artifact embedded")</f>
        <v/>
      </c>
      <c r="F487" s="7" t="inlineStr">
        <is>
          <t>Students use Golabz app/labs for static electricity and vector exploration with sample learning goals.</t>
        </is>
      </c>
      <c r="G487" s="8" t="inlineStr">
        <is>
          <t>0</t>
        </is>
      </c>
      <c r="H487" s="8" t="inlineStr">
        <is>
          <t>0</t>
        </is>
      </c>
      <c r="I487" s="8" t="inlineStr">
        <is>
          <t>0</t>
        </is>
      </c>
      <c r="J487" s="8" t="inlineStr">
        <is>
          <t>0</t>
        </is>
      </c>
      <c r="K487" s="9" t="inlineStr">
        <is>
          <t>1</t>
        </is>
      </c>
      <c r="L487" s="9" t="inlineStr">
        <is>
          <t>0</t>
        </is>
      </c>
      <c r="M487" s="9" t="inlineStr">
        <is>
          <t>0</t>
        </is>
      </c>
      <c r="N487" s="9" t="inlineStr">
        <is>
          <t>0</t>
        </is>
      </c>
      <c r="O487" s="10" t="inlineStr">
        <is>
          <t>0</t>
        </is>
      </c>
      <c r="P487" s="10" t="inlineStr">
        <is>
          <t>0</t>
        </is>
      </c>
      <c r="Q487" s="10" t="inlineStr">
        <is>
          <t>0</t>
        </is>
      </c>
      <c r="R487" s="10" t="inlineStr">
        <is>
          <t>0</t>
        </is>
      </c>
      <c r="S487" s="10" t="inlineStr">
        <is>
          <t>0</t>
        </is>
      </c>
    </row>
    <row r="488" ht="37" customHeight="1">
      <c r="A488" s="6">
        <f>IFERROR(__xludf.DUMMYFUNCTION("""COMPUTED_VALUE"""),"Teste")</f>
        <v/>
      </c>
      <c r="B488" s="6">
        <f>IFERROR(__xludf.DUMMYFUNCTION("""COMPUTED_VALUE"""),"Space")</f>
        <v/>
      </c>
      <c r="C488" s="6">
        <f>IFERROR(__xludf.DUMMYFUNCTION("""COMPUTED_VALUE"""),"Discussion")</f>
        <v/>
      </c>
      <c r="D488" s="7">
        <f>IFERROR(__xludf.DUMMYFUNCTION("""COMPUTED_VALUE"""),"&lt;p&gt;This is the Discussion phase.&lt;/p&gt;")</f>
        <v/>
      </c>
      <c r="E488" s="7">
        <f>IFERROR(__xludf.DUMMYFUNCTION("""COMPUTED_VALUE"""),"No artifact embedded")</f>
        <v/>
      </c>
      <c r="F488" s="7" t="inlineStr">
        <is>
          <t>Students explore vectors using Golabz app, describing and adding vectors, comparing components, and decomposing vectors.</t>
        </is>
      </c>
      <c r="G488" s="8" t="inlineStr">
        <is>
          <t>1</t>
        </is>
      </c>
      <c r="H488" s="8" t="inlineStr">
        <is>
          <t>0</t>
        </is>
      </c>
      <c r="I488" s="8" t="inlineStr">
        <is>
          <t>0</t>
        </is>
      </c>
      <c r="J488" s="8" t="inlineStr">
        <is>
          <t>0</t>
        </is>
      </c>
      <c r="K488" s="9" t="inlineStr">
        <is>
          <t>0</t>
        </is>
      </c>
      <c r="L488" s="9" t="inlineStr">
        <is>
          <t>0</t>
        </is>
      </c>
      <c r="M488" s="9" t="inlineStr">
        <is>
          <t>1</t>
        </is>
      </c>
      <c r="N488" s="9" t="inlineStr">
        <is>
          <t>0</t>
        </is>
      </c>
      <c r="O488" s="10" t="inlineStr">
        <is>
          <t>0</t>
        </is>
      </c>
      <c r="P488" s="10" t="inlineStr">
        <is>
          <t>0</t>
        </is>
      </c>
      <c r="Q488" s="10" t="inlineStr">
        <is>
          <t>0</t>
        </is>
      </c>
      <c r="R488" s="10" t="inlineStr">
        <is>
          <t>0</t>
        </is>
      </c>
      <c r="S488" s="10" t="inlineStr">
        <is>
          <t>0</t>
        </is>
      </c>
    </row>
    <row r="489" ht="133" customHeight="1">
      <c r="A489" s="6">
        <f>IFERROR(__xludf.DUMMYFUNCTION("""COMPUTED_VALUE"""),"ROU - Școala Gimnazială nr. 9 „Nicolae Orghidan” Brașov")</f>
        <v/>
      </c>
      <c r="B489" s="6">
        <f>IFERROR(__xludf.DUMMYFUNCTION("""COMPUTED_VALUE"""),"Space")</f>
        <v/>
      </c>
      <c r="C489" s="6">
        <f>IFERROR(__xludf.DUMMYFUNCTION("""COMPUTED_VALUE"""),"Meet the team")</f>
        <v/>
      </c>
      <c r="D489" s="7">
        <f>IFERROR(__xludf.DUMMYFUNCTION("""COMPUTED_VALUE"""),"&lt;p&gt;This space was created for each member of the team to present itself. You can add pictures, quotes, or a simple sentence. Your creativity is welcome.&lt;/p&gt;")</f>
        <v/>
      </c>
      <c r="E489" s="7">
        <f>IFERROR(__xludf.DUMMYFUNCTION("""COMPUTED_VALUE"""),"No artifact embedded")</f>
        <v/>
      </c>
      <c r="F489" s="7" t="inlineStr">
        <is>
          <t>Students were instructed on Conclusion, Discussion, and team introduction phases with no artifacts embedded.</t>
        </is>
      </c>
      <c r="G489" s="8" t="inlineStr">
        <is>
          <t>0</t>
        </is>
      </c>
      <c r="H489" s="8" t="inlineStr">
        <is>
          <t>0</t>
        </is>
      </c>
      <c r="I489" s="8" t="inlineStr">
        <is>
          <t>1</t>
        </is>
      </c>
      <c r="J489" s="8" t="inlineStr">
        <is>
          <t>1</t>
        </is>
      </c>
      <c r="K489" s="9" t="inlineStr">
        <is>
          <t>0</t>
        </is>
      </c>
      <c r="L489" s="9" t="inlineStr">
        <is>
          <t>1</t>
        </is>
      </c>
      <c r="M489" s="9" t="inlineStr">
        <is>
          <t>0</t>
        </is>
      </c>
      <c r="N489" s="9" t="inlineStr">
        <is>
          <t>0</t>
        </is>
      </c>
      <c r="O489" s="10" t="inlineStr">
        <is>
          <t>0</t>
        </is>
      </c>
      <c r="P489" s="10" t="inlineStr">
        <is>
          <t>0</t>
        </is>
      </c>
      <c r="Q489" s="10" t="inlineStr">
        <is>
          <t>0</t>
        </is>
      </c>
      <c r="R489" s="10" t="inlineStr">
        <is>
          <t>0</t>
        </is>
      </c>
      <c r="S489" s="10" t="inlineStr">
        <is>
          <t>0</t>
        </is>
      </c>
    </row>
    <row r="490" ht="121" customHeight="1">
      <c r="A490" s="6">
        <f>IFERROR(__xludf.DUMMYFUNCTION("""COMPUTED_VALUE"""),"ROU - Școala Gimnazială nr. 9 „Nicolae Orghidan” Brașov")</f>
        <v/>
      </c>
      <c r="B490" s="6">
        <f>IFERROR(__xludf.DUMMYFUNCTION("""COMPUTED_VALUE"""),"Resource")</f>
        <v/>
      </c>
      <c r="C490" s="6">
        <f>IFERROR(__xludf.DUMMYFUNCTION("""COMPUTED_VALUE"""),"Școala Gimnazială Nr. 9 „Nicolae Orghidan” Brașov, România")</f>
        <v/>
      </c>
      <c r="D490" s="7">
        <f>IFERROR(__xludf.DUMMYFUNCTION("""COMPUTED_VALUE"""),"No task description")</f>
        <v/>
      </c>
      <c r="E490" s="7">
        <f>IFERROR(__xludf.DUMMYFUNCTION("""COMPUTED_VALUE"""),"slideshare.net: A platform for sharing presentations and documents, including educational materials from various institutions.")</f>
        <v/>
      </c>
      <c r="F490" s="7" t="inlineStr">
        <is>
          <t>Students were given tasks to discuss and introduce themselves. Embedded artifacts include a presentation-sharing platform, Slideshare.</t>
        </is>
      </c>
      <c r="G490" s="8" t="inlineStr">
        <is>
          <t>1</t>
        </is>
      </c>
      <c r="H490" s="8" t="inlineStr">
        <is>
          <t>0</t>
        </is>
      </c>
      <c r="I490" s="8" t="inlineStr">
        <is>
          <t>0</t>
        </is>
      </c>
      <c r="J490" s="8" t="inlineStr">
        <is>
          <t>0</t>
        </is>
      </c>
      <c r="K490" s="9" t="inlineStr">
        <is>
          <t>0</t>
        </is>
      </c>
      <c r="L490" s="9" t="inlineStr">
        <is>
          <t>0</t>
        </is>
      </c>
      <c r="M490" s="9" t="inlineStr">
        <is>
          <t>1</t>
        </is>
      </c>
      <c r="N490" s="9" t="inlineStr">
        <is>
          <t>0</t>
        </is>
      </c>
      <c r="O490" s="10" t="inlineStr">
        <is>
          <t>0</t>
        </is>
      </c>
      <c r="P490" s="10" t="inlineStr">
        <is>
          <t>0</t>
        </is>
      </c>
      <c r="Q490" s="10" t="inlineStr">
        <is>
          <t>0</t>
        </is>
      </c>
      <c r="R490" s="10" t="inlineStr">
        <is>
          <t>0</t>
        </is>
      </c>
      <c r="S490" s="10" t="inlineStr">
        <is>
          <t>1</t>
        </is>
      </c>
    </row>
    <row r="491" ht="133" customHeight="1">
      <c r="A491" s="6">
        <f>IFERROR(__xludf.DUMMYFUNCTION("""COMPUTED_VALUE"""),"ROU - Școala Gimnazială nr. 9 „Nicolae Orghidan” Brașov")</f>
        <v/>
      </c>
      <c r="B491" s="6">
        <f>IFERROR(__xludf.DUMMYFUNCTION("""COMPUTED_VALUE"""),"Space")</f>
        <v/>
      </c>
      <c r="C491" s="6">
        <f>IFERROR(__xludf.DUMMYFUNCTION("""COMPUTED_VALUE"""),"What motivates us in PLATON")</f>
        <v/>
      </c>
      <c r="D491" s="7">
        <f>IFERROR(__xludf.DUMMYFUNCTION("""COMPUTED_VALUE"""),"&lt;p&gt;Write here what motivates you in PLATON, what does it mean to you, how do you think it is contributing to your school’s development and/or identity.&lt;/p&gt;")</f>
        <v/>
      </c>
      <c r="E491" s="7">
        <f>IFERROR(__xludf.DUMMYFUNCTION("""COMPUTED_VALUE"""),"No artifact embedded")</f>
        <v/>
      </c>
      <c r="F491" s="7" t="inlineStr">
        <is>
          <t>Students were instructed to introduce themselves (Item1) and share motivations (Item3). Embedded artifacts include a presentation-sharing platform (Item2).</t>
        </is>
      </c>
      <c r="G491" s="8" t="inlineStr">
        <is>
          <t>0</t>
        </is>
      </c>
      <c r="H491" s="8" t="inlineStr">
        <is>
          <t>0</t>
        </is>
      </c>
      <c r="I491" s="8" t="inlineStr">
        <is>
          <t>1</t>
        </is>
      </c>
      <c r="J491" s="8" t="inlineStr">
        <is>
          <t>1</t>
        </is>
      </c>
      <c r="K491" s="9" t="inlineStr">
        <is>
          <t>0</t>
        </is>
      </c>
      <c r="L491" s="9" t="inlineStr">
        <is>
          <t>1</t>
        </is>
      </c>
      <c r="M491" s="9" t="inlineStr">
        <is>
          <t>0</t>
        </is>
      </c>
      <c r="N491" s="9" t="inlineStr">
        <is>
          <t>0</t>
        </is>
      </c>
      <c r="O491" s="10" t="inlineStr">
        <is>
          <t>1</t>
        </is>
      </c>
      <c r="P491" s="10" t="inlineStr">
        <is>
          <t>0</t>
        </is>
      </c>
      <c r="Q491" s="10" t="inlineStr">
        <is>
          <t>0</t>
        </is>
      </c>
      <c r="R491" s="10" t="inlineStr">
        <is>
          <t>0</t>
        </is>
      </c>
      <c r="S491" s="10" t="inlineStr">
        <is>
          <t>1</t>
        </is>
      </c>
    </row>
    <row r="492" ht="217" customHeight="1">
      <c r="A492" s="6">
        <f>IFERROR(__xludf.DUMMYFUNCTION("""COMPUTED_VALUE"""),"ROU - Școala Gimnazială nr. 9 „Nicolae Orghidan” Brașov")</f>
        <v/>
      </c>
      <c r="B492" s="6">
        <f>IFERROR(__xludf.DUMMYFUNCTION("""COMPUTED_VALUE"""),"Space")</f>
        <v/>
      </c>
      <c r="C492" s="6">
        <f>IFERROR(__xludf.DUMMYFUNCTION("""COMPUTED_VALUE"""),"Our work")</f>
        <v/>
      </c>
      <c r="D492" s="7">
        <f>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
      </c>
      <c r="E492" s="7">
        <f>IFERROR(__xludf.DUMMYFUNCTION("""COMPUTED_VALUE"""),"No artifact embedded")</f>
        <v/>
      </c>
      <c r="F492" s="7" t="inlineStr">
        <is>
          <t>Students were given tasks with varying instructions and optional embedded artifacts from platforms like Slideshare.</t>
        </is>
      </c>
      <c r="G492" s="8" t="inlineStr">
        <is>
          <t>0</t>
        </is>
      </c>
      <c r="H492" s="8" t="inlineStr">
        <is>
          <t>0</t>
        </is>
      </c>
      <c r="I492" s="8" t="inlineStr">
        <is>
          <t>1</t>
        </is>
      </c>
      <c r="J492" s="8" t="inlineStr">
        <is>
          <t>1</t>
        </is>
      </c>
      <c r="K492" s="9" t="inlineStr">
        <is>
          <t>0</t>
        </is>
      </c>
      <c r="L492" s="9" t="inlineStr">
        <is>
          <t>1</t>
        </is>
      </c>
      <c r="M492" s="9" t="inlineStr">
        <is>
          <t>0</t>
        </is>
      </c>
      <c r="N492" s="9" t="inlineStr">
        <is>
          <t>0</t>
        </is>
      </c>
      <c r="O492" s="10" t="inlineStr">
        <is>
          <t>0</t>
        </is>
      </c>
      <c r="P492" s="10" t="inlineStr">
        <is>
          <t>0</t>
        </is>
      </c>
      <c r="Q492" s="10" t="inlineStr">
        <is>
          <t>0</t>
        </is>
      </c>
      <c r="R492" s="10" t="inlineStr">
        <is>
          <t>0</t>
        </is>
      </c>
      <c r="S492" s="10" t="inlineStr">
        <is>
          <t>0</t>
        </is>
      </c>
    </row>
    <row r="493" ht="217" customHeight="1">
      <c r="A493" s="6">
        <f>IFERROR(__xludf.DUMMYFUNCTION("""COMPUTED_VALUE"""),"ROU - Școala Gimnazială nr. 9 „Nicolae Orghidan” Brașov")</f>
        <v/>
      </c>
      <c r="B493" s="6">
        <f>IFERROR(__xludf.DUMMYFUNCTION("""COMPUTED_VALUE"""),"Space")</f>
        <v/>
      </c>
      <c r="C493" s="6">
        <f>IFERROR(__xludf.DUMMYFUNCTION("""COMPUTED_VALUE"""),"Worth Sharing")</f>
        <v/>
      </c>
      <c r="D493" s="7">
        <f>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
      </c>
      <c r="E493" s="7">
        <f>IFERROR(__xludf.DUMMYFUNCTION("""COMPUTED_VALUE"""),"No artifact embedded")</f>
        <v/>
      </c>
      <c r="F493" s="7" t="inlineStr">
        <is>
          <t>Students are instructed to write about motivations, share project records, and add relevant ideas/experiences. No artifacts are embedded in Items 1-3.</t>
        </is>
      </c>
      <c r="G493" s="8" t="inlineStr">
        <is>
          <t>0</t>
        </is>
      </c>
      <c r="H493" s="8" t="inlineStr">
        <is>
          <t>0</t>
        </is>
      </c>
      <c r="I493" s="8" t="inlineStr">
        <is>
          <t>1</t>
        </is>
      </c>
      <c r="J493" s="8" t="inlineStr">
        <is>
          <t>1</t>
        </is>
      </c>
      <c r="K493" s="9" t="inlineStr">
        <is>
          <t>0</t>
        </is>
      </c>
      <c r="L493" s="9" t="inlineStr">
        <is>
          <t>1</t>
        </is>
      </c>
      <c r="M493" s="9" t="inlineStr">
        <is>
          <t>0</t>
        </is>
      </c>
      <c r="N493" s="9" t="inlineStr">
        <is>
          <t>0</t>
        </is>
      </c>
      <c r="O493" s="10" t="inlineStr">
        <is>
          <t>0</t>
        </is>
      </c>
      <c r="P493" s="10" t="inlineStr">
        <is>
          <t>0</t>
        </is>
      </c>
      <c r="Q493" s="10" t="inlineStr">
        <is>
          <t>0</t>
        </is>
      </c>
      <c r="R493" s="10" t="inlineStr">
        <is>
          <t>0</t>
        </is>
      </c>
      <c r="S493" s="10" t="inlineStr">
        <is>
          <t>1</t>
        </is>
      </c>
    </row>
    <row r="494" ht="409.5" customHeight="1">
      <c r="A494" s="6">
        <f>IFERROR(__xludf.DUMMYFUNCTION("""COMPUTED_VALUE"""),"ROU - Școala Gimnazială nr. 9 „Nicolae Orghidan” Brașov")</f>
        <v/>
      </c>
      <c r="B494" s="6">
        <f>IFERROR(__xludf.DUMMYFUNCTION("""COMPUTED_VALUE"""),"Space")</f>
        <v/>
      </c>
      <c r="C494" s="6">
        <f>IFERROR(__xludf.DUMMYFUNCTION("""COMPUTED_VALUE"""),"Student's feedback")</f>
        <v/>
      </c>
      <c r="D494" s="7">
        <f>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
      </c>
      <c r="E494" s="7">
        <f>IFERROR(__xludf.DUMMYFUNCTION("""COMPUTED_VALUE"""),"No artifact embedded")</f>
        <v/>
      </c>
      <c r="F494" s="7" t="inlineStr">
        <is>
          <t>Students are instructed to add project records, ideas, and quotes, with optional artifacts like pictures and videos. No artifacts are currently embedded.</t>
        </is>
      </c>
      <c r="G494" s="8" t="inlineStr">
        <is>
          <t>0</t>
        </is>
      </c>
      <c r="H494" s="8" t="inlineStr">
        <is>
          <t>0</t>
        </is>
      </c>
      <c r="I494" s="8" t="inlineStr">
        <is>
          <t>1</t>
        </is>
      </c>
      <c r="J494" s="8" t="inlineStr">
        <is>
          <t>0</t>
        </is>
      </c>
      <c r="K494" s="9" t="inlineStr">
        <is>
          <t>0</t>
        </is>
      </c>
      <c r="L494" s="9" t="inlineStr">
        <is>
          <t>1</t>
        </is>
      </c>
      <c r="M494" s="9" t="inlineStr">
        <is>
          <t>0</t>
        </is>
      </c>
      <c r="N494" s="9" t="inlineStr">
        <is>
          <t>0</t>
        </is>
      </c>
      <c r="O494" s="10" t="inlineStr">
        <is>
          <t>0</t>
        </is>
      </c>
      <c r="P494" s="10" t="inlineStr">
        <is>
          <t>0</t>
        </is>
      </c>
      <c r="Q494" s="10" t="inlineStr">
        <is>
          <t>0</t>
        </is>
      </c>
      <c r="R494" s="10" t="inlineStr">
        <is>
          <t>0</t>
        </is>
      </c>
      <c r="S494" s="10" t="inlineStr">
        <is>
          <t>0</t>
        </is>
      </c>
    </row>
    <row r="495" ht="157" customHeight="1">
      <c r="A495" s="6">
        <f>IFERROR(__xludf.DUMMYFUNCTION("""COMPUTED_VALUE"""),"ROU - Școala Gimnazială nr. 9 „Nicolae Orghidan” Brașov")</f>
        <v/>
      </c>
      <c r="B495" s="6">
        <f>IFERROR(__xludf.DUMMYFUNCTION("""COMPUTED_VALUE"""),"Application")</f>
        <v/>
      </c>
      <c r="C495" s="6">
        <f>IFERROR(__xludf.DUMMYFUNCTION("""COMPUTED_VALUE"""),"File Drop")</f>
        <v/>
      </c>
      <c r="D495" s="7">
        <f>IFERROR(__xludf.DUMMYFUNCTION("""COMPUTED_VALUE"""),"No task description")</f>
        <v/>
      </c>
      <c r="E495" s="7">
        <f>IFERROR(__xludf.DUMMYFUNCTION("""COMPUTED_VALUE"""),"Golabz app/lab: ""&lt;p&gt;This app allows students to upload files, e.g., assignment and reports, to the Inquiry learning Space. The app also allows teachers to download the uploaded files.&lt;/p&gt;\r\n""")</f>
        <v/>
      </c>
      <c r="F495" s="7" t="inlineStr">
        <is>
          <t>Students are instructed to share ideas, experiences, and artifacts, with optional embedding of videos, pictures, quotes, and portfolios, with varying levels of access and permission settings.</t>
        </is>
      </c>
      <c r="G495" s="8" t="inlineStr">
        <is>
          <t>0</t>
        </is>
      </c>
      <c r="H495" s="8" t="inlineStr">
        <is>
          <t>1</t>
        </is>
      </c>
      <c r="I495" s="8" t="inlineStr">
        <is>
          <t>1</t>
        </is>
      </c>
      <c r="J495" s="8" t="inlineStr">
        <is>
          <t>0</t>
        </is>
      </c>
      <c r="K495" s="9" t="inlineStr">
        <is>
          <t>0</t>
        </is>
      </c>
      <c r="L495" s="9" t="inlineStr">
        <is>
          <t>1</t>
        </is>
      </c>
      <c r="M495" s="9" t="inlineStr">
        <is>
          <t>0</t>
        </is>
      </c>
      <c r="N495" s="9" t="inlineStr">
        <is>
          <t>0</t>
        </is>
      </c>
      <c r="O495" s="10" t="inlineStr">
        <is>
          <t>0</t>
        </is>
      </c>
      <c r="P495" s="10" t="inlineStr">
        <is>
          <t>0</t>
        </is>
      </c>
      <c r="Q495" s="10" t="inlineStr">
        <is>
          <t>0</t>
        </is>
      </c>
      <c r="R495" s="10" t="inlineStr">
        <is>
          <t>0</t>
        </is>
      </c>
      <c r="S495" s="10" t="inlineStr">
        <is>
          <t>1</t>
        </is>
      </c>
    </row>
    <row r="496" ht="296" customHeight="1">
      <c r="A496" s="6">
        <f>IFERROR(__xludf.DUMMYFUNCTION("""COMPUTED_VALUE"""),"ROU - Școala Gimnazială nr. 9 „Nicolae Orghidan” Brașov")</f>
        <v/>
      </c>
      <c r="B496" s="6">
        <f>IFERROR(__xludf.DUMMYFUNCTION("""COMPUTED_VALUE"""),"Space")</f>
        <v/>
      </c>
      <c r="C496" s="6">
        <f>IFERROR(__xludf.DUMMYFUNCTION("""COMPUTED_VALUE"""),"Our team's feedback")</f>
        <v/>
      </c>
      <c r="D496" s="7">
        <f>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
      </c>
      <c r="E496" s="7">
        <f>IFERROR(__xludf.DUMMYFUNCTION("""COMPUTED_VALUE"""),"No artifact embedded")</f>
        <v/>
      </c>
      <c r="F496" s="7" t="inlineStr">
        <is>
          <t>Students were instructed to add quotes, pictures, or portfolios. Embedded artifacts include a Golabz app for file upload and download.</t>
        </is>
      </c>
      <c r="G496" s="8" t="inlineStr">
        <is>
          <t>0</t>
        </is>
      </c>
      <c r="H496" s="8" t="inlineStr">
        <is>
          <t>0</t>
        </is>
      </c>
      <c r="I496" s="8" t="inlineStr">
        <is>
          <t>1</t>
        </is>
      </c>
      <c r="J496" s="8" t="inlineStr">
        <is>
          <t>1</t>
        </is>
      </c>
      <c r="K496" s="9" t="inlineStr">
        <is>
          <t>0</t>
        </is>
      </c>
      <c r="L496" s="9" t="inlineStr">
        <is>
          <t>1</t>
        </is>
      </c>
      <c r="M496" s="9" t="inlineStr">
        <is>
          <t>1</t>
        </is>
      </c>
      <c r="N496" s="9" t="inlineStr">
        <is>
          <t>0</t>
        </is>
      </c>
      <c r="O496" s="10" t="inlineStr">
        <is>
          <t>0</t>
        </is>
      </c>
      <c r="P496" s="10" t="inlineStr">
        <is>
          <t>0</t>
        </is>
      </c>
      <c r="Q496" s="10" t="inlineStr">
        <is>
          <t>0</t>
        </is>
      </c>
      <c r="R496" s="10" t="inlineStr">
        <is>
          <t>0</t>
        </is>
      </c>
      <c r="S496" s="10" t="inlineStr">
        <is>
          <t>1</t>
        </is>
      </c>
    </row>
    <row r="497" ht="157" customHeight="1">
      <c r="A497" s="6">
        <f>IFERROR(__xludf.DUMMYFUNCTION("""COMPUTED_VALUE"""),"ROU - Școala Gimnazială nr. 9 „Nicolae Orghidan” Brașov")</f>
        <v/>
      </c>
      <c r="B497" s="6">
        <f>IFERROR(__xludf.DUMMYFUNCTION("""COMPUTED_VALUE"""),"Space")</f>
        <v/>
      </c>
      <c r="C497" s="6">
        <f>IFERROR(__xludf.DUMMYFUNCTION("""COMPUTED_VALUE"""),"Lessons learn't")</f>
        <v/>
      </c>
      <c r="D497" s="7">
        <f>IFERROR(__xludf.DUMMYFUNCTION("""COMPUTED_VALUE"""),"&lt;p&gt;From your work during the implementation what is it that stands out? What would you want to see in our final project compilation of work (roadmap)? Write here your reflections.&lt;/p&gt;")</f>
        <v/>
      </c>
      <c r="E497" s="7">
        <f>IFERROR(__xludf.DUMMYFUNCTION("""COMPUTED_VALUE"""),"No artifact embedded")</f>
        <v/>
      </c>
      <c r="F497" s="7" t="inlineStr">
        <is>
          <t>Students were given tasks with descriptions and optional embedded artifacts, including using Golabz app for file uploads.</t>
        </is>
      </c>
      <c r="G497" s="8" t="inlineStr">
        <is>
          <t>0</t>
        </is>
      </c>
      <c r="H497" s="8" t="inlineStr">
        <is>
          <t>0</t>
        </is>
      </c>
      <c r="I497" s="8" t="inlineStr">
        <is>
          <t>1</t>
        </is>
      </c>
      <c r="J497" s="8" t="inlineStr">
        <is>
          <t>1</t>
        </is>
      </c>
      <c r="K497" s="9" t="inlineStr">
        <is>
          <t>0</t>
        </is>
      </c>
      <c r="L497" s="9" t="inlineStr">
        <is>
          <t>1</t>
        </is>
      </c>
      <c r="M497" s="9" t="inlineStr">
        <is>
          <t>0</t>
        </is>
      </c>
      <c r="N497" s="9" t="inlineStr">
        <is>
          <t>0</t>
        </is>
      </c>
      <c r="O497" s="10" t="inlineStr">
        <is>
          <t>0</t>
        </is>
      </c>
      <c r="P497" s="10" t="inlineStr">
        <is>
          <t>0</t>
        </is>
      </c>
      <c r="Q497" s="10" t="inlineStr">
        <is>
          <t>0</t>
        </is>
      </c>
      <c r="R497" s="10" t="inlineStr">
        <is>
          <t>0</t>
        </is>
      </c>
      <c r="S497" s="10" t="inlineStr">
        <is>
          <t>1</t>
        </is>
      </c>
    </row>
    <row r="498" ht="61" customHeight="1">
      <c r="A498" s="6">
        <f>IFERROR(__xludf.DUMMYFUNCTION("""COMPUTED_VALUE"""),"Robotic Arm")</f>
        <v/>
      </c>
      <c r="B498" s="6">
        <f>IFERROR(__xludf.DUMMYFUNCTION("""COMPUTED_VALUE"""),"Space")</f>
        <v/>
      </c>
      <c r="C498" s="6">
        <f>IFERROR(__xludf.DUMMYFUNCTION("""COMPUTED_VALUE"""),"Basic")</f>
        <v/>
      </c>
      <c r="D498" s="7">
        <f>IFERROR(__xludf.DUMMYFUNCTION("""COMPUTED_VALUE"""),"&lt;p&gt;YouTube  example used and programming RoboArm&lt;/p&gt;")</f>
        <v/>
      </c>
      <c r="E498" s="7">
        <f>IFERROR(__xludf.DUMMYFUNCTION("""COMPUTED_VALUE"""),"No artifact embedded")</f>
        <v/>
      </c>
      <c r="F498" s="7" t="inlineStr">
        <is>
          <t>Students provide recommendations on PLATON methodology, reflect on implementation, and share a YouTube example of programming RoboArm. No artifacts are embedded in the tasks.</t>
        </is>
      </c>
      <c r="G498" s="8" t="inlineStr">
        <is>
          <t>1</t>
        </is>
      </c>
      <c r="H498" s="8" t="inlineStr">
        <is>
          <t>0</t>
        </is>
      </c>
      <c r="I498" s="8" t="inlineStr">
        <is>
          <t>0</t>
        </is>
      </c>
      <c r="J498" s="8" t="inlineStr">
        <is>
          <t>0</t>
        </is>
      </c>
      <c r="K498" s="9" t="inlineStr">
        <is>
          <t>1</t>
        </is>
      </c>
      <c r="L498" s="9" t="inlineStr">
        <is>
          <t>0</t>
        </is>
      </c>
      <c r="M498" s="9" t="inlineStr">
        <is>
          <t>0</t>
        </is>
      </c>
      <c r="N498" s="9" t="inlineStr">
        <is>
          <t>0</t>
        </is>
      </c>
      <c r="O498" s="10" t="inlineStr">
        <is>
          <t>0</t>
        </is>
      </c>
      <c r="P498" s="10" t="inlineStr">
        <is>
          <t>0</t>
        </is>
      </c>
      <c r="Q498" s="10" t="inlineStr">
        <is>
          <t>0</t>
        </is>
      </c>
      <c r="R498" s="10" t="inlineStr">
        <is>
          <t>0</t>
        </is>
      </c>
      <c r="S498" s="10" t="inlineStr">
        <is>
          <t>0</t>
        </is>
      </c>
    </row>
    <row r="499" ht="121" customHeight="1">
      <c r="A499" s="6">
        <f>IFERROR(__xludf.DUMMYFUNCTION("""COMPUTED_VALUE"""),"Robotic Arm")</f>
        <v/>
      </c>
      <c r="B499" s="6">
        <f>IFERROR(__xludf.DUMMYFUNCTION("""COMPUTED_VALUE"""),"Resource")</f>
        <v/>
      </c>
      <c r="C499" s="6">
        <f>IFERROR(__xludf.DUMMYFUNCTION("""COMPUTED_VALUE"""),"ROBOARM")</f>
        <v/>
      </c>
      <c r="D499" s="7">
        <f>IFERROR(__xludf.DUMMYFUNCTION("""COMPUTED_VALUE"""),"No task description")</f>
        <v/>
      </c>
      <c r="E499" s="7">
        <f>IFERROR(__xludf.DUMMYFUNCTION("""COMPUTED_VALUE"""),"youtube.com: A widely known video-sharing platform where users can watch videos on a vast array of topics, including educational content.")</f>
        <v/>
      </c>
      <c r="F499" s="7" t="inlineStr">
        <is>
          <t>Students were instructed to reflect on their work and provide feedback. Embedded artifacts include YouTube examples and a RoboArm programming task, but no actual artifacts are attached.</t>
        </is>
      </c>
      <c r="G499" s="8" t="inlineStr">
        <is>
          <t>1</t>
        </is>
      </c>
      <c r="H499" s="8" t="inlineStr">
        <is>
          <t>0</t>
        </is>
      </c>
      <c r="I499" s="8" t="inlineStr">
        <is>
          <t>0</t>
        </is>
      </c>
      <c r="J499" s="8" t="inlineStr">
        <is>
          <t>0</t>
        </is>
      </c>
      <c r="K499" s="9" t="inlineStr">
        <is>
          <t>1</t>
        </is>
      </c>
      <c r="L499" s="9" t="inlineStr">
        <is>
          <t>0</t>
        </is>
      </c>
      <c r="M499" s="9" t="inlineStr">
        <is>
          <t>0</t>
        </is>
      </c>
      <c r="N499" s="9" t="inlineStr">
        <is>
          <t>0</t>
        </is>
      </c>
      <c r="O499" s="10" t="inlineStr">
        <is>
          <t>0</t>
        </is>
      </c>
      <c r="P499" s="10" t="inlineStr">
        <is>
          <t>0</t>
        </is>
      </c>
      <c r="Q499" s="10" t="inlineStr">
        <is>
          <t>0</t>
        </is>
      </c>
      <c r="R499" s="10" t="inlineStr">
        <is>
          <t>0</t>
        </is>
      </c>
      <c r="S499" s="10" t="inlineStr">
        <is>
          <t>0</t>
        </is>
      </c>
    </row>
    <row r="500" ht="109" customHeight="1">
      <c r="A500" s="6">
        <f>IFERROR(__xludf.DUMMYFUNCTION("""COMPUTED_VALUE"""),"Robotic Arm")</f>
        <v/>
      </c>
      <c r="B500" s="6">
        <f>IFERROR(__xludf.DUMMYFUNCTION("""COMPUTED_VALUE"""),"Topic")</f>
        <v/>
      </c>
      <c r="C500" s="6">
        <f>IFERROR(__xludf.DUMMYFUNCTION("""COMPUTED_VALUE"""),"Interest theme")</f>
        <v/>
      </c>
      <c r="D500" s="7">
        <f>IFERROR(__xludf.DUMMYFUNCTION("""COMPUTED_VALUE"""),"No task description")</f>
        <v/>
      </c>
      <c r="E500" s="7">
        <f>IFERROR(__xludf.DUMMYFUNCTION("""COMPUTED_VALUE"""),"text/html – A webpage or web document that contains structured text, images, and links, designed for display in a web browser.")</f>
        <v/>
      </c>
      <c r="F500" s="7" t="inlineStr">
        <is>
          <t>Students were given tasks with varying descriptions and embedded artifacts, including YouTube examples and HTML webpages.</t>
        </is>
      </c>
      <c r="G500" s="8" t="inlineStr">
        <is>
          <t>1</t>
        </is>
      </c>
      <c r="H500" s="8" t="inlineStr">
        <is>
          <t>0</t>
        </is>
      </c>
      <c r="I500" s="8" t="inlineStr">
        <is>
          <t>0</t>
        </is>
      </c>
      <c r="J500" s="8" t="inlineStr">
        <is>
          <t>0</t>
        </is>
      </c>
      <c r="K500" s="9" t="inlineStr">
        <is>
          <t>1</t>
        </is>
      </c>
      <c r="L500" s="9" t="inlineStr">
        <is>
          <t>0</t>
        </is>
      </c>
      <c r="M500" s="9" t="inlineStr">
        <is>
          <t>0</t>
        </is>
      </c>
      <c r="N500" s="9" t="inlineStr">
        <is>
          <t>0</t>
        </is>
      </c>
      <c r="O500" s="10" t="inlineStr">
        <is>
          <t>0</t>
        </is>
      </c>
      <c r="P500" s="10" t="inlineStr">
        <is>
          <t>0</t>
        </is>
      </c>
      <c r="Q500" s="10" t="inlineStr">
        <is>
          <t>0</t>
        </is>
      </c>
      <c r="R500" s="10" t="inlineStr">
        <is>
          <t>0</t>
        </is>
      </c>
      <c r="S500" s="10" t="inlineStr">
        <is>
          <t>0</t>
        </is>
      </c>
    </row>
    <row r="501" ht="37" customHeight="1">
      <c r="A501" s="6">
        <f>IFERROR(__xludf.DUMMYFUNCTION("""COMPUTED_VALUE"""),"Robotic Arm")</f>
        <v/>
      </c>
      <c r="B501" s="6">
        <f>IFERROR(__xludf.DUMMYFUNCTION("""COMPUTED_VALUE"""),"Space")</f>
        <v/>
      </c>
      <c r="C501" s="6">
        <f>IFERROR(__xludf.DUMMYFUNCTION("""COMPUTED_VALUE"""),"Start lecture")</f>
        <v/>
      </c>
      <c r="D501" s="7">
        <f>IFERROR(__xludf.DUMMYFUNCTION("""COMPUTED_VALUE"""),"&lt;p&gt;Types RoboArm&lt;/p&gt;&lt;p&gt;&lt;br&gt;&lt;/p&gt;")</f>
        <v/>
      </c>
      <c r="E501" s="7">
        <f>IFERROR(__xludf.DUMMYFUNCTION("""COMPUTED_VALUE"""),"No artifact embedded")</f>
        <v/>
      </c>
      <c r="F501" s="7" t="inlineStr">
        <is>
          <t>Students received no task descriptions for Items 1 and 2, but had artifacts from YouTube and a webpage. Item 3 involved "Types RoboArm" with no embedded artifact.</t>
        </is>
      </c>
      <c r="G501" s="8" t="inlineStr">
        <is>
          <t>0</t>
        </is>
      </c>
      <c r="H501" s="8" t="inlineStr">
        <is>
          <t>1</t>
        </is>
      </c>
      <c r="I501" s="8" t="inlineStr">
        <is>
          <t>0</t>
        </is>
      </c>
      <c r="J501" s="8" t="inlineStr">
        <is>
          <t>0</t>
        </is>
      </c>
      <c r="K501" s="9" t="inlineStr">
        <is>
          <t>1</t>
        </is>
      </c>
      <c r="L501" s="9" t="inlineStr">
        <is>
          <t>0</t>
        </is>
      </c>
      <c r="M501" s="9" t="inlineStr">
        <is>
          <t>0</t>
        </is>
      </c>
      <c r="N501" s="9" t="inlineStr">
        <is>
          <t>0</t>
        </is>
      </c>
      <c r="O501" s="10" t="inlineStr">
        <is>
          <t>0</t>
        </is>
      </c>
      <c r="P501" s="10" t="inlineStr">
        <is>
          <t>0</t>
        </is>
      </c>
      <c r="Q501" s="10" t="inlineStr">
        <is>
          <t>0</t>
        </is>
      </c>
      <c r="R501" s="10" t="inlineStr">
        <is>
          <t>0</t>
        </is>
      </c>
      <c r="S501" s="10" t="inlineStr">
        <is>
          <t>0</t>
        </is>
      </c>
    </row>
    <row r="502" ht="409.5" customHeight="1">
      <c r="A502" s="6">
        <f>IFERROR(__xludf.DUMMYFUNCTION("""COMPUTED_VALUE"""),"Robotic Arm")</f>
        <v/>
      </c>
      <c r="B502" s="6">
        <f>IFERROR(__xludf.DUMMYFUNCTION("""COMPUTED_VALUE"""),"Resource")</f>
        <v/>
      </c>
      <c r="C502" s="6">
        <f>IFERROR(__xludf.DUMMYFUNCTION("""COMPUTED_VALUE"""),"Robotic Arm Geometry")</f>
        <v/>
      </c>
      <c r="D502" s="7">
        <f>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
      </c>
      <c r="E502" s="7">
        <f>IFERROR(__xludf.DUMMYFUNCTION("""COMPUTED_VALUE"""),"youtube.com: A widely known video-sharing platform where users can watch videos on a vast array of topics, including educational content.")</f>
        <v/>
      </c>
      <c r="F502" s="7" t="inlineStr">
        <is>
          <t>Students receive tasks with embedded artifacts, including webpages, videos, and no artifacts, with descriptions explaining each type.</t>
        </is>
      </c>
      <c r="G502" s="8" t="inlineStr">
        <is>
          <t>1</t>
        </is>
      </c>
      <c r="H502" s="8" t="inlineStr">
        <is>
          <t>0</t>
        </is>
      </c>
      <c r="I502" s="8" t="inlineStr">
        <is>
          <t>0</t>
        </is>
      </c>
      <c r="J502" s="8" t="inlineStr">
        <is>
          <t>0</t>
        </is>
      </c>
      <c r="K502" s="9" t="inlineStr">
        <is>
          <t>1</t>
        </is>
      </c>
      <c r="L502" s="9" t="inlineStr">
        <is>
          <t>0</t>
        </is>
      </c>
      <c r="M502" s="9" t="inlineStr">
        <is>
          <t>0</t>
        </is>
      </c>
      <c r="N502" s="9" t="inlineStr">
        <is>
          <t>0</t>
        </is>
      </c>
      <c r="O502" s="10" t="inlineStr">
        <is>
          <t>1</t>
        </is>
      </c>
      <c r="P502" s="10" t="inlineStr">
        <is>
          <t>0</t>
        </is>
      </c>
      <c r="Q502" s="10" t="inlineStr">
        <is>
          <t>0</t>
        </is>
      </c>
      <c r="R502" s="10" t="inlineStr">
        <is>
          <t>0</t>
        </is>
      </c>
      <c r="S502" s="10" t="inlineStr">
        <is>
          <t>0</t>
        </is>
      </c>
    </row>
    <row r="503" ht="109" customHeight="1">
      <c r="A503" s="6">
        <f>IFERROR(__xludf.DUMMYFUNCTION("""COMPUTED_VALUE"""),"Robotic Arm")</f>
        <v/>
      </c>
      <c r="B503" s="6">
        <f>IFERROR(__xludf.DUMMYFUNCTION("""COMPUTED_VALUE"""),"Topic")</f>
        <v/>
      </c>
      <c r="C503" s="6">
        <f>IFERROR(__xludf.DUMMYFUNCTION("""COMPUTED_VALUE"""),"Lecture questions")</f>
        <v/>
      </c>
      <c r="D503" s="7">
        <f>IFERROR(__xludf.DUMMYFUNCTION("""COMPUTED_VALUE"""),"&lt;p&gt;What general school subjects are utilized to study and work with the robotic arm?&lt;/p&gt;&lt;p&gt;&lt;br&gt;&lt;/p&gt;")</f>
        <v/>
      </c>
      <c r="E503" s="7">
        <f>IFERROR(__xludf.DUMMYFUNCTION("""COMPUTED_VALUE"""),"text/html – A webpage or web document that contains structured text, images, and links, designed for display in a web browser.")</f>
        <v/>
      </c>
      <c r="F503" s="7" t="inlineStr">
        <is>
          <t>Students learn about robotic arm types via video and identify relevant school subjects. Embedded artifacts include YouTube videos and webpages.</t>
        </is>
      </c>
      <c r="G503" s="8" t="inlineStr">
        <is>
          <t>1</t>
        </is>
      </c>
      <c r="H503" s="8" t="inlineStr">
        <is>
          <t>0</t>
        </is>
      </c>
      <c r="I503" s="8" t="inlineStr">
        <is>
          <t>1</t>
        </is>
      </c>
      <c r="J503" s="8" t="inlineStr">
        <is>
          <t>1</t>
        </is>
      </c>
      <c r="K503" s="9" t="inlineStr">
        <is>
          <t>1</t>
        </is>
      </c>
      <c r="L503" s="9" t="inlineStr">
        <is>
          <t>1</t>
        </is>
      </c>
      <c r="M503" s="9" t="inlineStr">
        <is>
          <t>0</t>
        </is>
      </c>
      <c r="N503" s="9" t="inlineStr">
        <is>
          <t>0</t>
        </is>
      </c>
      <c r="O503" s="10" t="inlineStr">
        <is>
          <t>1</t>
        </is>
      </c>
      <c r="P503" s="10" t="inlineStr">
        <is>
          <t>1</t>
        </is>
      </c>
      <c r="Q503" s="10" t="inlineStr">
        <is>
          <t>0</t>
        </is>
      </c>
      <c r="R503" s="10" t="inlineStr">
        <is>
          <t>0</t>
        </is>
      </c>
      <c r="S503" s="10" t="inlineStr">
        <is>
          <t>0</t>
        </is>
      </c>
    </row>
    <row r="504" ht="296" customHeight="1">
      <c r="A504" s="6">
        <f>IFERROR(__xludf.DUMMYFUNCTION("""COMPUTED_VALUE"""),"Robotic Arm")</f>
        <v/>
      </c>
      <c r="B504" s="6">
        <f>IFERROR(__xludf.DUMMYFUNCTION("""COMPUTED_VALUE"""),"Application")</f>
        <v/>
      </c>
      <c r="C504" s="6">
        <f>IFERROR(__xludf.DUMMYFUNCTION("""COMPUTED_VALUE"""),"Quiz tool")</f>
        <v/>
      </c>
      <c r="D504" s="7">
        <f>IFERROR(__xludf.DUMMYFUNCTION("""COMPUTED_VALUE"""),"No task description")</f>
        <v/>
      </c>
      <c r="E5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04" s="7" t="inlineStr">
        <is>
          <t>Students learn about robotic arm geometry via video and identify relevant school subjects. Embedded artifacts include YouTube videos, webpages, and interactive quiz apps.</t>
        </is>
      </c>
      <c r="G504" s="8" t="inlineStr">
        <is>
          <t>0</t>
        </is>
      </c>
      <c r="H504" s="8" t="inlineStr">
        <is>
          <t>1</t>
        </is>
      </c>
      <c r="I504" s="8" t="inlineStr">
        <is>
          <t>1</t>
        </is>
      </c>
      <c r="J504" s="8" t="inlineStr">
        <is>
          <t>1</t>
        </is>
      </c>
      <c r="K504" s="9" t="inlineStr">
        <is>
          <t>1</t>
        </is>
      </c>
      <c r="L504" s="9" t="inlineStr">
        <is>
          <t>1</t>
        </is>
      </c>
      <c r="M504" s="9" t="inlineStr">
        <is>
          <t>0</t>
        </is>
      </c>
      <c r="N504" s="9" t="inlineStr">
        <is>
          <t>0</t>
        </is>
      </c>
      <c r="O504" s="10" t="inlineStr">
        <is>
          <t>0</t>
        </is>
      </c>
      <c r="P504" s="10" t="inlineStr">
        <is>
          <t>0</t>
        </is>
      </c>
      <c r="Q504" s="10" t="inlineStr">
        <is>
          <t>0</t>
        </is>
      </c>
      <c r="R504" s="10" t="inlineStr">
        <is>
          <t>0</t>
        </is>
      </c>
      <c r="S504" s="10" t="inlineStr">
        <is>
          <t>1</t>
        </is>
      </c>
    </row>
    <row r="505" ht="61" customHeight="1">
      <c r="A505" s="6">
        <f>IFERROR(__xludf.DUMMYFUNCTION("""COMPUTED_VALUE"""),"Robotic Arm")</f>
        <v/>
      </c>
      <c r="B505" s="6">
        <f>IFERROR(__xludf.DUMMYFUNCTION("""COMPUTED_VALUE"""),"Space")</f>
        <v/>
      </c>
      <c r="C505" s="6">
        <f>IFERROR(__xludf.DUMMYFUNCTION("""COMPUTED_VALUE"""),"Specifications")</f>
        <v/>
      </c>
      <c r="D505" s="7">
        <f>IFERROR(__xludf.DUMMYFUNCTION("""COMPUTED_VALUE"""),"&lt;p&gt;The principle of the mechanism of robotic hands&lt;/p&gt;")</f>
        <v/>
      </c>
      <c r="E505" s="7">
        <f>IFERROR(__xludf.DUMMYFUNCTION("""COMPUTED_VALUE"""),"No artifact embedded")</f>
        <v/>
      </c>
      <c r="F505" s="7" t="inlineStr">
        <is>
          <t>Students study robotic arms using general school subjects. Embedded artifacts include webpages, Golabz app/lab with interactive quizzes, and no artifact for robotic hand mechanisms.</t>
        </is>
      </c>
      <c r="G505" s="8" t="inlineStr">
        <is>
          <t>1</t>
        </is>
      </c>
      <c r="H505" s="8" t="inlineStr">
        <is>
          <t>0</t>
        </is>
      </c>
      <c r="I505" s="8" t="inlineStr">
        <is>
          <t>0</t>
        </is>
      </c>
      <c r="J505" s="8" t="inlineStr">
        <is>
          <t>0</t>
        </is>
      </c>
      <c r="K505" s="9" t="inlineStr">
        <is>
          <t>1</t>
        </is>
      </c>
      <c r="L505" s="9" t="inlineStr">
        <is>
          <t>0</t>
        </is>
      </c>
      <c r="M505" s="9" t="inlineStr">
        <is>
          <t>0</t>
        </is>
      </c>
      <c r="N505" s="9" t="inlineStr">
        <is>
          <t>0</t>
        </is>
      </c>
      <c r="O505" s="10" t="inlineStr">
        <is>
          <t>0</t>
        </is>
      </c>
      <c r="P505" s="10" t="inlineStr">
        <is>
          <t>0</t>
        </is>
      </c>
      <c r="Q505" s="10" t="inlineStr">
        <is>
          <t>0</t>
        </is>
      </c>
      <c r="R505" s="10" t="inlineStr">
        <is>
          <t>0</t>
        </is>
      </c>
      <c r="S505" s="10" t="inlineStr">
        <is>
          <t>0</t>
        </is>
      </c>
    </row>
    <row r="506" ht="121" customHeight="1">
      <c r="A506" s="6">
        <f>IFERROR(__xludf.DUMMYFUNCTION("""COMPUTED_VALUE"""),"Robotic Arm")</f>
        <v/>
      </c>
      <c r="B506" s="6">
        <f>IFERROR(__xludf.DUMMYFUNCTION("""COMPUTED_VALUE"""),"Resource")</f>
        <v/>
      </c>
      <c r="C506" s="6">
        <f>IFERROR(__xludf.DUMMYFUNCTION("""COMPUTED_VALUE"""),"Mechanisms")</f>
        <v/>
      </c>
      <c r="D506" s="7">
        <f>IFERROR(__xludf.DUMMYFUNCTION("""COMPUTED_VALUE"""),"No task description")</f>
        <v/>
      </c>
      <c r="E506" s="7">
        <f>IFERROR(__xludf.DUMMYFUNCTION("""COMPUTED_VALUE"""),"youtube.com: A widely known video-sharing platform where users can watch videos on a vast array of topics, including educational content.")</f>
        <v/>
      </c>
      <c r="F506" s="7" t="inlineStr">
        <is>
          <t>Students received tasks with varying descriptions and embedded artifacts, including Golabz app and YouTube.</t>
        </is>
      </c>
      <c r="G506" s="8" t="inlineStr">
        <is>
          <t>1</t>
        </is>
      </c>
      <c r="H506" s="8" t="inlineStr">
        <is>
          <t>0</t>
        </is>
      </c>
      <c r="I506" s="8" t="inlineStr">
        <is>
          <t>0</t>
        </is>
      </c>
      <c r="J506" s="8" t="inlineStr">
        <is>
          <t>0</t>
        </is>
      </c>
      <c r="K506" s="9" t="inlineStr">
        <is>
          <t>1</t>
        </is>
      </c>
      <c r="L506" s="9" t="inlineStr">
        <is>
          <t>0</t>
        </is>
      </c>
      <c r="M506" s="9" t="inlineStr">
        <is>
          <t>0</t>
        </is>
      </c>
      <c r="N506" s="9" t="inlineStr">
        <is>
          <t>0</t>
        </is>
      </c>
      <c r="O506" s="10" t="inlineStr">
        <is>
          <t>0</t>
        </is>
      </c>
      <c r="P506" s="10" t="inlineStr">
        <is>
          <t>0</t>
        </is>
      </c>
      <c r="Q506" s="10" t="inlineStr">
        <is>
          <t>0</t>
        </is>
      </c>
      <c r="R506" s="10" t="inlineStr">
        <is>
          <t>0</t>
        </is>
      </c>
      <c r="S506" s="10" t="inlineStr">
        <is>
          <t>0</t>
        </is>
      </c>
    </row>
    <row r="507" ht="25" customHeight="1">
      <c r="A507" s="6">
        <f>IFERROR(__xludf.DUMMYFUNCTION("""COMPUTED_VALUE"""),"Robotic Arm")</f>
        <v/>
      </c>
      <c r="B507" s="6">
        <f>IFERROR(__xludf.DUMMYFUNCTION("""COMPUTED_VALUE"""),"Space")</f>
        <v/>
      </c>
      <c r="C507" s="6">
        <f>IFERROR(__xludf.DUMMYFUNCTION("""COMPUTED_VALUE"""),"Conclusion")</f>
        <v/>
      </c>
      <c r="D507" s="7">
        <f>IFERROR(__xludf.DUMMYFUNCTION("""COMPUTED_VALUE"""),"No task description")</f>
        <v/>
      </c>
      <c r="E507" s="7">
        <f>IFERROR(__xludf.DUMMYFUNCTION("""COMPUTED_VALUE"""),"No artifact embedded")</f>
        <v/>
      </c>
      <c r="F507" s="7" t="inlineStr">
        <is>
          <t>Students were given tasks with varying levels of instruction and embedded artifacts, including a YouTube link for educational content.</t>
        </is>
      </c>
      <c r="G507" s="8" t="inlineStr">
        <is>
          <t>0</t>
        </is>
      </c>
      <c r="H507" s="8" t="inlineStr">
        <is>
          <t>0</t>
        </is>
      </c>
      <c r="I507" s="8" t="inlineStr">
        <is>
          <t>0</t>
        </is>
      </c>
      <c r="J507" s="8" t="inlineStr">
        <is>
          <t>0</t>
        </is>
      </c>
      <c r="K507" s="9" t="inlineStr">
        <is>
          <t>0</t>
        </is>
      </c>
      <c r="L507" s="9" t="inlineStr">
        <is>
          <t>0</t>
        </is>
      </c>
      <c r="M507" s="9" t="inlineStr">
        <is>
          <t>0</t>
        </is>
      </c>
      <c r="N507" s="9" t="inlineStr">
        <is>
          <t>0</t>
        </is>
      </c>
      <c r="O507" s="10" t="inlineStr">
        <is>
          <t>0</t>
        </is>
      </c>
      <c r="P507" s="10" t="inlineStr">
        <is>
          <t>0</t>
        </is>
      </c>
      <c r="Q507" s="10" t="inlineStr">
        <is>
          <t>0</t>
        </is>
      </c>
      <c r="R507" s="10" t="inlineStr">
        <is>
          <t>0</t>
        </is>
      </c>
      <c r="S507" s="10" t="inlineStr">
        <is>
          <t>0</t>
        </is>
      </c>
    </row>
    <row r="508" ht="409.5" customHeight="1">
      <c r="A508" s="6">
        <f>IFERROR(__xludf.DUMMYFUNCTION("""COMPUTED_VALUE"""),"Robotic Arm")</f>
        <v/>
      </c>
      <c r="B508" s="6">
        <f>IFERROR(__xludf.DUMMYFUNCTION("""COMPUTED_VALUE"""),"Application")</f>
        <v/>
      </c>
      <c r="C508" s="6">
        <f>IFERROR(__xludf.DUMMYFUNCTION("""COMPUTED_VALUE"""),"Equilibrium of three forces")</f>
        <v/>
      </c>
      <c r="D508" s="7">
        <f>IFERROR(__xludf.DUMMYFUNCTION("""COMPUTED_VALUE"""),"No task description")</f>
        <v/>
      </c>
      <c r="E508" s="7">
        <f>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
      </c>
      <c r="F508" s="7" t="inlineStr">
        <is>
          <t>No task descriptions provided, but embedded artifacts include YouTube and Golabz app/lab with a force equilibrium simulation.</t>
        </is>
      </c>
      <c r="G508" s="8" t="inlineStr">
        <is>
          <t>1</t>
        </is>
      </c>
      <c r="H508" s="8" t="inlineStr">
        <is>
          <t>1</t>
        </is>
      </c>
      <c r="I508" s="8" t="inlineStr">
        <is>
          <t>0</t>
        </is>
      </c>
      <c r="J508" s="8" t="inlineStr">
        <is>
          <t>0</t>
        </is>
      </c>
      <c r="K508" s="9" t="inlineStr">
        <is>
          <t>1</t>
        </is>
      </c>
      <c r="L508" s="9" t="inlineStr">
        <is>
          <t>0</t>
        </is>
      </c>
      <c r="M508" s="9" t="inlineStr">
        <is>
          <t>0</t>
        </is>
      </c>
      <c r="N508" s="9" t="inlineStr">
        <is>
          <t>0</t>
        </is>
      </c>
      <c r="O508" s="10" t="inlineStr">
        <is>
          <t>0</t>
        </is>
      </c>
      <c r="P508" s="10" t="inlineStr">
        <is>
          <t>0</t>
        </is>
      </c>
      <c r="Q508" s="10" t="inlineStr">
        <is>
          <t>1</t>
        </is>
      </c>
      <c r="R508" s="10" t="inlineStr">
        <is>
          <t>0</t>
        </is>
      </c>
      <c r="S508" s="10" t="inlineStr">
        <is>
          <t>0</t>
        </is>
      </c>
    </row>
    <row r="509" ht="49" customHeight="1">
      <c r="A509" s="6">
        <f>IFERROR(__xludf.DUMMYFUNCTION("""COMPUTED_VALUE"""),"Robotic Arm")</f>
        <v/>
      </c>
      <c r="B509" s="6">
        <f>IFERROR(__xludf.DUMMYFUNCTION("""COMPUTED_VALUE"""),"Space")</f>
        <v/>
      </c>
      <c r="C509" s="6">
        <f>IFERROR(__xludf.DUMMYFUNCTION("""COMPUTED_VALUE"""),"Discussion")</f>
        <v/>
      </c>
      <c r="D509" s="7">
        <f>IFERROR(__xludf.DUMMYFUNCTION("""COMPUTED_VALUE"""),"&lt;p&gt;Disccussion about hard questions in RoboArm&lt;/p&gt;")</f>
        <v/>
      </c>
      <c r="E509" s="7">
        <f>IFERROR(__xludf.DUMMYFUNCTION("""COMPUTED_VALUE"""),"No artifact embedded")</f>
        <v/>
      </c>
      <c r="F509" s="7" t="inlineStr">
        <is>
          <t>Students received minimal instructions with only one item, Item2, containing an embedded Golabz app simulating force equilibrium.</t>
        </is>
      </c>
      <c r="G509" s="8" t="inlineStr">
        <is>
          <t>0</t>
        </is>
      </c>
      <c r="H509" s="8" t="inlineStr">
        <is>
          <t>0</t>
        </is>
      </c>
      <c r="I509" s="8" t="inlineStr">
        <is>
          <t>0</t>
        </is>
      </c>
      <c r="J509" s="8" t="inlineStr">
        <is>
          <t>1</t>
        </is>
      </c>
      <c r="K509" s="9" t="inlineStr">
        <is>
          <t>0</t>
        </is>
      </c>
      <c r="L509" s="9" t="inlineStr">
        <is>
          <t>0</t>
        </is>
      </c>
      <c r="M509" s="9" t="inlineStr">
        <is>
          <t>1</t>
        </is>
      </c>
      <c r="N509" s="9" t="inlineStr">
        <is>
          <t>0</t>
        </is>
      </c>
      <c r="O509" s="10" t="inlineStr">
        <is>
          <t>0</t>
        </is>
      </c>
      <c r="P509" s="10" t="inlineStr">
        <is>
          <t>0</t>
        </is>
      </c>
      <c r="Q509" s="10" t="inlineStr">
        <is>
          <t>0</t>
        </is>
      </c>
      <c r="R509" s="10" t="inlineStr">
        <is>
          <t>0</t>
        </is>
      </c>
      <c r="S509" s="10" t="inlineStr">
        <is>
          <t>1</t>
        </is>
      </c>
    </row>
    <row r="510" ht="73" customHeight="1">
      <c r="A510" s="6">
        <f>IFERROR(__xludf.DUMMYFUNCTION("""COMPUTED_VALUE"""),"Robotic Arm")</f>
        <v/>
      </c>
      <c r="B510" s="6">
        <f>IFERROR(__xludf.DUMMYFUNCTION("""COMPUTED_VALUE"""),"Resource")</f>
        <v/>
      </c>
      <c r="C510" s="6">
        <f>IFERROR(__xludf.DUMMYFUNCTION("""COMPUTED_VALUE"""),"Log In | MindMeister")</f>
        <v/>
      </c>
      <c r="D510" s="7">
        <f>IFERROR(__xludf.DUMMYFUNCTION("""COMPUTED_VALUE"""),"No task description")</f>
        <v/>
      </c>
      <c r="E510" s="7">
        <f>IFERROR(__xludf.DUMMYFUNCTION("""COMPUTED_VALUE"""),"mindmeister.com: A mind mapping tool that allows users to create and share mind maps.")</f>
        <v/>
      </c>
      <c r="F510" s="7" t="inlineStr">
        <is>
          <t>Students received tasks with descriptions and embedded artifacts, including simulations and tools like Golabz app and MindMeister.</t>
        </is>
      </c>
      <c r="G510" s="8" t="inlineStr">
        <is>
          <t>0</t>
        </is>
      </c>
      <c r="H510" s="8" t="inlineStr">
        <is>
          <t>1</t>
        </is>
      </c>
      <c r="I510" s="8" t="inlineStr">
        <is>
          <t>1</t>
        </is>
      </c>
      <c r="J510" s="8" t="inlineStr">
        <is>
          <t>0</t>
        </is>
      </c>
      <c r="K510" s="9" t="inlineStr">
        <is>
          <t>0</t>
        </is>
      </c>
      <c r="L510" s="9" t="inlineStr">
        <is>
          <t>1</t>
        </is>
      </c>
      <c r="M510" s="9" t="inlineStr">
        <is>
          <t>0</t>
        </is>
      </c>
      <c r="N510" s="9" t="inlineStr">
        <is>
          <t>1</t>
        </is>
      </c>
      <c r="O510" s="10" t="inlineStr">
        <is>
          <t>0</t>
        </is>
      </c>
      <c r="P510" s="10" t="inlineStr">
        <is>
          <t>1</t>
        </is>
      </c>
      <c r="Q510" s="10" t="inlineStr">
        <is>
          <t>0</t>
        </is>
      </c>
      <c r="R510" s="10" t="inlineStr">
        <is>
          <t>0</t>
        </is>
      </c>
      <c r="S510" s="10" t="inlineStr">
        <is>
          <t>1</t>
        </is>
      </c>
    </row>
    <row r="511" ht="25" customHeight="1">
      <c r="A511" s="6">
        <f>IFERROR(__xludf.DUMMYFUNCTION("""COMPUTED_VALUE"""),"Robotic Arm")</f>
        <v/>
      </c>
      <c r="B511" s="6">
        <f>IFERROR(__xludf.DUMMYFUNCTION("""COMPUTED_VALUE"""),"Space")</f>
        <v/>
      </c>
      <c r="C511" s="6">
        <f>IFERROR(__xludf.DUMMYFUNCTION("""COMPUTED_VALUE"""),"Teacher")</f>
        <v/>
      </c>
      <c r="D511" s="7">
        <f>IFERROR(__xludf.DUMMYFUNCTION("""COMPUTED_VALUE"""),"No task description")</f>
        <v/>
      </c>
      <c r="E511" s="7">
        <f>IFERROR(__xludf.DUMMYFUNCTION("""COMPUTED_VALUE"""),"No artifact embedded")</f>
        <v/>
      </c>
      <c r="F511" s="7" t="inlineStr">
        <is>
          <t>Students discussed RoboArm, used a mind mapping tool, but had no other instructions or artifacts provided.</t>
        </is>
      </c>
      <c r="G511" s="8" t="inlineStr">
        <is>
          <t>0</t>
        </is>
      </c>
      <c r="H511" s="8" t="inlineStr">
        <is>
          <t>0</t>
        </is>
      </c>
      <c r="I511" s="8" t="inlineStr">
        <is>
          <t>0</t>
        </is>
      </c>
      <c r="J511" s="8" t="inlineStr">
        <is>
          <t>0</t>
        </is>
      </c>
      <c r="K511" s="9" t="inlineStr">
        <is>
          <t>0</t>
        </is>
      </c>
      <c r="L511" s="9" t="inlineStr">
        <is>
          <t>0</t>
        </is>
      </c>
      <c r="M511" s="9" t="inlineStr">
        <is>
          <t>0</t>
        </is>
      </c>
      <c r="N511" s="9" t="inlineStr">
        <is>
          <t>0</t>
        </is>
      </c>
      <c r="O511" s="10" t="inlineStr">
        <is>
          <t>0</t>
        </is>
      </c>
      <c r="P511" s="10" t="inlineStr">
        <is>
          <t>0</t>
        </is>
      </c>
      <c r="Q511" s="10" t="inlineStr">
        <is>
          <t>0</t>
        </is>
      </c>
      <c r="R511" s="10" t="inlineStr">
        <is>
          <t>0</t>
        </is>
      </c>
      <c r="S511" s="10" t="inlineStr">
        <is>
          <t>0</t>
        </is>
      </c>
    </row>
    <row r="512" ht="25" customHeight="1">
      <c r="A512" s="6">
        <f>IFERROR(__xludf.DUMMYFUNCTION("""COMPUTED_VALUE"""),"Robotic Arm")</f>
        <v/>
      </c>
      <c r="B512" s="6">
        <f>IFERROR(__xludf.DUMMYFUNCTION("""COMPUTED_VALUE"""),"Application")</f>
        <v/>
      </c>
      <c r="C512" s="6">
        <f>IFERROR(__xludf.DUMMYFUNCTION("""COMPUTED_VALUE"""),"Hypothesis Scratchpad")</f>
        <v/>
      </c>
      <c r="D512" s="7">
        <f>IFERROR(__xludf.DUMMYFUNCTION("""COMPUTED_VALUE"""),"No task description")</f>
        <v/>
      </c>
      <c r="E512" s="7">
        <f>IFERROR(__xludf.DUMMYFUNCTION("""COMPUTED_VALUE"""),"No artifact embedded")</f>
        <v/>
      </c>
      <c r="F512" s="7" t="inlineStr">
        <is>
          <t>No instructions provided; only Item1 has an embedded artifact, a mind mapping tool from mindmeister.com.</t>
        </is>
      </c>
      <c r="G512" s="8" t="inlineStr">
        <is>
          <t>0</t>
        </is>
      </c>
      <c r="H512" s="8" t="inlineStr">
        <is>
          <t>0</t>
        </is>
      </c>
      <c r="I512" s="8" t="inlineStr">
        <is>
          <t>0</t>
        </is>
      </c>
      <c r="J512" s="8" t="inlineStr">
        <is>
          <t>0</t>
        </is>
      </c>
      <c r="K512" s="9" t="inlineStr">
        <is>
          <t>0</t>
        </is>
      </c>
      <c r="L512" s="9" t="inlineStr">
        <is>
          <t>0</t>
        </is>
      </c>
      <c r="M512" s="9" t="inlineStr">
        <is>
          <t>0</t>
        </is>
      </c>
      <c r="N512" s="9" t="inlineStr">
        <is>
          <t>0</t>
        </is>
      </c>
      <c r="O512" s="10" t="inlineStr">
        <is>
          <t>0</t>
        </is>
      </c>
      <c r="P512" s="10" t="inlineStr">
        <is>
          <t>0</t>
        </is>
      </c>
      <c r="Q512" s="10" t="inlineStr">
        <is>
          <t>0</t>
        </is>
      </c>
      <c r="R512" s="10" t="inlineStr">
        <is>
          <t>0</t>
        </is>
      </c>
      <c r="S512" s="10" t="inlineStr">
        <is>
          <t>0</t>
        </is>
      </c>
    </row>
    <row r="513" ht="25" customHeight="1">
      <c r="A513" s="6">
        <f>IFERROR(__xludf.DUMMYFUNCTION("""COMPUTED_VALUE"""),"Robotic Arm")</f>
        <v/>
      </c>
      <c r="B513" s="6">
        <f>IFERROR(__xludf.DUMMYFUNCTION("""COMPUTED_VALUE"""),"Application")</f>
        <v/>
      </c>
      <c r="C513" s="6">
        <f>IFERROR(__xludf.DUMMYFUNCTION("""COMPUTED_VALUE"""),"F.A.Q")</f>
        <v/>
      </c>
      <c r="D513" s="7">
        <f>IFERROR(__xludf.DUMMYFUNCTION("""COMPUTED_VALUE"""),"&lt;p&gt;F.A.Q.&lt;/p&gt;")</f>
        <v/>
      </c>
      <c r="E513" s="7">
        <f>IFERROR(__xludf.DUMMYFUNCTION("""COMPUTED_VALUE"""),"No artifact embedded")</f>
        <v/>
      </c>
      <c r="F513" s="7" t="inlineStr">
        <is>
          <t>No instructions or artifacts are provided, except for a task titled "F.A.Q." with no embedded artifact.</t>
        </is>
      </c>
      <c r="G513" s="8" t="inlineStr">
        <is>
          <t>0</t>
        </is>
      </c>
      <c r="H513" s="8" t="inlineStr">
        <is>
          <t>0</t>
        </is>
      </c>
      <c r="I513" s="8" t="inlineStr">
        <is>
          <t>0</t>
        </is>
      </c>
      <c r="J513" s="8" t="inlineStr">
        <is>
          <t>0</t>
        </is>
      </c>
      <c r="K513" s="9" t="inlineStr">
        <is>
          <t>0</t>
        </is>
      </c>
      <c r="L513" s="9" t="inlineStr">
        <is>
          <t>0</t>
        </is>
      </c>
      <c r="M513" s="9" t="inlineStr">
        <is>
          <t>0</t>
        </is>
      </c>
      <c r="N513" s="9" t="inlineStr">
        <is>
          <t>0</t>
        </is>
      </c>
      <c r="O513" s="10" t="inlineStr">
        <is>
          <t>0</t>
        </is>
      </c>
      <c r="P513" s="10" t="inlineStr">
        <is>
          <t>0</t>
        </is>
      </c>
      <c r="Q513" s="10" t="inlineStr">
        <is>
          <t>0</t>
        </is>
      </c>
      <c r="R513" s="10" t="inlineStr">
        <is>
          <t>0</t>
        </is>
      </c>
      <c r="S513" s="10" t="inlineStr">
        <is>
          <t>0</t>
        </is>
      </c>
    </row>
    <row r="514" ht="25" customHeight="1">
      <c r="A514" s="6">
        <f>IFERROR(__xludf.DUMMYFUNCTION("""COMPUTED_VALUE"""),"Robotic Arm")</f>
        <v/>
      </c>
      <c r="B514" s="6">
        <f>IFERROR(__xludf.DUMMYFUNCTION("""COMPUTED_VALUE"""),"Application")</f>
        <v/>
      </c>
      <c r="C514" s="6">
        <f>IFERROR(__xludf.DUMMYFUNCTION("""COMPUTED_VALUE"""),"Mechanical Equivalent of Heat")</f>
        <v/>
      </c>
      <c r="D514" s="7">
        <f>IFERROR(__xludf.DUMMYFUNCTION("""COMPUTED_VALUE"""),"No task description")</f>
        <v/>
      </c>
      <c r="E514" s="7">
        <f>IFERROR(__xludf.DUMMYFUNCTION("""COMPUTED_VALUE"""),"No artifact embedded")</f>
        <v/>
      </c>
      <c r="F514" s="7" t="inlineStr">
        <is>
          <t>Students received minimal instructions with no task descriptions and no embedded artifacts in most items, except Item2 which is a F.A.Q.</t>
        </is>
      </c>
      <c r="G514" s="8" t="inlineStr">
        <is>
          <t>0</t>
        </is>
      </c>
      <c r="H514" s="8" t="inlineStr">
        <is>
          <t>0</t>
        </is>
      </c>
      <c r="I514" s="8" t="inlineStr">
        <is>
          <t>0</t>
        </is>
      </c>
      <c r="J514" s="8" t="inlineStr">
        <is>
          <t>0</t>
        </is>
      </c>
      <c r="K514" s="9" t="inlineStr">
        <is>
          <t>0</t>
        </is>
      </c>
      <c r="L514" s="9" t="inlineStr">
        <is>
          <t>0</t>
        </is>
      </c>
      <c r="M514" s="9" t="inlineStr">
        <is>
          <t>0</t>
        </is>
      </c>
      <c r="N514" s="9" t="inlineStr">
        <is>
          <t>0</t>
        </is>
      </c>
      <c r="O514" s="10" t="inlineStr">
        <is>
          <t>0</t>
        </is>
      </c>
      <c r="P514" s="10" t="inlineStr">
        <is>
          <t>0</t>
        </is>
      </c>
      <c r="Q514" s="10" t="inlineStr">
        <is>
          <t>0</t>
        </is>
      </c>
      <c r="R514" s="10" t="inlineStr">
        <is>
          <t>0</t>
        </is>
      </c>
      <c r="S514" s="10" t="inlineStr">
        <is>
          <t>0</t>
        </is>
      </c>
    </row>
    <row r="515" ht="25" customHeight="1">
      <c r="A515" s="6">
        <f>IFERROR(__xludf.DUMMYFUNCTION("""COMPUTED_VALUE"""),"Robotic Arm")</f>
        <v/>
      </c>
      <c r="B515" s="6">
        <f>IFERROR(__xludf.DUMMYFUNCTION("""COMPUTED_VALUE"""),"Application")</f>
        <v/>
      </c>
      <c r="C515" s="6">
        <f>IFERROR(__xludf.DUMMYFUNCTION("""COMPUTED_VALUE"""),"Universal Gravity Lab")</f>
        <v/>
      </c>
      <c r="D515" s="7">
        <f>IFERROR(__xludf.DUMMYFUNCTION("""COMPUTED_VALUE"""),"No task description")</f>
        <v/>
      </c>
      <c r="E515" s="7">
        <f>IFERROR(__xludf.DUMMYFUNCTION("""COMPUTED_VALUE"""),"No artifact embedded")</f>
        <v/>
      </c>
      <c r="F515" s="7" t="inlineStr">
        <is>
          <t>No instructions or artifacts are provided in Items 1, 2, and 3.</t>
        </is>
      </c>
      <c r="G515" s="8" t="inlineStr">
        <is>
          <t>0</t>
        </is>
      </c>
      <c r="H515" s="8" t="inlineStr">
        <is>
          <t>0</t>
        </is>
      </c>
      <c r="I515" s="8" t="inlineStr">
        <is>
          <t>0</t>
        </is>
      </c>
      <c r="J515" s="8" t="inlineStr">
        <is>
          <t>0</t>
        </is>
      </c>
      <c r="K515" s="9" t="inlineStr">
        <is>
          <t>0</t>
        </is>
      </c>
      <c r="L515" s="9" t="inlineStr">
        <is>
          <t>0</t>
        </is>
      </c>
      <c r="M515" s="9" t="inlineStr">
        <is>
          <t>0</t>
        </is>
      </c>
      <c r="N515" s="9" t="inlineStr">
        <is>
          <t>0</t>
        </is>
      </c>
      <c r="O515" s="10" t="inlineStr">
        <is>
          <t>0</t>
        </is>
      </c>
      <c r="P515" s="10" t="inlineStr">
        <is>
          <t>0</t>
        </is>
      </c>
      <c r="Q515" s="10" t="inlineStr">
        <is>
          <t>0</t>
        </is>
      </c>
      <c r="R515" s="10" t="inlineStr">
        <is>
          <t>0</t>
        </is>
      </c>
      <c r="S515" s="10" t="inlineStr">
        <is>
          <t>0</t>
        </is>
      </c>
    </row>
    <row r="516" ht="409.5" customHeight="1">
      <c r="A516" s="6">
        <f>IFERROR(__xludf.DUMMYFUNCTION("""COMPUTED_VALUE"""),"Racism in modern society")</f>
        <v/>
      </c>
      <c r="B516" s="6">
        <f>IFERROR(__xludf.DUMMYFUNCTION("""COMPUTED_VALUE"""),"Space")</f>
        <v/>
      </c>
      <c r="C516" s="6">
        <f>IFERROR(__xludf.DUMMYFUNCTION("""COMPUTED_VALUE"""),"Orientation")</f>
        <v/>
      </c>
      <c r="D516" s="7">
        <f>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
      </c>
      <c r="E516" s="7">
        <f>IFERROR(__xludf.DUMMYFUNCTION("""COMPUTED_VALUE"""),"No artifact embedded")</f>
        <v/>
      </c>
      <c r="F516" s="7" t="inlineStr">
        <is>
          <t>No task descriptions or artifacts are provided for Items 1 and 2. Item 3 discusses racism from a social learning perspective.</t>
        </is>
      </c>
      <c r="G516" s="8" t="inlineStr">
        <is>
          <t>1</t>
        </is>
      </c>
      <c r="H516" s="8" t="inlineStr">
        <is>
          <t>0</t>
        </is>
      </c>
      <c r="I516" s="8" t="inlineStr">
        <is>
          <t>0</t>
        </is>
      </c>
      <c r="J516" s="8" t="inlineStr">
        <is>
          <t>0</t>
        </is>
      </c>
      <c r="K516" s="9" t="inlineStr">
        <is>
          <t>1</t>
        </is>
      </c>
      <c r="L516" s="9" t="inlineStr">
        <is>
          <t>0</t>
        </is>
      </c>
      <c r="M516" s="9" t="inlineStr">
        <is>
          <t>0</t>
        </is>
      </c>
      <c r="N516" s="9" t="inlineStr">
        <is>
          <t>0</t>
        </is>
      </c>
      <c r="O516" s="10" t="inlineStr">
        <is>
          <t>1</t>
        </is>
      </c>
      <c r="P516" s="10" t="inlineStr">
        <is>
          <t>0</t>
        </is>
      </c>
      <c r="Q516" s="10" t="inlineStr">
        <is>
          <t>0</t>
        </is>
      </c>
      <c r="R516" s="10" t="inlineStr">
        <is>
          <t>0</t>
        </is>
      </c>
      <c r="S516" s="10" t="inlineStr">
        <is>
          <t>0</t>
        </is>
      </c>
    </row>
    <row r="517" ht="121" customHeight="1">
      <c r="A517" s="6">
        <f>IFERROR(__xludf.DUMMYFUNCTION("""COMPUTED_VALUE"""),"Racism in modern society")</f>
        <v/>
      </c>
      <c r="B517" s="6">
        <f>IFERROR(__xludf.DUMMYFUNCTION("""COMPUTED_VALUE"""),"Resource")</f>
        <v/>
      </c>
      <c r="C517" s="6">
        <f>IFERROR(__xludf.DUMMYFUNCTION("""COMPUTED_VALUE"""),"Stop racism")</f>
        <v/>
      </c>
      <c r="D517" s="7">
        <f>IFERROR(__xludf.DUMMYFUNCTION("""COMPUTED_VALUE"""),"No task description")</f>
        <v/>
      </c>
      <c r="E517" s="7">
        <f>IFERROR(__xludf.DUMMYFUNCTION("""COMPUTED_VALUE"""),"image/jpeg – A digital photograph or web image stored in a compressed format, often used for photography and web graphics.")</f>
        <v/>
      </c>
      <c r="F517" s="7" t="inlineStr">
        <is>
          <t>Students examine racism from a social learning perspective. Items 1 and 2 have no artifacts, while Item 3 has a JPEG image embedded.</t>
        </is>
      </c>
      <c r="G517" s="8" t="inlineStr">
        <is>
          <t>1</t>
        </is>
      </c>
      <c r="H517" s="8" t="inlineStr">
        <is>
          <t>0</t>
        </is>
      </c>
      <c r="I517" s="8" t="inlineStr">
        <is>
          <t>0</t>
        </is>
      </c>
      <c r="J517" s="8" t="inlineStr">
        <is>
          <t>0</t>
        </is>
      </c>
      <c r="K517" s="9" t="inlineStr">
        <is>
          <t>1</t>
        </is>
      </c>
      <c r="L517" s="9" t="inlineStr">
        <is>
          <t>0</t>
        </is>
      </c>
      <c r="M517" s="9" t="inlineStr">
        <is>
          <t>0</t>
        </is>
      </c>
      <c r="N517" s="9" t="inlineStr">
        <is>
          <t>0</t>
        </is>
      </c>
      <c r="O517" s="10" t="inlineStr">
        <is>
          <t>0</t>
        </is>
      </c>
      <c r="P517" s="10" t="inlineStr">
        <is>
          <t>0</t>
        </is>
      </c>
      <c r="Q517" s="10" t="inlineStr">
        <is>
          <t>0</t>
        </is>
      </c>
      <c r="R517" s="10" t="inlineStr">
        <is>
          <t>0</t>
        </is>
      </c>
      <c r="S517" s="10" t="inlineStr">
        <is>
          <t>0</t>
        </is>
      </c>
    </row>
    <row r="518" ht="121" customHeight="1">
      <c r="A518" s="6">
        <f>IFERROR(__xludf.DUMMYFUNCTION("""COMPUTED_VALUE"""),"Racism in modern society")</f>
        <v/>
      </c>
      <c r="B518" s="6">
        <f>IFERROR(__xludf.DUMMYFUNCTION("""COMPUTED_VALUE"""),"Resource")</f>
        <v/>
      </c>
      <c r="C518" s="6">
        <f>IFERROR(__xludf.DUMMYFUNCTION("""COMPUTED_VALUE"""),"Stop racism (1)")</f>
        <v/>
      </c>
      <c r="D518" s="7">
        <f>IFERROR(__xludf.DUMMYFUNCTION("""COMPUTED_VALUE"""),"41s""")</f>
        <v/>
      </c>
      <c r="E518" s="7">
        <f>IFERROR(__xludf.DUMMYFUNCTION("""COMPUTED_VALUE"""),"image/jpeg – A digital photograph or web image stored in a compressed format, often used for photography and web graphics.")</f>
        <v/>
      </c>
      <c r="F518" s="7" t="inlineStr">
        <is>
          <t>Students examine racism from a social learning perspective. Embedded artifacts include two JPEG images, but no specific instructions are provided beyond the task description in Item1.</t>
        </is>
      </c>
      <c r="G518" s="8" t="inlineStr">
        <is>
          <t>1</t>
        </is>
      </c>
      <c r="H518" s="8" t="inlineStr">
        <is>
          <t>0</t>
        </is>
      </c>
      <c r="I518" s="8" t="inlineStr">
        <is>
          <t>0</t>
        </is>
      </c>
      <c r="J518" s="8" t="inlineStr">
        <is>
          <t>0</t>
        </is>
      </c>
      <c r="K518" s="9" t="inlineStr">
        <is>
          <t>1</t>
        </is>
      </c>
      <c r="L518" s="9" t="inlineStr">
        <is>
          <t>0</t>
        </is>
      </c>
      <c r="M518" s="9" t="inlineStr">
        <is>
          <t>0</t>
        </is>
      </c>
      <c r="N518" s="9" t="inlineStr">
        <is>
          <t>0</t>
        </is>
      </c>
      <c r="O518" s="10" t="inlineStr">
        <is>
          <t>0</t>
        </is>
      </c>
      <c r="P518" s="10" t="inlineStr">
        <is>
          <t>0</t>
        </is>
      </c>
      <c r="Q518" s="10" t="inlineStr">
        <is>
          <t>0</t>
        </is>
      </c>
      <c r="R518" s="10" t="inlineStr">
        <is>
          <t>0</t>
        </is>
      </c>
      <c r="S518" s="10" t="inlineStr">
        <is>
          <t>0</t>
        </is>
      </c>
    </row>
    <row r="519" ht="121" customHeight="1">
      <c r="A519" s="6">
        <f>IFERROR(__xludf.DUMMYFUNCTION("""COMPUTED_VALUE"""),"Racism in modern society")</f>
        <v/>
      </c>
      <c r="B519" s="6">
        <f>IFERROR(__xludf.DUMMYFUNCTION("""COMPUTED_VALUE"""),"Resource")</f>
        <v/>
      </c>
      <c r="C519" s="6">
        <f>IFERROR(__xludf.DUMMYFUNCTION("""COMPUTED_VALUE"""),"Stop racism (2)")</f>
        <v/>
      </c>
      <c r="D519" s="7">
        <f>IFERROR(__xludf.DUMMYFUNCTION("""COMPUTED_VALUE"""),"No task description")</f>
        <v/>
      </c>
      <c r="E519" s="7">
        <f>IFERROR(__xludf.DUMMYFUNCTION("""COMPUTED_VALUE"""),"image/jpeg – A digital photograph or web image stored in a compressed format, often used for photography and web graphics.")</f>
        <v/>
      </c>
      <c r="F519" s="7" t="inlineStr">
        <is>
          <t>No task descriptions are provided, but all items contain JPEG images as embedded artifacts.</t>
        </is>
      </c>
      <c r="G519" s="8" t="inlineStr">
        <is>
          <t>1</t>
        </is>
      </c>
      <c r="H519" s="8" t="inlineStr">
        <is>
          <t>0</t>
        </is>
      </c>
      <c r="I519" s="8" t="inlineStr">
        <is>
          <t>0</t>
        </is>
      </c>
      <c r="J519" s="8" t="inlineStr">
        <is>
          <t>0</t>
        </is>
      </c>
      <c r="K519" s="9" t="inlineStr">
        <is>
          <t>1</t>
        </is>
      </c>
      <c r="L519" s="9" t="inlineStr">
        <is>
          <t>0</t>
        </is>
      </c>
      <c r="M519" s="9" t="inlineStr">
        <is>
          <t>0</t>
        </is>
      </c>
      <c r="N519" s="9" t="inlineStr">
        <is>
          <t>0</t>
        </is>
      </c>
      <c r="O519" s="10" t="inlineStr">
        <is>
          <t>0</t>
        </is>
      </c>
      <c r="P519" s="10" t="inlineStr">
        <is>
          <t>0</t>
        </is>
      </c>
      <c r="Q519" s="10" t="inlineStr">
        <is>
          <t>0</t>
        </is>
      </c>
      <c r="R519" s="10" t="inlineStr">
        <is>
          <t>0</t>
        </is>
      </c>
      <c r="S519" s="10" t="inlineStr">
        <is>
          <t>0</t>
        </is>
      </c>
    </row>
    <row r="520" ht="157" customHeight="1">
      <c r="A520" s="6">
        <f>IFERROR(__xludf.DUMMYFUNCTION("""COMPUTED_VALUE"""),"Racism in modern society")</f>
        <v/>
      </c>
      <c r="B520" s="6">
        <f>IFERROR(__xludf.DUMMYFUNCTION("""COMPUTED_VALUE"""),"Space")</f>
        <v/>
      </c>
      <c r="C520" s="6">
        <f>IFERROR(__xludf.DUMMYFUNCTION("""COMPUTED_VALUE"""),"Conceptualisation")</f>
        <v/>
      </c>
      <c r="D520" s="7">
        <f>IFERROR(__xludf.DUMMYFUNCTION("""COMPUTED_VALUE"""),"&lt;p&gt;Work through the materials attached and watch the videos to be ready for discussion concerning our topic as well as to express your own thoughts and attitude to it.&lt;br&gt;&lt;/p&gt;")</f>
        <v/>
      </c>
      <c r="E520" s="7">
        <f>IFERROR(__xludf.DUMMYFUNCTION("""COMPUTED_VALUE"""),"No artifact embedded")</f>
        <v/>
      </c>
      <c r="F520" s="7" t="inlineStr">
        <is>
          <t>Students were given tasks with embedded images (jpeg) or no artifacts, with one task requiring review of materials and video watching for discussion.</t>
        </is>
      </c>
      <c r="G520" s="8" t="inlineStr">
        <is>
          <t>1</t>
        </is>
      </c>
      <c r="H520" s="8" t="inlineStr">
        <is>
          <t>0</t>
        </is>
      </c>
      <c r="I520" s="8" t="inlineStr">
        <is>
          <t>0</t>
        </is>
      </c>
      <c r="J520" s="8" t="inlineStr">
        <is>
          <t>1</t>
        </is>
      </c>
      <c r="K520" s="9" t="inlineStr">
        <is>
          <t>1</t>
        </is>
      </c>
      <c r="L520" s="9" t="inlineStr">
        <is>
          <t>1</t>
        </is>
      </c>
      <c r="M520" s="9" t="inlineStr">
        <is>
          <t>1</t>
        </is>
      </c>
      <c r="N520" s="9" t="inlineStr">
        <is>
          <t>0</t>
        </is>
      </c>
      <c r="O520" s="10" t="inlineStr">
        <is>
          <t>1</t>
        </is>
      </c>
      <c r="P520" s="10" t="inlineStr">
        <is>
          <t>0</t>
        </is>
      </c>
      <c r="Q520" s="10" t="inlineStr">
        <is>
          <t>0</t>
        </is>
      </c>
      <c r="R520" s="10" t="inlineStr">
        <is>
          <t>0</t>
        </is>
      </c>
      <c r="S520" s="10" t="inlineStr">
        <is>
          <t>1</t>
        </is>
      </c>
    </row>
    <row r="521" ht="109" customHeight="1">
      <c r="A521" s="6">
        <f>IFERROR(__xludf.DUMMYFUNCTION("""COMPUTED_VALUE"""),"Racism in modern society")</f>
        <v/>
      </c>
      <c r="B521" s="6">
        <f>IFERROR(__xludf.DUMMYFUNCTION("""COMPUTED_VALUE"""),"Resource")</f>
        <v/>
      </c>
      <c r="C521" s="6">
        <f>IFERROR(__xludf.DUMMYFUNCTION("""COMPUTED_VALUE"""),"Racism")</f>
        <v/>
      </c>
      <c r="D521" s="7">
        <f>IFERROR(__xludf.DUMMYFUNCTION("""COMPUTED_VALUE"""),"No task description")</f>
        <v/>
      </c>
      <c r="E521" s="7">
        <f>IFERROR(__xludf.DUMMYFUNCTION("""COMPUTED_VALUE"""),"internesque.com: This domain appears to host essays or articles on various topics, including discussions on racism.")</f>
        <v/>
      </c>
      <c r="F521" s="7" t="inlineStr">
        <is>
          <t>Students were given tasks with varying descriptions and embedded artifacts, including images and websites, to complete assignments.</t>
        </is>
      </c>
      <c r="G521" s="8" t="inlineStr">
        <is>
          <t>1</t>
        </is>
      </c>
      <c r="H521" s="8" t="inlineStr">
        <is>
          <t>0</t>
        </is>
      </c>
      <c r="I521" s="8" t="inlineStr">
        <is>
          <t>0</t>
        </is>
      </c>
      <c r="J521" s="8" t="inlineStr">
        <is>
          <t>0</t>
        </is>
      </c>
      <c r="K521" s="9" t="inlineStr">
        <is>
          <t>1</t>
        </is>
      </c>
      <c r="L521" s="9" t="inlineStr">
        <is>
          <t>0</t>
        </is>
      </c>
      <c r="M521" s="9" t="inlineStr">
        <is>
          <t>0</t>
        </is>
      </c>
      <c r="N521" s="9" t="inlineStr">
        <is>
          <t>0</t>
        </is>
      </c>
      <c r="O521" s="10" t="inlineStr">
        <is>
          <t>0</t>
        </is>
      </c>
      <c r="P521" s="10" t="inlineStr">
        <is>
          <t>0</t>
        </is>
      </c>
      <c r="Q521" s="10" t="inlineStr">
        <is>
          <t>0</t>
        </is>
      </c>
      <c r="R521" s="10" t="inlineStr">
        <is>
          <t>0</t>
        </is>
      </c>
      <c r="S521" s="10" t="inlineStr">
        <is>
          <t>0</t>
        </is>
      </c>
    </row>
    <row r="522" ht="97" customHeight="1">
      <c r="A522" s="6">
        <f>IFERROR(__xludf.DUMMYFUNCTION("""COMPUTED_VALUE"""),"Racism in modern society")</f>
        <v/>
      </c>
      <c r="B522" s="6">
        <f>IFERROR(__xludf.DUMMYFUNCTION("""COMPUTED_VALUE"""),"Resource")</f>
        <v/>
      </c>
      <c r="C522" s="6">
        <f>IFERROR(__xludf.DUMMYFUNCTION("""COMPUTED_VALUE"""),"MODERN RACISM: THE CAUSE, CULTURE, AND EFFECTS-THE RESULT OF SOCIAL LEARNING")</f>
        <v/>
      </c>
      <c r="D522" s="7">
        <f>IFERROR(__xludf.DUMMYFUNCTION("""COMPUTED_VALUE"""),"No task description")</f>
        <v/>
      </c>
      <c r="E522" s="7">
        <f>IFERROR(__xludf.DUMMYFUNCTION("""COMPUTED_VALUE"""),"psychsocialissues.com: Discusses psychological and social issues, including articles on modern racism.")</f>
        <v/>
      </c>
      <c r="F522" s="7" t="inlineStr">
        <is>
          <t>Students are instructed to review materials and watch videos for discussion. Embedded artifacts include websites on racism and social issues.</t>
        </is>
      </c>
      <c r="G522" s="8" t="inlineStr">
        <is>
          <t>1</t>
        </is>
      </c>
      <c r="H522" s="8" t="inlineStr">
        <is>
          <t>0</t>
        </is>
      </c>
      <c r="I522" s="8" t="inlineStr">
        <is>
          <t>0</t>
        </is>
      </c>
      <c r="J522" s="8" t="inlineStr">
        <is>
          <t>0</t>
        </is>
      </c>
      <c r="K522" s="9" t="inlineStr">
        <is>
          <t>1</t>
        </is>
      </c>
      <c r="L522" s="9" t="inlineStr">
        <is>
          <t>0</t>
        </is>
      </c>
      <c r="M522" s="9" t="inlineStr">
        <is>
          <t>0</t>
        </is>
      </c>
      <c r="N522" s="9" t="inlineStr">
        <is>
          <t>0</t>
        </is>
      </c>
      <c r="O522" s="10" t="inlineStr">
        <is>
          <t>0</t>
        </is>
      </c>
      <c r="P522" s="10" t="inlineStr">
        <is>
          <t>0</t>
        </is>
      </c>
      <c r="Q522" s="10" t="inlineStr">
        <is>
          <t>0</t>
        </is>
      </c>
      <c r="R522" s="10" t="inlineStr">
        <is>
          <t>0</t>
        </is>
      </c>
      <c r="S522" s="10" t="inlineStr">
        <is>
          <t>1</t>
        </is>
      </c>
    </row>
    <row r="523" ht="133" customHeight="1">
      <c r="A523" s="6">
        <f>IFERROR(__xludf.DUMMYFUNCTION("""COMPUTED_VALUE"""),"Racism in modern society")</f>
        <v/>
      </c>
      <c r="B523" s="6">
        <f>IFERROR(__xludf.DUMMYFUNCTION("""COMPUTED_VALUE"""),"Resource")</f>
        <v/>
      </c>
      <c r="C523" s="6">
        <f>IFERROR(__xludf.DUMMYFUNCTION("""COMPUTED_VALUE"""),"Racism and discrimination in Ukraine")</f>
        <v/>
      </c>
      <c r="D523" s="7">
        <f>IFERROR(__xludf.DUMMYFUNCTION("""COMPUTED_VALUE"""),"No task description")</f>
        <v/>
      </c>
      <c r="E523" s="7">
        <f>IFERROR(__xludf.DUMMYFUNCTION("""COMPUTED_VALUE"""),"en.wikipedia.org: The English version of Wikipedia, a free online encyclopedia, offering articles on topics like racism and discrimination in Ukraine.")</f>
        <v/>
      </c>
      <c r="F523" s="7" t="inlineStr">
        <is>
          <t>No instructions provided; artifacts include websites discussing racism and social issues.</t>
        </is>
      </c>
      <c r="G523" s="8" t="inlineStr">
        <is>
          <t>1</t>
        </is>
      </c>
      <c r="H523" s="8" t="inlineStr">
        <is>
          <t>0</t>
        </is>
      </c>
      <c r="I523" s="8" t="inlineStr">
        <is>
          <t>0</t>
        </is>
      </c>
      <c r="J523" s="8" t="inlineStr">
        <is>
          <t>0</t>
        </is>
      </c>
      <c r="K523" s="9" t="inlineStr">
        <is>
          <t>1</t>
        </is>
      </c>
      <c r="L523" s="9" t="inlineStr">
        <is>
          <t>0</t>
        </is>
      </c>
      <c r="M523" s="9" t="inlineStr">
        <is>
          <t>0</t>
        </is>
      </c>
      <c r="N523" s="9" t="inlineStr">
        <is>
          <t>0</t>
        </is>
      </c>
      <c r="O523" s="10" t="inlineStr">
        <is>
          <t>0</t>
        </is>
      </c>
      <c r="P523" s="10" t="inlineStr">
        <is>
          <t>0</t>
        </is>
      </c>
      <c r="Q523" s="10" t="inlineStr">
        <is>
          <t>0</t>
        </is>
      </c>
      <c r="R523" s="10" t="inlineStr">
        <is>
          <t>0</t>
        </is>
      </c>
      <c r="S523" s="10" t="inlineStr">
        <is>
          <t>0</t>
        </is>
      </c>
    </row>
    <row r="524" ht="121" customHeight="1">
      <c r="A524" s="6">
        <f>IFERROR(__xludf.DUMMYFUNCTION("""COMPUTED_VALUE"""),"Racism in modern society")</f>
        <v/>
      </c>
      <c r="B524" s="6">
        <f>IFERROR(__xludf.DUMMYFUNCTION("""COMPUTED_VALUE"""),"Resource")</f>
        <v/>
      </c>
      <c r="C524" s="6">
        <f>IFERROR(__xludf.DUMMYFUNCTION("""COMPUTED_VALUE"""),"The Science Of Racism")</f>
        <v/>
      </c>
      <c r="D524" s="7">
        <f>IFERROR(__xludf.DUMMYFUNCTION("""COMPUTED_VALUE"""),"&lt;p&gt;Why are some people racist, but others are not?&lt;/p&gt;")</f>
        <v/>
      </c>
      <c r="E524" s="7">
        <f>IFERROR(__xludf.DUMMYFUNCTION("""COMPUTED_VALUE"""),"youtube.com: A widely known video-sharing platform where users can watch videos on a vast array of topics, including educational content.")</f>
        <v/>
      </c>
      <c r="F524" s="7" t="inlineStr">
        <is>
          <t>Students were given no specific tasks, but provided with online resources on racism and social issues.</t>
        </is>
      </c>
      <c r="G524" s="8" t="inlineStr">
        <is>
          <t>1</t>
        </is>
      </c>
      <c r="H524" s="8" t="inlineStr">
        <is>
          <t>0</t>
        </is>
      </c>
      <c r="I524" s="8" t="inlineStr">
        <is>
          <t>0</t>
        </is>
      </c>
      <c r="J524" s="8" t="inlineStr">
        <is>
          <t>1</t>
        </is>
      </c>
      <c r="K524" s="9" t="inlineStr">
        <is>
          <t>1</t>
        </is>
      </c>
      <c r="L524" s="9" t="inlineStr">
        <is>
          <t>0</t>
        </is>
      </c>
      <c r="M524" s="9" t="inlineStr">
        <is>
          <t>0</t>
        </is>
      </c>
      <c r="N524" s="9" t="inlineStr">
        <is>
          <t>0</t>
        </is>
      </c>
      <c r="O524" s="10" t="inlineStr">
        <is>
          <t>1</t>
        </is>
      </c>
      <c r="P524" s="10" t="inlineStr">
        <is>
          <t>1</t>
        </is>
      </c>
      <c r="Q524" s="10" t="inlineStr">
        <is>
          <t>0</t>
        </is>
      </c>
      <c r="R524" s="10" t="inlineStr">
        <is>
          <t>0</t>
        </is>
      </c>
      <c r="S524" s="10" t="inlineStr">
        <is>
          <t>0</t>
        </is>
      </c>
    </row>
    <row r="525" ht="121" customHeight="1">
      <c r="A525" s="6">
        <f>IFERROR(__xludf.DUMMYFUNCTION("""COMPUTED_VALUE"""),"Racism in modern society")</f>
        <v/>
      </c>
      <c r="B525" s="6">
        <f>IFERROR(__xludf.DUMMYFUNCTION("""COMPUTED_VALUE"""),"Resource")</f>
        <v/>
      </c>
      <c r="C525" s="6">
        <f>IFERROR(__xludf.DUMMYFUNCTION("""COMPUTED_VALUE"""),"THE RACISM EXPERIMENT!")</f>
        <v/>
      </c>
      <c r="D525" s="7">
        <f>IFERROR(__xludf.DUMMYFUNCTION("""COMPUTED_VALUE"""),"No task description")</f>
        <v/>
      </c>
      <c r="E525" s="7">
        <f>IFERROR(__xludf.DUMMYFUNCTION("""COMPUTED_VALUE"""),"youtube.com: A widely known video-sharing platform where users can watch videos on a vast array of topics, including educational content.")</f>
        <v/>
      </c>
      <c r="F525" s="7" t="inlineStr">
        <is>
          <t>Students received tasks with embedded artifacts from Wikipedia and YouTube to explore racism and discrimination topics.</t>
        </is>
      </c>
      <c r="G525" s="8" t="inlineStr">
        <is>
          <t>1</t>
        </is>
      </c>
      <c r="H525" s="8" t="inlineStr">
        <is>
          <t>0</t>
        </is>
      </c>
      <c r="I525" s="8" t="inlineStr">
        <is>
          <t>0</t>
        </is>
      </c>
      <c r="J525" s="8" t="inlineStr">
        <is>
          <t>0</t>
        </is>
      </c>
      <c r="K525" s="9" t="inlineStr">
        <is>
          <t>1</t>
        </is>
      </c>
      <c r="L525" s="9" t="inlineStr">
        <is>
          <t>0</t>
        </is>
      </c>
      <c r="M525" s="9" t="inlineStr">
        <is>
          <t>0</t>
        </is>
      </c>
      <c r="N525" s="9" t="inlineStr">
        <is>
          <t>0</t>
        </is>
      </c>
      <c r="O525" s="10" t="inlineStr">
        <is>
          <t>0</t>
        </is>
      </c>
      <c r="P525" s="10" t="inlineStr">
        <is>
          <t>0</t>
        </is>
      </c>
      <c r="Q525" s="10" t="inlineStr">
        <is>
          <t>0</t>
        </is>
      </c>
      <c r="R525" s="10" t="inlineStr">
        <is>
          <t>0</t>
        </is>
      </c>
      <c r="S525" s="10" t="inlineStr">
        <is>
          <t>0</t>
        </is>
      </c>
    </row>
    <row r="526" ht="181" customHeight="1">
      <c r="A526" s="6">
        <f>IFERROR(__xludf.DUMMYFUNCTION("""COMPUTED_VALUE"""),"Racism in modern society")</f>
        <v/>
      </c>
      <c r="B526" s="6">
        <f>IFERROR(__xludf.DUMMYFUNCTION("""COMPUTED_VALUE"""),"Space")</f>
        <v/>
      </c>
      <c r="C526" s="6">
        <f>IFERROR(__xludf.DUMMYFUNCTION("""COMPUTED_VALUE"""),"Discussion")</f>
        <v/>
      </c>
      <c r="D526" s="7">
        <f>IFERROR(__xludf.DUMMYFUNCTION("""COMPUTED_VALUE"""),"&lt;p&gt;Here you can find the discussion concerning racism in modern society. You're welcome to express your opinion as well as comment opinions of your peers.&lt;/p&gt;&lt;p&gt;The questions are inside the discussion.&lt;/p&gt;")</f>
        <v/>
      </c>
      <c r="E526" s="7">
        <f>IFERROR(__xludf.DUMMYFUNCTION("""COMPUTED_VALUE"""),"No artifact embedded")</f>
        <v/>
      </c>
      <c r="F526" s="7" t="inlineStr">
        <is>
          <t>Students discuss racism, with tasks involving video content on youtube.com and a peer discussion forum.</t>
        </is>
      </c>
      <c r="G526" s="8" t="inlineStr">
        <is>
          <t>0</t>
        </is>
      </c>
      <c r="H526" s="8" t="inlineStr">
        <is>
          <t>0</t>
        </is>
      </c>
      <c r="I526" s="8" t="inlineStr">
        <is>
          <t>0</t>
        </is>
      </c>
      <c r="J526" s="8" t="inlineStr">
        <is>
          <t>1</t>
        </is>
      </c>
      <c r="K526" s="9" t="inlineStr">
        <is>
          <t>0</t>
        </is>
      </c>
      <c r="L526" s="9" t="inlineStr">
        <is>
          <t>0</t>
        </is>
      </c>
      <c r="M526" s="9" t="inlineStr">
        <is>
          <t>1</t>
        </is>
      </c>
      <c r="N526" s="9" t="inlineStr">
        <is>
          <t>1</t>
        </is>
      </c>
      <c r="O526" s="10" t="inlineStr">
        <is>
          <t>1</t>
        </is>
      </c>
      <c r="P526" s="10" t="inlineStr">
        <is>
          <t>0</t>
        </is>
      </c>
      <c r="Q526" s="10" t="inlineStr">
        <is>
          <t>0</t>
        </is>
      </c>
      <c r="R526" s="10" t="inlineStr">
        <is>
          <t>0</t>
        </is>
      </c>
      <c r="S526" s="10" t="inlineStr">
        <is>
          <t>1</t>
        </is>
      </c>
    </row>
    <row r="527" ht="285" customHeight="1">
      <c r="A527" s="6">
        <f>IFERROR(__xludf.DUMMYFUNCTION("""COMPUTED_VALUE"""),"Racism in modern society")</f>
        <v/>
      </c>
      <c r="B527" s="6">
        <f>IFERROR(__xludf.DUMMYFUNCTION("""COMPUTED_VALUE"""),"Topic")</f>
        <v/>
      </c>
      <c r="C527" s="6">
        <f>IFERROR(__xludf.DUMMYFUNCTION("""COMPUTED_VALUE"""),"Your attitude to racism")</f>
        <v/>
      </c>
      <c r="D527" s="7">
        <f>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
      </c>
      <c r="E527" s="7">
        <f>IFERROR(__xludf.DUMMYFUNCTION("""COMPUTED_VALUE"""),"text/html – A webpage or web document that contains structured text, images, and links, designed for display in a web browser.")</f>
        <v/>
      </c>
      <c r="F527" s="7" t="inlineStr">
        <is>
          <t>Students were given discussion tasks on racism with some items having embedded artifacts like YouTube and HTML webpages.</t>
        </is>
      </c>
      <c r="G527" s="8" t="inlineStr">
        <is>
          <t>0</t>
        </is>
      </c>
      <c r="H527" s="8" t="inlineStr">
        <is>
          <t>0</t>
        </is>
      </c>
      <c r="I527" s="8" t="inlineStr">
        <is>
          <t>1</t>
        </is>
      </c>
      <c r="J527" s="8" t="inlineStr">
        <is>
          <t>1</t>
        </is>
      </c>
      <c r="K527" s="9" t="inlineStr">
        <is>
          <t>0</t>
        </is>
      </c>
      <c r="L527" s="9" t="inlineStr">
        <is>
          <t>1</t>
        </is>
      </c>
      <c r="M527" s="9" t="inlineStr">
        <is>
          <t>1</t>
        </is>
      </c>
      <c r="N527" s="9" t="inlineStr">
        <is>
          <t>0</t>
        </is>
      </c>
      <c r="O527" s="10" t="inlineStr">
        <is>
          <t>1</t>
        </is>
      </c>
      <c r="P527" s="10" t="inlineStr">
        <is>
          <t>1</t>
        </is>
      </c>
      <c r="Q527" s="10" t="inlineStr">
        <is>
          <t>0</t>
        </is>
      </c>
      <c r="R527" s="10" t="inlineStr">
        <is>
          <t>0</t>
        </is>
      </c>
      <c r="S527" s="10" t="inlineStr">
        <is>
          <t>1</t>
        </is>
      </c>
    </row>
    <row r="528" ht="409.5" customHeight="1">
      <c r="A528" s="6">
        <f>IFERROR(__xludf.DUMMYFUNCTION("""COMPUTED_VALUE"""),"Racism in modern society")</f>
        <v/>
      </c>
      <c r="B528" s="6">
        <f>IFERROR(__xludf.DUMMYFUNCTION("""COMPUTED_VALUE"""),"Space")</f>
        <v/>
      </c>
      <c r="C528" s="6">
        <f>IFERROR(__xludf.DUMMYFUNCTION("""COMPUTED_VALUE"""),"Investigation")</f>
        <v/>
      </c>
      <c r="D528" s="7">
        <f>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
      </c>
      <c r="E528" s="7">
        <f>IFERROR(__xludf.DUMMYFUNCTION("""COMPUTED_VALUE"""),"No artifact embedded")</f>
        <v/>
      </c>
      <c r="F528" s="7" t="inlineStr">
        <is>
          <t>Students discuss racism, share opinions, and complete tasks with audio and vocabulary exercises, with some items having embedded HTML artifacts or no artifacts.</t>
        </is>
      </c>
      <c r="G528" s="8" t="inlineStr">
        <is>
          <t>0</t>
        </is>
      </c>
      <c r="H528" s="8" t="inlineStr">
        <is>
          <t>0</t>
        </is>
      </c>
      <c r="I528" s="8" t="inlineStr">
        <is>
          <t>1</t>
        </is>
      </c>
      <c r="J528" s="8" t="inlineStr">
        <is>
          <t>1</t>
        </is>
      </c>
      <c r="K528" s="9" t="inlineStr">
        <is>
          <t>0</t>
        </is>
      </c>
      <c r="L528" s="9" t="inlineStr">
        <is>
          <t>1</t>
        </is>
      </c>
      <c r="M528" s="9" t="inlineStr">
        <is>
          <t>0</t>
        </is>
      </c>
      <c r="N528" s="9" t="inlineStr">
        <is>
          <t>0</t>
        </is>
      </c>
      <c r="O528" s="10" t="inlineStr">
        <is>
          <t>0</t>
        </is>
      </c>
      <c r="P528" s="10" t="inlineStr">
        <is>
          <t>0</t>
        </is>
      </c>
      <c r="Q528" s="10" t="inlineStr">
        <is>
          <t>0</t>
        </is>
      </c>
      <c r="R528" s="10" t="inlineStr">
        <is>
          <t>0</t>
        </is>
      </c>
      <c r="S528" s="10" t="inlineStr">
        <is>
          <t>0</t>
        </is>
      </c>
    </row>
    <row r="529" ht="241" customHeight="1">
      <c r="A529" s="6">
        <f>IFERROR(__xludf.DUMMYFUNCTION("""COMPUTED_VALUE"""),"Racism in modern society")</f>
        <v/>
      </c>
      <c r="B529" s="6">
        <f>IFERROR(__xludf.DUMMYFUNCTION("""COMPUTED_VALUE"""),"Application")</f>
        <v/>
      </c>
      <c r="C529" s="6">
        <f>IFERROR(__xludf.DUMMYFUNCTION("""COMPUTED_VALUE"""),"Summary")</f>
        <v/>
      </c>
      <c r="D529" s="7">
        <f>IFERROR(__xludf.DUMMYFUNCTION("""COMPUTED_VALUE"""),"No task description")</f>
        <v/>
      </c>
      <c r="E52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29" s="7" t="inlineStr">
        <is>
          <t>Students are asked to share opinions on racism, listen to audio about Sojourner Truth, and complete tasks with embedded artifacts like webpages and apps.</t>
        </is>
      </c>
      <c r="G529" s="8" t="inlineStr">
        <is>
          <t>0</t>
        </is>
      </c>
      <c r="H529" s="8" t="inlineStr">
        <is>
          <t>1</t>
        </is>
      </c>
      <c r="I529" s="8" t="inlineStr">
        <is>
          <t>1</t>
        </is>
      </c>
      <c r="J529" s="8" t="inlineStr">
        <is>
          <t>0</t>
        </is>
      </c>
      <c r="K529" s="9" t="inlineStr">
        <is>
          <t>0</t>
        </is>
      </c>
      <c r="L529" s="9" t="inlineStr">
        <is>
          <t>1</t>
        </is>
      </c>
      <c r="M529" s="9" t="inlineStr">
        <is>
          <t>0</t>
        </is>
      </c>
      <c r="N529" s="9" t="inlineStr">
        <is>
          <t>0</t>
        </is>
      </c>
      <c r="O529" s="10" t="inlineStr">
        <is>
          <t>0</t>
        </is>
      </c>
      <c r="P529" s="10" t="inlineStr">
        <is>
          <t>0</t>
        </is>
      </c>
      <c r="Q529" s="10" t="inlineStr">
        <is>
          <t>0</t>
        </is>
      </c>
      <c r="R529" s="10" t="inlineStr">
        <is>
          <t>0</t>
        </is>
      </c>
      <c r="S529" s="10" t="inlineStr">
        <is>
          <t>1</t>
        </is>
      </c>
    </row>
    <row r="530" ht="241" customHeight="1">
      <c r="A530" s="6">
        <f>IFERROR(__xludf.DUMMYFUNCTION("""COMPUTED_VALUE"""),"Racism in modern society")</f>
        <v/>
      </c>
      <c r="B530" s="6">
        <f>IFERROR(__xludf.DUMMYFUNCTION("""COMPUTED_VALUE"""),"Application")</f>
        <v/>
      </c>
      <c r="C530" s="6">
        <f>IFERROR(__xludf.DUMMYFUNCTION("""COMPUTED_VALUE"""),"Questions")</f>
        <v/>
      </c>
      <c r="D530" s="7">
        <f>IFERROR(__xludf.DUMMYFUNCTION("""COMPUTED_VALUE"""),"No task description")</f>
        <v/>
      </c>
      <c r="E530"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30" s="7" t="inlineStr">
        <is>
          <t>Listen to audio about Sojourner Truth, write a summary in Ukrainian, and answer questions using Golabz app/lab with embedded questionnaire features.</t>
        </is>
      </c>
      <c r="G530" s="8" t="inlineStr">
        <is>
          <t>0</t>
        </is>
      </c>
      <c r="H530" s="8" t="inlineStr">
        <is>
          <t>1</t>
        </is>
      </c>
      <c r="I530" s="8" t="inlineStr">
        <is>
          <t>1</t>
        </is>
      </c>
      <c r="J530" s="8" t="inlineStr">
        <is>
          <t>0</t>
        </is>
      </c>
      <c r="K530" s="9" t="inlineStr">
        <is>
          <t>0</t>
        </is>
      </c>
      <c r="L530" s="9" t="inlineStr">
        <is>
          <t>1</t>
        </is>
      </c>
      <c r="M530" s="9" t="inlineStr">
        <is>
          <t>0</t>
        </is>
      </c>
      <c r="N530" s="9" t="inlineStr">
        <is>
          <t>0</t>
        </is>
      </c>
      <c r="O530" s="10" t="inlineStr">
        <is>
          <t>0</t>
        </is>
      </c>
      <c r="P530" s="10" t="inlineStr">
        <is>
          <t>0</t>
        </is>
      </c>
      <c r="Q530" s="10" t="inlineStr">
        <is>
          <t>0</t>
        </is>
      </c>
      <c r="R530" s="10" t="inlineStr">
        <is>
          <t>0</t>
        </is>
      </c>
      <c r="S530" s="10" t="inlineStr">
        <is>
          <t>1</t>
        </is>
      </c>
    </row>
    <row r="531" ht="73" customHeight="1">
      <c r="A531" s="6">
        <f>IFERROR(__xludf.DUMMYFUNCTION("""COMPUTED_VALUE"""),"Racism in modern society")</f>
        <v/>
      </c>
      <c r="B531" s="6">
        <f>IFERROR(__xludf.DUMMYFUNCTION("""COMPUTED_VALUE"""),"Application")</f>
        <v/>
      </c>
      <c r="C531" s="6">
        <f>IFERROR(__xludf.DUMMYFUNCTION("""COMPUTED_VALUE"""),"Teacher Feedback")</f>
        <v/>
      </c>
      <c r="D531" s="7">
        <f>IFERROR(__xludf.DUMMYFUNCTION("""COMPUTED_VALUE"""),"No task description")</f>
        <v/>
      </c>
      <c r="E531" s="7">
        <f>IFERROR(__xludf.DUMMYFUNCTION("""COMPUTED_VALUE"""),"Golabz app/lab: ""&lt;p&gt;A tool where teachers can provide feedback to students&lt;/p&gt;\r\n""")</f>
        <v/>
      </c>
      <c r="F531" s="7" t="inlineStr">
        <is>
          <t>No task descriptions; embedded artifacts describe Golabz app/lab features for surveys and teacher feedback.</t>
        </is>
      </c>
      <c r="G531" s="8" t="inlineStr">
        <is>
          <t>1</t>
        </is>
      </c>
      <c r="H531" s="8" t="inlineStr">
        <is>
          <t>0</t>
        </is>
      </c>
      <c r="I531" s="8" t="inlineStr">
        <is>
          <t>0</t>
        </is>
      </c>
      <c r="J531" s="8" t="inlineStr">
        <is>
          <t>0</t>
        </is>
      </c>
      <c r="K531" s="9" t="inlineStr">
        <is>
          <t>0</t>
        </is>
      </c>
      <c r="L531" s="9" t="inlineStr">
        <is>
          <t>0</t>
        </is>
      </c>
      <c r="M531" s="9" t="inlineStr">
        <is>
          <t>0</t>
        </is>
      </c>
      <c r="N531" s="9" t="inlineStr">
        <is>
          <t>0</t>
        </is>
      </c>
      <c r="O531" s="10" t="inlineStr">
        <is>
          <t>0</t>
        </is>
      </c>
      <c r="P531" s="10" t="inlineStr">
        <is>
          <t>0</t>
        </is>
      </c>
      <c r="Q531" s="10" t="inlineStr">
        <is>
          <t>0</t>
        </is>
      </c>
      <c r="R531" s="10" t="inlineStr">
        <is>
          <t>0</t>
        </is>
      </c>
      <c r="S531" s="10" t="inlineStr">
        <is>
          <t>1</t>
        </is>
      </c>
    </row>
    <row r="532" ht="307" customHeight="1">
      <c r="A532" s="6">
        <f>IFERROR(__xludf.DUMMYFUNCTION("""COMPUTED_VALUE"""),"Racism in modern society")</f>
        <v/>
      </c>
      <c r="B532" s="6">
        <f>IFERROR(__xludf.DUMMYFUNCTION("""COMPUTED_VALUE"""),"Space")</f>
        <v/>
      </c>
      <c r="C532" s="6">
        <f>IFERROR(__xludf.DUMMYFUNCTION("""COMPUTED_VALUE"""),"Conclusion")</f>
        <v/>
      </c>
      <c r="D532" s="7">
        <f>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
      </c>
      <c r="E532" s="7">
        <f>IFERROR(__xludf.DUMMYFUNCTION("""COMPUTED_VALUE"""),"No artifact embedded")</f>
        <v/>
      </c>
      <c r="F532" s="7" t="inlineStr">
        <is>
          <t>Students received no task descriptions for Items 1 and 2, but Item 3 had a quiz on racism with honesty encouraged. Embedded artifacts included Golabz app/lab for surveys and feedback tools.</t>
        </is>
      </c>
      <c r="G532" s="8" t="inlineStr">
        <is>
          <t>0</t>
        </is>
      </c>
      <c r="H532" s="8" t="inlineStr">
        <is>
          <t>0</t>
        </is>
      </c>
      <c r="I532" s="8" t="inlineStr">
        <is>
          <t>1</t>
        </is>
      </c>
      <c r="J532" s="8" t="inlineStr">
        <is>
          <t>1</t>
        </is>
      </c>
      <c r="K532" s="9" t="inlineStr">
        <is>
          <t>1</t>
        </is>
      </c>
      <c r="L532" s="9" t="inlineStr">
        <is>
          <t>1</t>
        </is>
      </c>
      <c r="M532" s="9" t="inlineStr">
        <is>
          <t>0</t>
        </is>
      </c>
      <c r="N532" s="9" t="inlineStr">
        <is>
          <t>0</t>
        </is>
      </c>
      <c r="O532" s="10" t="inlineStr">
        <is>
          <t>1</t>
        </is>
      </c>
      <c r="P532" s="10" t="inlineStr">
        <is>
          <t>1</t>
        </is>
      </c>
      <c r="Q532" s="10" t="inlineStr">
        <is>
          <t>0</t>
        </is>
      </c>
      <c r="R532" s="10" t="inlineStr">
        <is>
          <t>0</t>
        </is>
      </c>
      <c r="S532" s="10" t="inlineStr">
        <is>
          <t>1</t>
        </is>
      </c>
    </row>
    <row r="533" ht="133" customHeight="1">
      <c r="A533" s="6">
        <f>IFERROR(__xludf.DUMMYFUNCTION("""COMPUTED_VALUE"""),"Racism in modern society")</f>
        <v/>
      </c>
      <c r="B533" s="6">
        <f>IFERROR(__xludf.DUMMYFUNCTION("""COMPUTED_VALUE"""),"Resource")</f>
        <v/>
      </c>
      <c r="C533" s="6">
        <f>IFERROR(__xludf.DUMMYFUNCTION("""COMPUTED_VALUE"""),"Are You Racist? Quiz - ProProfs Quiz")</f>
        <v/>
      </c>
      <c r="D533" s="7">
        <f>IFERROR(__xludf.DUMMYFUNCTION("""COMPUTED_VALUE"""),"Have you ever thought about the act of racism? Do you ever wonder if you are a racist? This quiz will make you think about this topic more in depth and hopefull...")</f>
        <v/>
      </c>
      <c r="E533" s="7">
        <f>IFERROR(__xludf.DUMMYFUNCTION("""COMPUTED_VALUE"""),"proprofs.com: Provides quizzes and educational tools, including personality quizzes on topics like racism.")</f>
        <v/>
      </c>
      <c r="F533" s="7" t="inlineStr">
        <is>
          <t>Students received tasks on racism with instructions to be honest. Embedded artifacts included Golabz app and ProProfs quizzes.</t>
        </is>
      </c>
      <c r="G533" s="8" t="inlineStr">
        <is>
          <t>0</t>
        </is>
      </c>
      <c r="H533" s="8" t="inlineStr">
        <is>
          <t>1</t>
        </is>
      </c>
      <c r="I533" s="8" t="inlineStr">
        <is>
          <t>1</t>
        </is>
      </c>
      <c r="J533" s="8" t="inlineStr">
        <is>
          <t>1</t>
        </is>
      </c>
      <c r="K533" s="9" t="inlineStr">
        <is>
          <t>1</t>
        </is>
      </c>
      <c r="L533" s="9" t="inlineStr">
        <is>
          <t>1</t>
        </is>
      </c>
      <c r="M533" s="9" t="inlineStr">
        <is>
          <t>0</t>
        </is>
      </c>
      <c r="N533" s="9" t="inlineStr">
        <is>
          <t>0</t>
        </is>
      </c>
      <c r="O533" s="10" t="inlineStr">
        <is>
          <t>1</t>
        </is>
      </c>
      <c r="P533" s="10" t="inlineStr">
        <is>
          <t>1</t>
        </is>
      </c>
      <c r="Q533" s="10" t="inlineStr">
        <is>
          <t>0</t>
        </is>
      </c>
      <c r="R533" s="10" t="inlineStr">
        <is>
          <t>0</t>
        </is>
      </c>
      <c r="S533" s="10" t="inlineStr">
        <is>
          <t>1</t>
        </is>
      </c>
    </row>
    <row r="534" ht="25" customHeight="1">
      <c r="A534" s="6">
        <f>IFERROR(__xludf.DUMMYFUNCTION("""COMPUTED_VALUE"""),"Bending of Light")</f>
        <v/>
      </c>
      <c r="B534" s="6">
        <f>IFERROR(__xludf.DUMMYFUNCTION("""COMPUTED_VALUE"""),"Space")</f>
        <v/>
      </c>
      <c r="C534" s="6">
        <f>IFERROR(__xludf.DUMMYFUNCTION("""COMPUTED_VALUE"""),"Orientation")</f>
        <v/>
      </c>
      <c r="D534" s="7">
        <f>IFERROR(__xludf.DUMMYFUNCTION("""COMPUTED_VALUE"""),"&lt;p&gt;Background&lt;/p&gt;")</f>
        <v/>
      </c>
      <c r="E534" s="7">
        <f>IFERROR(__xludf.DUMMYFUNCTION("""COMPUTED_VALUE"""),"No artifact embedded")</f>
        <v/>
      </c>
      <c r="F534" s="7" t="inlineStr">
        <is>
          <t>Students are asked to honestly complete a quiz about racism, with some items linking to external resources like ProProfs for educational tools.</t>
        </is>
      </c>
      <c r="G534" s="8" t="inlineStr">
        <is>
          <t>1</t>
        </is>
      </c>
      <c r="H534" s="8" t="inlineStr">
        <is>
          <t>0</t>
        </is>
      </c>
      <c r="I534" s="8" t="inlineStr">
        <is>
          <t>0</t>
        </is>
      </c>
      <c r="J534" s="8" t="inlineStr">
        <is>
          <t>0</t>
        </is>
      </c>
      <c r="K534" s="9" t="inlineStr">
        <is>
          <t>1</t>
        </is>
      </c>
      <c r="L534" s="9" t="inlineStr">
        <is>
          <t>0</t>
        </is>
      </c>
      <c r="M534" s="9" t="inlineStr">
        <is>
          <t>0</t>
        </is>
      </c>
      <c r="N534" s="9" t="inlineStr">
        <is>
          <t>0</t>
        </is>
      </c>
      <c r="O534" s="10" t="inlineStr">
        <is>
          <t>0</t>
        </is>
      </c>
      <c r="P534" s="10" t="inlineStr">
        <is>
          <t>0</t>
        </is>
      </c>
      <c r="Q534" s="10" t="inlineStr">
        <is>
          <t>0</t>
        </is>
      </c>
      <c r="R534" s="10" t="inlineStr">
        <is>
          <t>0</t>
        </is>
      </c>
      <c r="S534" s="10" t="inlineStr">
        <is>
          <t>0</t>
        </is>
      </c>
    </row>
    <row r="535" ht="409.5" customHeight="1">
      <c r="A535" s="6">
        <f>IFERROR(__xludf.DUMMYFUNCTION("""COMPUTED_VALUE"""),"Bending of Light")</f>
        <v/>
      </c>
      <c r="B535" s="6">
        <f>IFERROR(__xludf.DUMMYFUNCTION("""COMPUTED_VALUE"""),"Resource")</f>
        <v/>
      </c>
      <c r="C535" s="6">
        <f>IFERROR(__xludf.DUMMYFUNCTION("""COMPUTED_VALUE"""),"Hello Scientists.docx")</f>
        <v/>
      </c>
      <c r="D535" s="7">
        <f>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
      </c>
      <c r="E535" s="7">
        <f>IFERROR(__xludf.DUMMYFUNCTION("""COMPUTED_VALUE"""),"application/vnd.openxmlformats-officedocument.wordprocessingml.document – A Microsoft Word document (DOCX), typically containing formatted text, images, and tables.")</f>
        <v/>
      </c>
      <c r="F535" s="7" t="inlineStr">
        <is>
          <t>Students are given tasks with embedded artifacts, including quizzes on racism and educational tools, as well as a Word document demonstrating rectilinear light propagation.</t>
        </is>
      </c>
      <c r="G535" s="8" t="inlineStr">
        <is>
          <t>1</t>
        </is>
      </c>
      <c r="H535" s="8" t="inlineStr">
        <is>
          <t>0</t>
        </is>
      </c>
      <c r="I535" s="8" t="inlineStr">
        <is>
          <t>0</t>
        </is>
      </c>
      <c r="J535" s="8" t="inlineStr">
        <is>
          <t>0</t>
        </is>
      </c>
      <c r="K535" s="9" t="inlineStr">
        <is>
          <t>1</t>
        </is>
      </c>
      <c r="L535" s="9" t="inlineStr">
        <is>
          <t>0</t>
        </is>
      </c>
      <c r="M535" s="9" t="inlineStr">
        <is>
          <t>0</t>
        </is>
      </c>
      <c r="N535" s="9" t="inlineStr">
        <is>
          <t>0</t>
        </is>
      </c>
      <c r="O535" s="10" t="inlineStr">
        <is>
          <t>1</t>
        </is>
      </c>
      <c r="P535" s="10" t="inlineStr">
        <is>
          <t>0</t>
        </is>
      </c>
      <c r="Q535" s="10" t="inlineStr">
        <is>
          <t>0</t>
        </is>
      </c>
      <c r="R535" s="10" t="inlineStr">
        <is>
          <t>0</t>
        </is>
      </c>
      <c r="S535" s="10" t="inlineStr">
        <is>
          <t>0</t>
        </is>
      </c>
    </row>
    <row r="536" ht="121" customHeight="1">
      <c r="A536" s="6">
        <f>IFERROR(__xludf.DUMMYFUNCTION("""COMPUTED_VALUE"""),"Bending of Light")</f>
        <v/>
      </c>
      <c r="B536" s="6">
        <f>IFERROR(__xludf.DUMMYFUNCTION("""COMPUTED_VALUE"""),"Resource")</f>
        <v/>
      </c>
      <c r="C536" s="6">
        <f>IFERROR(__xludf.DUMMYFUNCTION("""COMPUTED_VALUE"""),"straight line.mp4")</f>
        <v/>
      </c>
      <c r="D536" s="7">
        <f>IFERROR(__xludf.DUMMYFUNCTION("""COMPUTED_VALUE"""),"No task description")</f>
        <v/>
      </c>
      <c r="E536" s="7">
        <f>IFERROR(__xludf.DUMMYFUNCTION("""COMPUTED_VALUE"""),"video/mp4 – A video file containing moving images and possibly audio, suitable for playback on most modern devices and platforms.")</f>
        <v/>
      </c>
      <c r="F536" s="7" t="inlineStr">
        <is>
          <t>Students are instructed about light's rectilinear propagation with demonstrations and embedded artifacts include a Word document and a video.</t>
        </is>
      </c>
      <c r="G536" s="8" t="inlineStr">
        <is>
          <t>1</t>
        </is>
      </c>
      <c r="H536" s="8" t="inlineStr">
        <is>
          <t>0</t>
        </is>
      </c>
      <c r="I536" s="8" t="inlineStr">
        <is>
          <t>0</t>
        </is>
      </c>
      <c r="J536" s="8" t="inlineStr">
        <is>
          <t>0</t>
        </is>
      </c>
      <c r="K536" s="9" t="inlineStr">
        <is>
          <t>1</t>
        </is>
      </c>
      <c r="L536" s="9" t="inlineStr">
        <is>
          <t>0</t>
        </is>
      </c>
      <c r="M536" s="9" t="inlineStr">
        <is>
          <t>0</t>
        </is>
      </c>
      <c r="N536" s="9" t="inlineStr">
        <is>
          <t>0</t>
        </is>
      </c>
      <c r="O536" s="10" t="inlineStr">
        <is>
          <t>0</t>
        </is>
      </c>
      <c r="P536" s="10" t="inlineStr">
        <is>
          <t>0</t>
        </is>
      </c>
      <c r="Q536" s="10" t="inlineStr">
        <is>
          <t>0</t>
        </is>
      </c>
      <c r="R536" s="10" t="inlineStr">
        <is>
          <t>0</t>
        </is>
      </c>
      <c r="S536" s="10" t="inlineStr">
        <is>
          <t>0</t>
        </is>
      </c>
    </row>
    <row r="537" ht="121" customHeight="1">
      <c r="A537" s="6">
        <f>IFERROR(__xludf.DUMMYFUNCTION("""COMPUTED_VALUE"""),"Bending of Light")</f>
        <v/>
      </c>
      <c r="B537" s="6">
        <f>IFERROR(__xludf.DUMMYFUNCTION("""COMPUTED_VALUE"""),"Resource")</f>
        <v/>
      </c>
      <c r="C537" s="6">
        <f>IFERROR(__xludf.DUMMYFUNCTION("""COMPUTED_VALUE"""),"Bending of Light.mp4")</f>
        <v/>
      </c>
      <c r="D537" s="7">
        <f>IFERROR(__xludf.DUMMYFUNCTION("""COMPUTED_VALUE"""),"&lt;p&gt;Now, watch this video very carefully.&lt;/p&gt;")</f>
        <v/>
      </c>
      <c r="E537" s="7">
        <f>IFERROR(__xludf.DUMMYFUNCTION("""COMPUTED_VALUE"""),"video/mp4 – A video file containing moving images and possibly audio, suitable for playback on most modern devices and platforms.")</f>
        <v/>
      </c>
      <c r="F537" s="7" t="inlineStr">
        <is>
          <t>Students are instructed to observe light's rectilinear propagation through demonstrations and videos. Embedded artifacts include Word documents, MP4 videos, and figures.</t>
        </is>
      </c>
      <c r="G537" s="8" t="inlineStr">
        <is>
          <t>1</t>
        </is>
      </c>
      <c r="H537" s="8" t="inlineStr">
        <is>
          <t>0</t>
        </is>
      </c>
      <c r="I537" s="8" t="inlineStr">
        <is>
          <t>0</t>
        </is>
      </c>
      <c r="J537" s="8" t="inlineStr">
        <is>
          <t>0</t>
        </is>
      </c>
      <c r="K537" s="9" t="inlineStr">
        <is>
          <t>1</t>
        </is>
      </c>
      <c r="L537" s="9" t="inlineStr">
        <is>
          <t>0</t>
        </is>
      </c>
      <c r="M537" s="9" t="inlineStr">
        <is>
          <t>0</t>
        </is>
      </c>
      <c r="N537" s="9" t="inlineStr">
        <is>
          <t>0</t>
        </is>
      </c>
      <c r="O537" s="10" t="inlineStr">
        <is>
          <t>0</t>
        </is>
      </c>
      <c r="P537" s="10" t="inlineStr">
        <is>
          <t>0</t>
        </is>
      </c>
      <c r="Q537" s="10" t="inlineStr">
        <is>
          <t>0</t>
        </is>
      </c>
      <c r="R537" s="10" t="inlineStr">
        <is>
          <t>0</t>
        </is>
      </c>
      <c r="S537" s="10" t="inlineStr">
        <is>
          <t>0</t>
        </is>
      </c>
    </row>
    <row r="538" ht="329" customHeight="1">
      <c r="A538" s="6">
        <f>IFERROR(__xludf.DUMMYFUNCTION("""COMPUTED_VALUE"""),"Bending of Light")</f>
        <v/>
      </c>
      <c r="B538" s="6">
        <f>IFERROR(__xludf.DUMMYFUNCTION("""COMPUTED_VALUE"""),"Application")</f>
        <v/>
      </c>
      <c r="C538" s="6">
        <f>IFERROR(__xludf.DUMMYFUNCTION("""COMPUTED_VALUE"""),"Input Box")</f>
        <v/>
      </c>
      <c r="D538" s="7">
        <f>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
      </c>
      <c r="E5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38" s="7" t="inlineStr">
        <is>
          <t>Students are instructed to watch a video and then write their observations, sharing with peers and teacher. Embedded artifacts include videos and an input box app for note-taking.</t>
        </is>
      </c>
      <c r="G538" s="8" t="inlineStr">
        <is>
          <t>0</t>
        </is>
      </c>
      <c r="H538" s="8" t="inlineStr">
        <is>
          <t>0</t>
        </is>
      </c>
      <c r="I538" s="8" t="inlineStr">
        <is>
          <t>1</t>
        </is>
      </c>
      <c r="J538" s="8" t="inlineStr">
        <is>
          <t>1</t>
        </is>
      </c>
      <c r="K538" s="9" t="inlineStr">
        <is>
          <t>0</t>
        </is>
      </c>
      <c r="L538" s="9" t="inlineStr">
        <is>
          <t>1</t>
        </is>
      </c>
      <c r="M538" s="9" t="inlineStr">
        <is>
          <t>1</t>
        </is>
      </c>
      <c r="N538" s="9" t="inlineStr">
        <is>
          <t>1</t>
        </is>
      </c>
      <c r="O538" s="10" t="inlineStr">
        <is>
          <t>0</t>
        </is>
      </c>
      <c r="P538" s="10" t="inlineStr">
        <is>
          <t>1</t>
        </is>
      </c>
      <c r="Q538" s="10" t="inlineStr">
        <is>
          <t>1</t>
        </is>
      </c>
      <c r="R538" s="10" t="inlineStr">
        <is>
          <t>0</t>
        </is>
      </c>
      <c r="S538" s="10" t="inlineStr">
        <is>
          <t>1</t>
        </is>
      </c>
    </row>
    <row r="539" ht="409.5" customHeight="1">
      <c r="A539" s="6">
        <f>IFERROR(__xludf.DUMMYFUNCTION("""COMPUTED_VALUE"""),"Bending of Light")</f>
        <v/>
      </c>
      <c r="B539" s="6">
        <f>IFERROR(__xludf.DUMMYFUNCTION("""COMPUTED_VALUE"""),"Space")</f>
        <v/>
      </c>
      <c r="C539" s="6">
        <f>IFERROR(__xludf.DUMMYFUNCTION("""COMPUTED_VALUE"""),"Conceptualisation")</f>
        <v/>
      </c>
      <c r="D539" s="7">
        <f>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
      </c>
      <c r="E539" s="7">
        <f>IFERROR(__xludf.DUMMYFUNCTION("""COMPUTED_VALUE"""),"No artifact embedded")</f>
        <v/>
      </c>
      <c r="F539" s="7" t="inlineStr">
        <is>
          <t>Watch a video, observe and answer questions, then discuss with peers and teacher using note-taking apps (Golabz, Padlet).</t>
        </is>
      </c>
      <c r="G539" s="8" t="inlineStr">
        <is>
          <t>0</t>
        </is>
      </c>
      <c r="H539" s="8" t="inlineStr">
        <is>
          <t>0</t>
        </is>
      </c>
      <c r="I539" s="8" t="inlineStr">
        <is>
          <t>1</t>
        </is>
      </c>
      <c r="J539" s="8" t="inlineStr">
        <is>
          <t>1</t>
        </is>
      </c>
      <c r="K539" s="9" t="inlineStr">
        <is>
          <t>0</t>
        </is>
      </c>
      <c r="L539" s="9" t="inlineStr">
        <is>
          <t>1</t>
        </is>
      </c>
      <c r="M539" s="9" t="inlineStr">
        <is>
          <t>1</t>
        </is>
      </c>
      <c r="N539" s="9" t="inlineStr">
        <is>
          <t>1</t>
        </is>
      </c>
      <c r="O539" s="10" t="inlineStr">
        <is>
          <t>0</t>
        </is>
      </c>
      <c r="P539" s="10" t="inlineStr">
        <is>
          <t>1</t>
        </is>
      </c>
      <c r="Q539" s="10" t="inlineStr">
        <is>
          <t>0</t>
        </is>
      </c>
      <c r="R539" s="10" t="inlineStr">
        <is>
          <t>0</t>
        </is>
      </c>
      <c r="S539" s="10" t="inlineStr">
        <is>
          <t>1</t>
        </is>
      </c>
    </row>
    <row r="540" ht="49" customHeight="1">
      <c r="A540" s="6">
        <f>IFERROR(__xludf.DUMMYFUNCTION("""COMPUTED_VALUE"""),"Bending of Light")</f>
        <v/>
      </c>
      <c r="B540" s="6">
        <f>IFERROR(__xludf.DUMMYFUNCTION("""COMPUTED_VALUE"""),"Application")</f>
        <v/>
      </c>
      <c r="C540" s="6">
        <f>IFERROR(__xludf.DUMMYFUNCTION("""COMPUTED_VALUE"""),"Padlet")</f>
        <v/>
      </c>
      <c r="D540" s="7">
        <f>IFERROR(__xludf.DUMMYFUNCTION("""COMPUTED_VALUE"""),"No task description")</f>
        <v/>
      </c>
      <c r="E540" s="7">
        <f>IFERROR(__xludf.DUMMYFUNCTION("""COMPUTED_VALUE"""),"Golabz app/lab: Wrong URL. Impossible to access it")</f>
        <v/>
      </c>
      <c r="F540" s="7" t="inlineStr">
        <is>
          <t>Students observe, write answers, and share with peers/teacher; use apps like Golabz and Padlet for note-taking and discussion.</t>
        </is>
      </c>
      <c r="G540" s="8" t="inlineStr">
        <is>
          <t>1</t>
        </is>
      </c>
      <c r="H540" s="8" t="inlineStr">
        <is>
          <t>0</t>
        </is>
      </c>
      <c r="I540" s="8" t="inlineStr">
        <is>
          <t>0</t>
        </is>
      </c>
      <c r="J540" s="8" t="inlineStr">
        <is>
          <t>0</t>
        </is>
      </c>
      <c r="K540" s="9" t="inlineStr">
        <is>
          <t>0</t>
        </is>
      </c>
      <c r="L540" s="9" t="inlineStr">
        <is>
          <t>0</t>
        </is>
      </c>
      <c r="M540" s="9" t="inlineStr">
        <is>
          <t>0</t>
        </is>
      </c>
      <c r="N540" s="9" t="inlineStr">
        <is>
          <t>0</t>
        </is>
      </c>
      <c r="O540" s="10" t="inlineStr">
        <is>
          <t>0</t>
        </is>
      </c>
      <c r="P540" s="10" t="inlineStr">
        <is>
          <t>0</t>
        </is>
      </c>
      <c r="Q540" s="10" t="inlineStr">
        <is>
          <t>0</t>
        </is>
      </c>
      <c r="R540" s="10" t="inlineStr">
        <is>
          <t>0</t>
        </is>
      </c>
      <c r="S540" s="10" t="inlineStr">
        <is>
          <t>0</t>
        </is>
      </c>
    </row>
    <row r="541" ht="409.5" customHeight="1">
      <c r="A541" s="6">
        <f>IFERROR(__xludf.DUMMYFUNCTION("""COMPUTED_VALUE"""),"Bending of Light")</f>
        <v/>
      </c>
      <c r="B541" s="6">
        <f>IFERROR(__xludf.DUMMYFUNCTION("""COMPUTED_VALUE"""),"Application")</f>
        <v/>
      </c>
      <c r="C541" s="6">
        <f>IFERROR(__xludf.DUMMYFUNCTION("""COMPUTED_VALUE"""),"Concept Mapper")</f>
        <v/>
      </c>
      <c r="D541" s="7">
        <f>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
      </c>
      <c r="E54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541" s="7" t="inlineStr">
        <is>
          <t>Students: complete Padlet activity and create concept map. Artifacts: Padlet wall, Concept Mapper tool in Golabz app/lab.</t>
        </is>
      </c>
      <c r="G541" s="8" t="inlineStr">
        <is>
          <t>0</t>
        </is>
      </c>
      <c r="H541" s="8" t="inlineStr">
        <is>
          <t>0</t>
        </is>
      </c>
      <c r="I541" s="8" t="inlineStr">
        <is>
          <t>1</t>
        </is>
      </c>
      <c r="J541" s="8" t="inlineStr">
        <is>
          <t>1</t>
        </is>
      </c>
      <c r="K541" s="9" t="inlineStr">
        <is>
          <t>0</t>
        </is>
      </c>
      <c r="L541" s="9" t="inlineStr">
        <is>
          <t>1</t>
        </is>
      </c>
      <c r="M541" s="9" t="inlineStr">
        <is>
          <t>0</t>
        </is>
      </c>
      <c r="N541" s="9" t="inlineStr">
        <is>
          <t>0</t>
        </is>
      </c>
      <c r="O541" s="10" t="inlineStr">
        <is>
          <t>0</t>
        </is>
      </c>
      <c r="P541" s="10" t="inlineStr">
        <is>
          <t>1</t>
        </is>
      </c>
      <c r="Q541" s="10" t="inlineStr">
        <is>
          <t>0</t>
        </is>
      </c>
      <c r="R541" s="10" t="inlineStr">
        <is>
          <t>1</t>
        </is>
      </c>
      <c r="S541" s="10" t="inlineStr">
        <is>
          <t>0</t>
        </is>
      </c>
    </row>
    <row r="542" ht="409.5" customHeight="1">
      <c r="A542" s="6">
        <f>IFERROR(__xludf.DUMMYFUNCTION("""COMPUTED_VALUE"""),"Bending of Light")</f>
        <v/>
      </c>
      <c r="B542" s="6">
        <f>IFERROR(__xludf.DUMMYFUNCTION("""COMPUTED_VALUE"""),"Application")</f>
        <v/>
      </c>
      <c r="C542" s="6">
        <f>IFERROR(__xludf.DUMMYFUNCTION("""COMPUTED_VALUE"""),"Hypothesis Scratchpad")</f>
        <v/>
      </c>
      <c r="D542" s="7">
        <f>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
      </c>
      <c r="E5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542" s="7" t="inlineStr">
        <is>
          <t>Students are instructed to create concept maps and formulate hypotheses using Golabz apps: Concept Mapper and Hypothesis Scratchpad tools.</t>
        </is>
      </c>
      <c r="G542" s="8" t="inlineStr">
        <is>
          <t>0</t>
        </is>
      </c>
      <c r="H542" s="8" t="inlineStr">
        <is>
          <t>1</t>
        </is>
      </c>
      <c r="I542" s="8" t="inlineStr">
        <is>
          <t>1</t>
        </is>
      </c>
      <c r="J542" s="8" t="inlineStr">
        <is>
          <t>1</t>
        </is>
      </c>
      <c r="K542" s="9" t="inlineStr">
        <is>
          <t>0</t>
        </is>
      </c>
      <c r="L542" s="9" t="inlineStr">
        <is>
          <t>1</t>
        </is>
      </c>
      <c r="M542" s="9" t="inlineStr">
        <is>
          <t>0</t>
        </is>
      </c>
      <c r="N542" s="9" t="inlineStr">
        <is>
          <t>0</t>
        </is>
      </c>
      <c r="O542" s="10" t="inlineStr">
        <is>
          <t>0</t>
        </is>
      </c>
      <c r="P542" s="10" t="inlineStr">
        <is>
          <t>1</t>
        </is>
      </c>
      <c r="Q542" s="10" t="inlineStr">
        <is>
          <t>1</t>
        </is>
      </c>
      <c r="R542" s="10" t="inlineStr">
        <is>
          <t>0</t>
        </is>
      </c>
      <c r="S542" s="10" t="inlineStr">
        <is>
          <t>0</t>
        </is>
      </c>
    </row>
    <row r="543" ht="73" customHeight="1">
      <c r="A543" s="6">
        <f>IFERROR(__xludf.DUMMYFUNCTION("""COMPUTED_VALUE"""),"Bending of Light")</f>
        <v/>
      </c>
      <c r="B543" s="6">
        <f>IFERROR(__xludf.DUMMYFUNCTION("""COMPUTED_VALUE"""),"Application")</f>
        <v/>
      </c>
      <c r="C543" s="6">
        <f>IFERROR(__xludf.DUMMYFUNCTION("""COMPUTED_VALUE"""),"Padlet (1)")</f>
        <v/>
      </c>
      <c r="D543" s="7">
        <f>IFERROR(__xludf.DUMMYFUNCTION("""COMPUTED_VALUE"""),"&lt;p&gt;Share your hypothesis on padlet wall below.  After discussion, you can &lt;/p&gt;")</f>
        <v/>
      </c>
      <c r="E543" s="7">
        <f>IFERROR(__xludf.DUMMYFUNCTION("""COMPUTED_VALUE"""),"Golabz app/lab: Wrong URL. Impossible to access it")</f>
        <v/>
      </c>
      <c r="F543" s="7" t="inlineStr">
        <is>
          <t>Students create concept maps and formulate hypotheses using tools like Concept Mapper and Hypothesis Scratchpad.</t>
        </is>
      </c>
      <c r="G543" s="8" t="inlineStr">
        <is>
          <t>0</t>
        </is>
      </c>
      <c r="H543" s="8" t="inlineStr">
        <is>
          <t>0</t>
        </is>
      </c>
      <c r="I543" s="8" t="inlineStr">
        <is>
          <t>1</t>
        </is>
      </c>
      <c r="J543" s="8" t="inlineStr">
        <is>
          <t>1</t>
        </is>
      </c>
      <c r="K543" s="9" t="inlineStr">
        <is>
          <t>0</t>
        </is>
      </c>
      <c r="L543" s="9" t="inlineStr">
        <is>
          <t>1</t>
        </is>
      </c>
      <c r="M543" s="9" t="inlineStr">
        <is>
          <t>1</t>
        </is>
      </c>
      <c r="N543" s="9" t="inlineStr">
        <is>
          <t>1</t>
        </is>
      </c>
      <c r="O543" s="10" t="inlineStr">
        <is>
          <t>0</t>
        </is>
      </c>
      <c r="P543" s="10" t="inlineStr">
        <is>
          <t>1</t>
        </is>
      </c>
      <c r="Q543" s="10" t="inlineStr">
        <is>
          <t>0</t>
        </is>
      </c>
      <c r="R543" s="10" t="inlineStr">
        <is>
          <t>0</t>
        </is>
      </c>
      <c r="S543" s="10" t="inlineStr">
        <is>
          <t>1</t>
        </is>
      </c>
    </row>
    <row r="544" ht="263" customHeight="1">
      <c r="A544" s="6">
        <f>IFERROR(__xludf.DUMMYFUNCTION("""COMPUTED_VALUE"""),"Bending of Light")</f>
        <v/>
      </c>
      <c r="B544" s="6">
        <f>IFERROR(__xludf.DUMMYFUNCTION("""COMPUTED_VALUE"""),"Space")</f>
        <v/>
      </c>
      <c r="C544" s="6">
        <f>IFERROR(__xludf.DUMMYFUNCTION("""COMPUTED_VALUE"""),"Investigation")</f>
        <v/>
      </c>
      <c r="D544" s="7">
        <f>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
      </c>
      <c r="E544" s="7">
        <f>IFERROR(__xludf.DUMMYFUNCTION("""COMPUTED_VALUE"""),"No artifact embedded")</f>
        <v/>
      </c>
      <c r="F544" s="7" t="inlineStr">
        <is>
          <t>Students are instructed to write hypotheses and share them, using tools like Hypothesis Scratchpad and Padlet. Embedded artifacts include the Hypothesis Scratchpad app.</t>
        </is>
      </c>
      <c r="G544" s="8" t="inlineStr">
        <is>
          <t>0</t>
        </is>
      </c>
      <c r="H544" s="8" t="inlineStr">
        <is>
          <t>1</t>
        </is>
      </c>
      <c r="I544" s="8" t="inlineStr">
        <is>
          <t>1</t>
        </is>
      </c>
      <c r="J544" s="8" t="inlineStr">
        <is>
          <t>1</t>
        </is>
      </c>
      <c r="K544" s="9" t="inlineStr">
        <is>
          <t>0</t>
        </is>
      </c>
      <c r="L544" s="9" t="inlineStr">
        <is>
          <t>0</t>
        </is>
      </c>
      <c r="M544" s="9" t="inlineStr">
        <is>
          <t>1</t>
        </is>
      </c>
      <c r="N544" s="9" t="inlineStr">
        <is>
          <t>1</t>
        </is>
      </c>
      <c r="O544" s="10" t="inlineStr">
        <is>
          <t>0</t>
        </is>
      </c>
      <c r="P544" s="10" t="inlineStr">
        <is>
          <t>0</t>
        </is>
      </c>
      <c r="Q544" s="10" t="inlineStr">
        <is>
          <t>1</t>
        </is>
      </c>
      <c r="R544" s="10" t="inlineStr">
        <is>
          <t>0</t>
        </is>
      </c>
      <c r="S544" s="10" t="inlineStr">
        <is>
          <t>1</t>
        </is>
      </c>
    </row>
    <row r="545" ht="49" customHeight="1">
      <c r="A545" s="6">
        <f>IFERROR(__xludf.DUMMYFUNCTION("""COMPUTED_VALUE"""),"Bending of Light")</f>
        <v/>
      </c>
      <c r="B545" s="6">
        <f>IFERROR(__xludf.DUMMYFUNCTION("""COMPUTED_VALUE"""),"Application")</f>
        <v/>
      </c>
      <c r="C545" s="6">
        <f>IFERROR(__xludf.DUMMYFUNCTION("""COMPUTED_VALUE"""),"Padlet")</f>
        <v/>
      </c>
      <c r="D545" s="7">
        <f>IFERROR(__xludf.DUMMYFUNCTION("""COMPUTED_VALUE"""),"No task description")</f>
        <v/>
      </c>
      <c r="E545" s="7">
        <f>IFERROR(__xludf.DUMMYFUNCTION("""COMPUTED_VALUE"""),"Golabz app/lab: Wrong URL. Impossible to access it")</f>
        <v/>
      </c>
      <c r="F545" s="7" t="inlineStr">
        <is>
          <t>Students share hypotheses and experiment designs on Padlet, then discuss in class. Embedded artifacts include inaccessible Golabz app/labs with wrong URLs.</t>
        </is>
      </c>
      <c r="G545" s="8" t="inlineStr">
        <is>
          <t>1</t>
        </is>
      </c>
      <c r="H545" s="8" t="inlineStr">
        <is>
          <t>0</t>
        </is>
      </c>
      <c r="I545" s="8" t="inlineStr">
        <is>
          <t>0</t>
        </is>
      </c>
      <c r="J545" s="8" t="inlineStr">
        <is>
          <t>0</t>
        </is>
      </c>
      <c r="K545" s="9" t="inlineStr">
        <is>
          <t>0</t>
        </is>
      </c>
      <c r="L545" s="9" t="inlineStr">
        <is>
          <t>0</t>
        </is>
      </c>
      <c r="M545" s="9" t="inlineStr">
        <is>
          <t>0</t>
        </is>
      </c>
      <c r="N545" s="9" t="inlineStr">
        <is>
          <t>0</t>
        </is>
      </c>
      <c r="O545" s="10" t="inlineStr">
        <is>
          <t>0</t>
        </is>
      </c>
      <c r="P545" s="10" t="inlineStr">
        <is>
          <t>0</t>
        </is>
      </c>
      <c r="Q545" s="10" t="inlineStr">
        <is>
          <t>0</t>
        </is>
      </c>
      <c r="R545" s="10" t="inlineStr">
        <is>
          <t>0</t>
        </is>
      </c>
      <c r="S545" s="10" t="inlineStr">
        <is>
          <t>0</t>
        </is>
      </c>
    </row>
    <row r="546" ht="409.5" customHeight="1">
      <c r="A546" s="6">
        <f>IFERROR(__xludf.DUMMYFUNCTION("""COMPUTED_VALUE"""),"Bending of Light")</f>
        <v/>
      </c>
      <c r="B546" s="6">
        <f>IFERROR(__xludf.DUMMYFUNCTION("""COMPUTED_VALUE"""),"Application")</f>
        <v/>
      </c>
      <c r="C546" s="6">
        <f>IFERROR(__xludf.DUMMYFUNCTION("""COMPUTED_VALUE"""),"Experiment Design Tool")</f>
        <v/>
      </c>
      <c r="D546" s="7">
        <f>IFERROR(__xludf.DUMMYFUNCTION("""COMPUTED_VALUE"""),"&lt;p&gt;Now, you will use the Experiment Design tool to plan and design your experiments. Follow the step by step instructions in order to complete your experiment&lt;/p&gt;&lt;p&gt;&lt;br&gt;&lt;/p&gt;")</f>
        <v/>
      </c>
      <c r="E546"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546" s="7" t="inlineStr">
        <is>
          <t>Students design experiments, share and discuss them, then plan using the Experiment Design Tool with step-by-step instructions. Embedded artifact: Golabz app/lab, specifically the Experiment Design Tool (EDT).</t>
        </is>
      </c>
      <c r="G546" s="8" t="inlineStr">
        <is>
          <t>0</t>
        </is>
      </c>
      <c r="H546" s="8" t="inlineStr">
        <is>
          <t>1</t>
        </is>
      </c>
      <c r="I546" s="8" t="inlineStr">
        <is>
          <t>1</t>
        </is>
      </c>
      <c r="J546" s="8" t="inlineStr">
        <is>
          <t>1</t>
        </is>
      </c>
      <c r="K546" s="9" t="inlineStr">
        <is>
          <t>0</t>
        </is>
      </c>
      <c r="L546" s="9" t="inlineStr">
        <is>
          <t>1</t>
        </is>
      </c>
      <c r="M546" s="9" t="inlineStr">
        <is>
          <t>0</t>
        </is>
      </c>
      <c r="N546" s="9" t="inlineStr">
        <is>
          <t>0</t>
        </is>
      </c>
      <c r="O546" s="10" t="inlineStr">
        <is>
          <t>0</t>
        </is>
      </c>
      <c r="P546" s="10" t="inlineStr">
        <is>
          <t>1</t>
        </is>
      </c>
      <c r="Q546" s="10" t="inlineStr">
        <is>
          <t>1</t>
        </is>
      </c>
      <c r="R546" s="10" t="inlineStr">
        <is>
          <t>0</t>
        </is>
      </c>
      <c r="S546" s="10" t="inlineStr">
        <is>
          <t>0</t>
        </is>
      </c>
    </row>
    <row r="547" ht="145" customHeight="1">
      <c r="A547" s="6">
        <f>IFERROR(__xludf.DUMMYFUNCTION("""COMPUTED_VALUE"""),"Bending of Light")</f>
        <v/>
      </c>
      <c r="B547" s="6">
        <f>IFERROR(__xludf.DUMMYFUNCTION("""COMPUTED_VALUE"""),"Resource")</f>
        <v/>
      </c>
      <c r="C547" s="6">
        <f>IFERROR(__xludf.DUMMYFUNCTION("""COMPUTED_VALUE"""),"Recording #1.mp4")</f>
        <v/>
      </c>
      <c r="D547" s="7">
        <f>IFERROR(__xludf.DUMMYFUNCTION("""COMPUTED_VALUE"""),"&lt;p&gt;Watch the video below in order to familiarize yourself with the Experiment Lab .In this video you will see how to use the lab equipment to perform your experiments.&lt;/p&gt;")</f>
        <v/>
      </c>
      <c r="E547" s="7">
        <f>IFERROR(__xludf.DUMMYFUNCTION("""COMPUTED_VALUE"""),"video/mp4 – A video file containing moving images and possibly audio, suitable for playback on most modern devices and platforms.")</f>
        <v/>
      </c>
      <c r="F547" s="7" t="inlineStr">
        <is>
          <t>Students are given tasks with step-by-step instructions and access to tools like the Experiment Design Tool and a video on lab equipment.</t>
        </is>
      </c>
      <c r="G547" s="8" t="inlineStr">
        <is>
          <t>1</t>
        </is>
      </c>
      <c r="H547" s="8" t="inlineStr">
        <is>
          <t>0</t>
        </is>
      </c>
      <c r="I547" s="8" t="inlineStr">
        <is>
          <t>0</t>
        </is>
      </c>
      <c r="J547" s="8" t="inlineStr">
        <is>
          <t>0</t>
        </is>
      </c>
      <c r="K547" s="9" t="inlineStr">
        <is>
          <t>1</t>
        </is>
      </c>
      <c r="L547" s="9" t="inlineStr">
        <is>
          <t>0</t>
        </is>
      </c>
      <c r="M547" s="9" t="inlineStr">
        <is>
          <t>0</t>
        </is>
      </c>
      <c r="N547" s="9" t="inlineStr">
        <is>
          <t>0</t>
        </is>
      </c>
      <c r="O547" s="10" t="inlineStr">
        <is>
          <t>1</t>
        </is>
      </c>
      <c r="P547" s="10" t="inlineStr">
        <is>
          <t>0</t>
        </is>
      </c>
      <c r="Q547" s="10" t="inlineStr">
        <is>
          <t>1</t>
        </is>
      </c>
      <c r="R547" s="10" t="inlineStr">
        <is>
          <t>0</t>
        </is>
      </c>
      <c r="S547" s="10" t="inlineStr">
        <is>
          <t>0</t>
        </is>
      </c>
    </row>
    <row r="548" ht="205" customHeight="1">
      <c r="A548" s="6">
        <f>IFERROR(__xludf.DUMMYFUNCTION("""COMPUTED_VALUE"""),"Bending of Light")</f>
        <v/>
      </c>
      <c r="B548" s="6">
        <f>IFERROR(__xludf.DUMMYFUNCTION("""COMPUTED_VALUE"""),"Application")</f>
        <v/>
      </c>
      <c r="C548" s="6">
        <f>IFERROR(__xludf.DUMMYFUNCTION("""COMPUTED_VALUE"""),"Bending Light")</f>
        <v/>
      </c>
      <c r="D548" s="7">
        <f>IFERROR(__xludf.DUMMYFUNCTION("""COMPUTED_VALUE"""),"&lt;p&gt;This is your Bending Light Lab. You can now perform the experiments you just designed.&lt;/p&gt;")</f>
        <v/>
      </c>
      <c r="E548"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548" s="7" t="inlineStr">
        <is>
          <t>Students follow instructions to design experiments, watch a video on lab equipment, and perform "Bending Light Lab" experiments using embedded tools like Experiment Design Tool and interactive labs.</t>
        </is>
      </c>
      <c r="G548" s="8" t="inlineStr">
        <is>
          <t>0</t>
        </is>
      </c>
      <c r="H548" s="8" t="inlineStr">
        <is>
          <t>1</t>
        </is>
      </c>
      <c r="I548" s="8" t="inlineStr">
        <is>
          <t>1</t>
        </is>
      </c>
      <c r="J548" s="8" t="inlineStr">
        <is>
          <t>1</t>
        </is>
      </c>
      <c r="K548" s="9" t="inlineStr">
        <is>
          <t>1</t>
        </is>
      </c>
      <c r="L548" s="9" t="inlineStr">
        <is>
          <t>1</t>
        </is>
      </c>
      <c r="M548" s="9" t="inlineStr">
        <is>
          <t>0</t>
        </is>
      </c>
      <c r="N548" s="9" t="inlineStr">
        <is>
          <t>0</t>
        </is>
      </c>
      <c r="O548" s="10" t="inlineStr">
        <is>
          <t>0</t>
        </is>
      </c>
      <c r="P548" s="10" t="inlineStr">
        <is>
          <t>0</t>
        </is>
      </c>
      <c r="Q548" s="10" t="inlineStr">
        <is>
          <t>1</t>
        </is>
      </c>
      <c r="R548" s="10" t="inlineStr">
        <is>
          <t>0</t>
        </is>
      </c>
      <c r="S548" s="10" t="inlineStr">
        <is>
          <t>0</t>
        </is>
      </c>
    </row>
    <row r="549" ht="329" customHeight="1">
      <c r="A549" s="6">
        <f>IFERROR(__xludf.DUMMYFUNCTION("""COMPUTED_VALUE"""),"Bending of Light")</f>
        <v/>
      </c>
      <c r="B549" s="6">
        <f>IFERROR(__xludf.DUMMYFUNCTION("""COMPUTED_VALUE"""),"Application")</f>
        <v/>
      </c>
      <c r="C549" s="6">
        <f>IFERROR(__xludf.DUMMYFUNCTION("""COMPUTED_VALUE"""),"Input Box")</f>
        <v/>
      </c>
      <c r="D549" s="7">
        <f>IFERROR(__xludf.DUMMYFUNCTION("""COMPUTED_VALUE"""),"&lt;p&gt;If any of their experimental design was not supported by the Phet simulation, Please write your requirements in the space provided below and inform your teacher.&lt;/p&gt;")</f>
        <v/>
      </c>
      <c r="E5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49" s="7" t="inlineStr">
        <is>
          <t>Students watch a video, perform experiments, and provide feedback using embedded artifacts like videos, Golabz apps, and input boxes.</t>
        </is>
      </c>
      <c r="G549" s="8" t="inlineStr">
        <is>
          <t>0</t>
        </is>
      </c>
      <c r="H549" s="8" t="inlineStr">
        <is>
          <t>0</t>
        </is>
      </c>
      <c r="I549" s="8" t="inlineStr">
        <is>
          <t>1</t>
        </is>
      </c>
      <c r="J549" s="8" t="inlineStr">
        <is>
          <t>1</t>
        </is>
      </c>
      <c r="K549" s="9" t="inlineStr">
        <is>
          <t>0</t>
        </is>
      </c>
      <c r="L549" s="9" t="inlineStr">
        <is>
          <t>1</t>
        </is>
      </c>
      <c r="M549" s="9" t="inlineStr">
        <is>
          <t>0</t>
        </is>
      </c>
      <c r="N549" s="9" t="inlineStr">
        <is>
          <t>0</t>
        </is>
      </c>
      <c r="O549" s="10" t="inlineStr">
        <is>
          <t>0</t>
        </is>
      </c>
      <c r="P549" s="10" t="inlineStr">
        <is>
          <t>0</t>
        </is>
      </c>
      <c r="Q549" s="10" t="inlineStr">
        <is>
          <t>1</t>
        </is>
      </c>
      <c r="R549" s="10" t="inlineStr">
        <is>
          <t>0</t>
        </is>
      </c>
      <c r="S549" s="10" t="inlineStr">
        <is>
          <t>1</t>
        </is>
      </c>
    </row>
    <row r="550" ht="395" customHeight="1">
      <c r="A550" s="6">
        <f>IFERROR(__xludf.DUMMYFUNCTION("""COMPUTED_VALUE"""),"Bending of Light")</f>
        <v/>
      </c>
      <c r="B550" s="6">
        <f>IFERROR(__xludf.DUMMYFUNCTION("""COMPUTED_VALUE"""),"Application")</f>
        <v/>
      </c>
      <c r="C550" s="6">
        <f>IFERROR(__xludf.DUMMYFUNCTION("""COMPUTED_VALUE"""),"Observation Tool")</f>
        <v/>
      </c>
      <c r="D550" s="7">
        <f>IFERROR(__xludf.DUMMYFUNCTION("""COMPUTED_VALUE"""),"&lt;p&gt;&lt;br&gt;&lt;/p&gt;&lt;p&gt;Write your Observations using the Observation tool below. Click on ""?"" to know how to use the tool.&lt;/p&gt;")</f>
        <v/>
      </c>
      <c r="E55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550" s="7" t="inlineStr">
        <is>
          <t>Students perform light-bending experiments and record observations using Golabz apps, with options for collaboration and note-taking.</t>
        </is>
      </c>
      <c r="G550" s="8" t="inlineStr">
        <is>
          <t>0</t>
        </is>
      </c>
      <c r="H550" s="8" t="inlineStr">
        <is>
          <t>1</t>
        </is>
      </c>
      <c r="I550" s="8" t="inlineStr">
        <is>
          <t>1</t>
        </is>
      </c>
      <c r="J550" s="8" t="inlineStr">
        <is>
          <t>1</t>
        </is>
      </c>
      <c r="K550" s="9" t="inlineStr">
        <is>
          <t>0</t>
        </is>
      </c>
      <c r="L550" s="9" t="inlineStr">
        <is>
          <t>1</t>
        </is>
      </c>
      <c r="M550" s="9" t="inlineStr">
        <is>
          <t>0</t>
        </is>
      </c>
      <c r="N550" s="9" t="inlineStr">
        <is>
          <t>0</t>
        </is>
      </c>
      <c r="O550" s="10" t="inlineStr">
        <is>
          <t>0</t>
        </is>
      </c>
      <c r="P550" s="10" t="inlineStr">
        <is>
          <t>0</t>
        </is>
      </c>
      <c r="Q550" s="10" t="inlineStr">
        <is>
          <t>1</t>
        </is>
      </c>
      <c r="R550" s="10" t="inlineStr">
        <is>
          <t>0</t>
        </is>
      </c>
      <c r="S550" s="10" t="inlineStr">
        <is>
          <t>1</t>
        </is>
      </c>
    </row>
    <row r="551" ht="296" customHeight="1">
      <c r="A551" s="6">
        <f>IFERROR(__xludf.DUMMYFUNCTION("""COMPUTED_VALUE"""),"Bending of Light")</f>
        <v/>
      </c>
      <c r="B551" s="6">
        <f>IFERROR(__xludf.DUMMYFUNCTION("""COMPUTED_VALUE"""),"Space")</f>
        <v/>
      </c>
      <c r="C551" s="6">
        <f>IFERROR(__xludf.DUMMYFUNCTION("""COMPUTED_VALUE"""),"Data Interpretation")</f>
        <v/>
      </c>
      <c r="D551" s="7">
        <f>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
      </c>
      <c r="E551" s="7">
        <f>IFERROR(__xludf.DUMMYFUNCTION("""COMPUTED_VALUE"""),"No artifact embedded")</f>
        <v/>
      </c>
      <c r="F551" s="7" t="inlineStr">
        <is>
          <t>Students write requirements, observations, or graph data using various tools with optional collaboration mode.</t>
        </is>
      </c>
      <c r="G551" s="8" t="inlineStr">
        <is>
          <t>0</t>
        </is>
      </c>
      <c r="H551" s="8" t="inlineStr">
        <is>
          <t>1</t>
        </is>
      </c>
      <c r="I551" s="8" t="inlineStr">
        <is>
          <t>1</t>
        </is>
      </c>
      <c r="J551" s="8" t="inlineStr">
        <is>
          <t>1</t>
        </is>
      </c>
      <c r="K551" s="9" t="inlineStr">
        <is>
          <t>0</t>
        </is>
      </c>
      <c r="L551" s="9" t="inlineStr">
        <is>
          <t>1</t>
        </is>
      </c>
      <c r="M551" s="9" t="inlineStr">
        <is>
          <t>0</t>
        </is>
      </c>
      <c r="N551" s="9" t="inlineStr">
        <is>
          <t>0</t>
        </is>
      </c>
      <c r="O551" s="10" t="inlineStr">
        <is>
          <t>0</t>
        </is>
      </c>
      <c r="P551" s="10" t="inlineStr">
        <is>
          <t>1</t>
        </is>
      </c>
      <c r="Q551" s="10" t="inlineStr">
        <is>
          <t>1</t>
        </is>
      </c>
      <c r="R551" s="10" t="inlineStr">
        <is>
          <t>1</t>
        </is>
      </c>
      <c r="S551" s="10" t="inlineStr">
        <is>
          <t>0</t>
        </is>
      </c>
    </row>
    <row r="552" ht="409.5" customHeight="1">
      <c r="A552" s="6">
        <f>IFERROR(__xludf.DUMMYFUNCTION("""COMPUTED_VALUE"""),"Bending of Light")</f>
        <v/>
      </c>
      <c r="B552" s="6">
        <f>IFERROR(__xludf.DUMMYFUNCTION("""COMPUTED_VALUE"""),"Application")</f>
        <v/>
      </c>
      <c r="C552" s="6">
        <f>IFERROR(__xludf.DUMMYFUNCTION("""COMPUTED_VALUE"""),"Data Viewer")</f>
        <v/>
      </c>
      <c r="D552" s="7">
        <f>IFERROR(__xludf.DUMMYFUNCTION("""COMPUTED_VALUE"""),"No task description")</f>
        <v/>
      </c>
      <c r="E552"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552" s="7" t="inlineStr">
        <is>
          <t>Students are instructed to write observations and analyze data using tools like Observation and Data Viewer. Embedded artifacts include Golabz app/lab with Observation and Data Viewer tools.</t>
        </is>
      </c>
      <c r="G552" s="8" t="inlineStr">
        <is>
          <t>1</t>
        </is>
      </c>
      <c r="H552" s="8" t="inlineStr">
        <is>
          <t>1</t>
        </is>
      </c>
      <c r="I552" s="8" t="inlineStr">
        <is>
          <t>0</t>
        </is>
      </c>
      <c r="J552" s="8" t="inlineStr">
        <is>
          <t>0</t>
        </is>
      </c>
      <c r="K552" s="9" t="inlineStr">
        <is>
          <t>1</t>
        </is>
      </c>
      <c r="L552" s="9" t="inlineStr">
        <is>
          <t>0</t>
        </is>
      </c>
      <c r="M552" s="9" t="inlineStr">
        <is>
          <t>0</t>
        </is>
      </c>
      <c r="N552" s="9" t="inlineStr">
        <is>
          <t>1</t>
        </is>
      </c>
      <c r="O552" s="10" t="inlineStr">
        <is>
          <t>0</t>
        </is>
      </c>
      <c r="P552" s="10" t="inlineStr">
        <is>
          <t>0</t>
        </is>
      </c>
      <c r="Q552" s="10" t="inlineStr">
        <is>
          <t>1</t>
        </is>
      </c>
      <c r="R552" s="10" t="inlineStr">
        <is>
          <t>0</t>
        </is>
      </c>
      <c r="S552" s="10" t="inlineStr">
        <is>
          <t>0</t>
        </is>
      </c>
    </row>
    <row r="553" ht="329" customHeight="1">
      <c r="A553" s="6">
        <f>IFERROR(__xludf.DUMMYFUNCTION("""COMPUTED_VALUE"""),"Bending of Light")</f>
        <v/>
      </c>
      <c r="B553" s="6">
        <f>IFERROR(__xludf.DUMMYFUNCTION("""COMPUTED_VALUE"""),"Application")</f>
        <v/>
      </c>
      <c r="C553" s="6">
        <f>IFERROR(__xludf.DUMMYFUNCTION("""COMPUTED_VALUE"""),"Input Box")</f>
        <v/>
      </c>
      <c r="D553" s="7">
        <f>IFERROR(__xludf.DUMMYFUNCTION("""COMPUTED_VALUE"""),"&lt;p&gt;Interpret your data trying to find relations among variables. If you don't have enough data, return to the Experimentation phase and collect more data. Write your interpretation in the text box below.&lt;/p&gt;")</f>
        <v/>
      </c>
      <c r="E5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53" s="7" t="inlineStr">
        <is>
          <t>Students use Data Viewer to graph data and examine variable relations. Embedded artifacts include Golabz apps for data visualization and note-taking.</t>
        </is>
      </c>
      <c r="G553" s="8" t="inlineStr">
        <is>
          <t>0</t>
        </is>
      </c>
      <c r="H553" s="8" t="inlineStr">
        <is>
          <t>1</t>
        </is>
      </c>
      <c r="I553" s="8" t="inlineStr">
        <is>
          <t>1</t>
        </is>
      </c>
      <c r="J553" s="8" t="inlineStr">
        <is>
          <t>1</t>
        </is>
      </c>
      <c r="K553" s="9" t="inlineStr">
        <is>
          <t>0</t>
        </is>
      </c>
      <c r="L553" s="9" t="inlineStr">
        <is>
          <t>1</t>
        </is>
      </c>
      <c r="M553" s="9" t="inlineStr">
        <is>
          <t>0</t>
        </is>
      </c>
      <c r="N553" s="9" t="inlineStr">
        <is>
          <t>0</t>
        </is>
      </c>
      <c r="O553" s="10" t="inlineStr">
        <is>
          <t>0</t>
        </is>
      </c>
      <c r="P553" s="10" t="inlineStr">
        <is>
          <t>1</t>
        </is>
      </c>
      <c r="Q553" s="10" t="inlineStr">
        <is>
          <t>0</t>
        </is>
      </c>
      <c r="R553" s="10" t="inlineStr">
        <is>
          <t>1</t>
        </is>
      </c>
      <c r="S553" s="10" t="inlineStr">
        <is>
          <t>1</t>
        </is>
      </c>
    </row>
    <row r="554" ht="340" customHeight="1">
      <c r="A554" s="6">
        <f>IFERROR(__xludf.DUMMYFUNCTION("""COMPUTED_VALUE"""),"Bending of Light")</f>
        <v/>
      </c>
      <c r="B554" s="6">
        <f>IFERROR(__xludf.DUMMYFUNCTION("""COMPUTED_VALUE"""),"Space")</f>
        <v/>
      </c>
      <c r="C554" s="6">
        <f>IFERROR(__xludf.DUMMYFUNCTION("""COMPUTED_VALUE"""),"Conclusion")</f>
        <v/>
      </c>
      <c r="D554" s="7">
        <f>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
      </c>
      <c r="E554" s="7">
        <f>IFERROR(__xludf.DUMMYFUNCTION("""COMPUTED_VALUE"""),"No artifact embedded")</f>
        <v/>
      </c>
      <c r="F554" s="7" t="inlineStr">
        <is>
          <t>Students are given tasks with descriptions and access to Golabz apps for data visualization, note-taking, and forming conclusions.</t>
        </is>
      </c>
      <c r="G554" s="8" t="inlineStr">
        <is>
          <t>0</t>
        </is>
      </c>
      <c r="H554" s="8" t="inlineStr">
        <is>
          <t>0</t>
        </is>
      </c>
      <c r="I554" s="8" t="inlineStr">
        <is>
          <t>1</t>
        </is>
      </c>
      <c r="J554" s="8" t="inlineStr">
        <is>
          <t>1</t>
        </is>
      </c>
      <c r="K554" s="9" t="inlineStr">
        <is>
          <t>0</t>
        </is>
      </c>
      <c r="L554" s="9" t="inlineStr">
        <is>
          <t>1</t>
        </is>
      </c>
      <c r="M554" s="9" t="inlineStr">
        <is>
          <t>0</t>
        </is>
      </c>
      <c r="N554" s="9" t="inlineStr">
        <is>
          <t>0</t>
        </is>
      </c>
      <c r="O554" s="10" t="inlineStr">
        <is>
          <t>0</t>
        </is>
      </c>
      <c r="P554" s="10" t="inlineStr">
        <is>
          <t>0</t>
        </is>
      </c>
      <c r="Q554" s="10" t="inlineStr">
        <is>
          <t>0</t>
        </is>
      </c>
      <c r="R554" s="10" t="inlineStr">
        <is>
          <t>1</t>
        </is>
      </c>
      <c r="S554" s="10" t="inlineStr">
        <is>
          <t>0</t>
        </is>
      </c>
    </row>
    <row r="555" ht="409.5" customHeight="1">
      <c r="A555" s="6">
        <f>IFERROR(__xludf.DUMMYFUNCTION("""COMPUTED_VALUE"""),"Bending of Light")</f>
        <v/>
      </c>
      <c r="B555" s="6">
        <f>IFERROR(__xludf.DUMMYFUNCTION("""COMPUTED_VALUE"""),"Application")</f>
        <v/>
      </c>
      <c r="C555" s="6">
        <f>IFERROR(__xludf.DUMMYFUNCTION("""COMPUTED_VALUE"""),"Conclusion Tool")</f>
        <v/>
      </c>
      <c r="D555" s="7">
        <f>IFERROR(__xludf.DUMMYFUNCTION("""COMPUTED_VALUE"""),"No task description")</f>
        <v/>
      </c>
      <c r="E555"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555" s="7" t="inlineStr">
        <is>
          <t>Students are instructed to interpret data, collect more if needed, and write conclusions based on evidence. Embedded artifacts include Golabz apps for note-taking and conclusion tools with collaboration features.</t>
        </is>
      </c>
      <c r="G555" s="8" t="inlineStr">
        <is>
          <t>0</t>
        </is>
      </c>
      <c r="H555" s="8" t="inlineStr">
        <is>
          <t>1</t>
        </is>
      </c>
      <c r="I555" s="8" t="inlineStr">
        <is>
          <t>1</t>
        </is>
      </c>
      <c r="J555" s="8" t="inlineStr">
        <is>
          <t>0</t>
        </is>
      </c>
      <c r="K555" s="9" t="inlineStr">
        <is>
          <t>0</t>
        </is>
      </c>
      <c r="L555" s="9" t="inlineStr">
        <is>
          <t>1</t>
        </is>
      </c>
      <c r="M555" s="9" t="inlineStr">
        <is>
          <t>0</t>
        </is>
      </c>
      <c r="N555" s="9" t="inlineStr">
        <is>
          <t>0</t>
        </is>
      </c>
      <c r="O555" s="10" t="inlineStr">
        <is>
          <t>0</t>
        </is>
      </c>
      <c r="P555" s="10" t="inlineStr">
        <is>
          <t>1</t>
        </is>
      </c>
      <c r="Q555" s="10" t="inlineStr">
        <is>
          <t>0</t>
        </is>
      </c>
      <c r="R555" s="10" t="inlineStr">
        <is>
          <t>1</t>
        </is>
      </c>
      <c r="S555" s="10" t="inlineStr">
        <is>
          <t>1</t>
        </is>
      </c>
    </row>
    <row r="556" ht="409.5" customHeight="1">
      <c r="A556" s="6">
        <f>IFERROR(__xludf.DUMMYFUNCTION("""COMPUTED_VALUE"""),"Bending of Light")</f>
        <v/>
      </c>
      <c r="B556" s="6">
        <f>IFERROR(__xludf.DUMMYFUNCTION("""COMPUTED_VALUE"""),"Application")</f>
        <v/>
      </c>
      <c r="C556" s="6">
        <f>IFERROR(__xludf.DUMMYFUNCTION("""COMPUTED_VALUE"""),"File Drop")</f>
        <v/>
      </c>
      <c r="D556" s="7">
        <f>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
      </c>
      <c r="E556" s="7">
        <f>IFERROR(__xludf.DUMMYFUNCTION("""COMPUTED_VALUE"""),"Golabz app/lab: ""&lt;p&gt;This app allows students to upload files, e.g., assignment and reports, to the Inquiry learning Space. The app also allows teachers to download the uploaded files.&lt;/p&gt;\r\n""")</f>
        <v/>
      </c>
      <c r="F556" s="7" t="inlineStr">
        <is>
          <t>Students use Conclusion tool to form conclusions based on evidence collected, then create a 5-minute presentation to present findings. Embedded artifacts include Golabz apps for conclusion and file upload tools.</t>
        </is>
      </c>
      <c r="G556" s="8" t="inlineStr">
        <is>
          <t>0</t>
        </is>
      </c>
      <c r="H556" s="8" t="inlineStr">
        <is>
          <t>0</t>
        </is>
      </c>
      <c r="I556" s="8" t="inlineStr">
        <is>
          <t>1</t>
        </is>
      </c>
      <c r="J556" s="8" t="inlineStr">
        <is>
          <t>1</t>
        </is>
      </c>
      <c r="K556" s="9" t="inlineStr">
        <is>
          <t>0</t>
        </is>
      </c>
      <c r="L556" s="9" t="inlineStr">
        <is>
          <t>1</t>
        </is>
      </c>
      <c r="M556" s="9" t="inlineStr">
        <is>
          <t>0</t>
        </is>
      </c>
      <c r="N556" s="9" t="inlineStr">
        <is>
          <t>0</t>
        </is>
      </c>
      <c r="O556" s="10" t="inlineStr">
        <is>
          <t>0</t>
        </is>
      </c>
      <c r="P556" s="10" t="inlineStr">
        <is>
          <t>1</t>
        </is>
      </c>
      <c r="Q556" s="10" t="inlineStr">
        <is>
          <t>0</t>
        </is>
      </c>
      <c r="R556" s="10" t="inlineStr">
        <is>
          <t>1</t>
        </is>
      </c>
      <c r="S556" s="10" t="inlineStr">
        <is>
          <t>1</t>
        </is>
      </c>
    </row>
    <row r="557" ht="97" customHeight="1">
      <c r="A557" s="6">
        <f>IFERROR(__xludf.DUMMYFUNCTION("""COMPUTED_VALUE"""),"Bending of Light")</f>
        <v/>
      </c>
      <c r="B557" s="6">
        <f>IFERROR(__xludf.DUMMYFUNCTION("""COMPUTED_VALUE"""),"Space")</f>
        <v/>
      </c>
      <c r="C557" s="6">
        <f>IFERROR(__xludf.DUMMYFUNCTION("""COMPUTED_VALUE"""),"Discussion")</f>
        <v/>
      </c>
      <c r="D557" s="7">
        <f>IFERROR(__xludf.DUMMYFUNCTION("""COMPUTED_VALUE"""),"&lt;p&gt;Please share your conclusions with you class teacher and your friends and find out what are their conclusions !!!&lt;/p&gt;")</f>
        <v/>
      </c>
      <c r="E557" s="7">
        <f>IFERROR(__xludf.DUMMYFUNCTION("""COMPUTED_VALUE"""),"No artifact embedded")</f>
        <v/>
      </c>
      <c r="F557" s="7" t="inlineStr">
        <is>
          <t>Students were instructed to analyze data, create a presentation, and share conclusions. Embedded artifacts included Golabz apps for conclusion tools and file uploads.</t>
        </is>
      </c>
      <c r="G557" s="8" t="inlineStr">
        <is>
          <t>0</t>
        </is>
      </c>
      <c r="H557" s="8" t="inlineStr">
        <is>
          <t>0</t>
        </is>
      </c>
      <c r="I557" s="8" t="inlineStr">
        <is>
          <t>0</t>
        </is>
      </c>
      <c r="J557" s="8" t="inlineStr">
        <is>
          <t>0</t>
        </is>
      </c>
      <c r="K557" s="9" t="inlineStr">
        <is>
          <t>0</t>
        </is>
      </c>
      <c r="L557" s="9" t="inlineStr">
        <is>
          <t>0</t>
        </is>
      </c>
      <c r="M557" s="9" t="inlineStr">
        <is>
          <t>1</t>
        </is>
      </c>
      <c r="N557" s="9" t="inlineStr">
        <is>
          <t>0</t>
        </is>
      </c>
      <c r="O557" s="10" t="inlineStr">
        <is>
          <t>0</t>
        </is>
      </c>
      <c r="P557" s="10" t="inlineStr">
        <is>
          <t>0</t>
        </is>
      </c>
      <c r="Q557" s="10" t="inlineStr">
        <is>
          <t>0</t>
        </is>
      </c>
      <c r="R557" s="10" t="inlineStr">
        <is>
          <t>0</t>
        </is>
      </c>
      <c r="S557" s="10" t="inlineStr">
        <is>
          <t>1</t>
        </is>
      </c>
    </row>
    <row r="558" ht="109" customHeight="1">
      <c r="A558" s="6">
        <f>IFERROR(__xludf.DUMMYFUNCTION("""COMPUTED_VALUE"""),"Bending of Light")</f>
        <v/>
      </c>
      <c r="B558" s="6">
        <f>IFERROR(__xludf.DUMMYFUNCTION("""COMPUTED_VALUE"""),"Topic")</f>
        <v/>
      </c>
      <c r="C558" s="6">
        <f>IFERROR(__xludf.DUMMYFUNCTION("""COMPUTED_VALUE"""),"Conclusions on Bending of Light")</f>
        <v/>
      </c>
      <c r="D558" s="7">
        <f>IFERROR(__xludf.DUMMYFUNCTION("""COMPUTED_VALUE"""),"Time to Discuss")</f>
        <v/>
      </c>
      <c r="E558" s="7">
        <f>IFERROR(__xludf.DUMMYFUNCTION("""COMPUTED_VALUE"""),"text/html – A webpage or web document that contains structured text, images, and links, designed for display in a web browser.")</f>
        <v/>
      </c>
      <c r="F558" s="7" t="inlineStr">
        <is>
          <t>Students prepare 5-minute presentations with evidence to support conclusions, then upload to Golabz app.</t>
        </is>
      </c>
      <c r="G558" s="8" t="inlineStr">
        <is>
          <t>1</t>
        </is>
      </c>
      <c r="H558" s="8" t="inlineStr">
        <is>
          <t>0</t>
        </is>
      </c>
      <c r="I558" s="8" t="inlineStr">
        <is>
          <t>0</t>
        </is>
      </c>
      <c r="J558" s="8" t="inlineStr">
        <is>
          <t>0</t>
        </is>
      </c>
      <c r="K558" s="9" t="inlineStr">
        <is>
          <t>0</t>
        </is>
      </c>
      <c r="L558" s="9" t="inlineStr">
        <is>
          <t>0</t>
        </is>
      </c>
      <c r="M558" s="9" t="inlineStr">
        <is>
          <t>1</t>
        </is>
      </c>
      <c r="N558" s="9" t="inlineStr">
        <is>
          <t>0</t>
        </is>
      </c>
      <c r="O558" s="10" t="inlineStr">
        <is>
          <t>0</t>
        </is>
      </c>
      <c r="P558" s="10" t="inlineStr">
        <is>
          <t>0</t>
        </is>
      </c>
      <c r="Q558" s="10" t="inlineStr">
        <is>
          <t>0</t>
        </is>
      </c>
      <c r="R558" s="10" t="inlineStr">
        <is>
          <t>0</t>
        </is>
      </c>
      <c r="S558" s="10" t="inlineStr">
        <is>
          <t>1</t>
        </is>
      </c>
    </row>
    <row r="559" ht="229" customHeight="1">
      <c r="A559" s="6">
        <f>IFERROR(__xludf.DUMMYFUNCTION("""COMPUTED_VALUE"""),"Bending of Light")</f>
        <v/>
      </c>
      <c r="B559" s="6">
        <f>IFERROR(__xludf.DUMMYFUNCTION("""COMPUTED_VALUE"""),"Application")</f>
        <v/>
      </c>
      <c r="C559" s="6">
        <f>IFERROR(__xludf.DUMMYFUNCTION("""COMPUTED_VALUE"""),"Reflection Tool")</f>
        <v/>
      </c>
      <c r="D559" s="7">
        <f>IFERROR(__xludf.DUMMYFUNCTION("""COMPUTED_VALUE"""),"&lt;p&gt;In the Reflection phase you will engage in reflection activities which will help you to think critically about your learning process. In order to do so, you will use the Reflection Tool below.&lt;/p&gt;")</f>
        <v/>
      </c>
      <c r="E559"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559" s="7" t="inlineStr">
        <is>
          <t>Students share conclusions, discuss, and reflect on learning using tools like webpages and the Golabz "Time Spent" app.</t>
        </is>
      </c>
      <c r="G559" s="8" t="inlineStr">
        <is>
          <t>0</t>
        </is>
      </c>
      <c r="H559" s="8" t="inlineStr">
        <is>
          <t>0</t>
        </is>
      </c>
      <c r="I559" s="8" t="inlineStr">
        <is>
          <t>1</t>
        </is>
      </c>
      <c r="J559" s="8" t="inlineStr">
        <is>
          <t>1</t>
        </is>
      </c>
      <c r="K559" s="9" t="inlineStr">
        <is>
          <t>0</t>
        </is>
      </c>
      <c r="L559" s="9" t="inlineStr">
        <is>
          <t>1</t>
        </is>
      </c>
      <c r="M559" s="9" t="inlineStr">
        <is>
          <t>0</t>
        </is>
      </c>
      <c r="N559" s="9" t="inlineStr">
        <is>
          <t>0</t>
        </is>
      </c>
      <c r="O559" s="10" t="inlineStr">
        <is>
          <t>0</t>
        </is>
      </c>
      <c r="P559" s="10" t="inlineStr">
        <is>
          <t>0</t>
        </is>
      </c>
      <c r="Q559" s="10" t="inlineStr">
        <is>
          <t>0</t>
        </is>
      </c>
      <c r="R559" s="10" t="inlineStr">
        <is>
          <t>0</t>
        </is>
      </c>
      <c r="S559" s="10" t="inlineStr">
        <is>
          <t>1</t>
        </is>
      </c>
    </row>
    <row r="560" ht="25" customHeight="1">
      <c r="A560" s="6">
        <f>IFERROR(__xludf.DUMMYFUNCTION("""COMPUTED_VALUE"""),"Bending of Light")</f>
        <v/>
      </c>
      <c r="B560" s="6">
        <f>IFERROR(__xludf.DUMMYFUNCTION("""COMPUTED_VALUE"""),"Space")</f>
        <v/>
      </c>
      <c r="C560" s="6">
        <f>IFERROR(__xludf.DUMMYFUNCTION("""COMPUTED_VALUE"""),"QUIZ")</f>
        <v/>
      </c>
      <c r="D560" s="7">
        <f>IFERROR(__xludf.DUMMYFUNCTION("""COMPUTED_VALUE"""),"No task description")</f>
        <v/>
      </c>
      <c r="E560" s="7">
        <f>IFERROR(__xludf.DUMMYFUNCTION("""COMPUTED_VALUE"""),"No artifact embedded")</f>
        <v/>
      </c>
      <c r="F560" s="7" t="inlineStr">
        <is>
          <t>Students discuss, reflect on learning using tools: webpage, Reflection Tool, and Golabz app.</t>
        </is>
      </c>
      <c r="G560" s="8" t="inlineStr">
        <is>
          <t>0</t>
        </is>
      </c>
      <c r="H560" s="8" t="inlineStr">
        <is>
          <t>0</t>
        </is>
      </c>
      <c r="I560" s="8" t="inlineStr">
        <is>
          <t>0</t>
        </is>
      </c>
      <c r="J560" s="8" t="inlineStr">
        <is>
          <t>0</t>
        </is>
      </c>
      <c r="K560" s="9" t="inlineStr">
        <is>
          <t>0</t>
        </is>
      </c>
      <c r="L560" s="9" t="inlineStr">
        <is>
          <t>0</t>
        </is>
      </c>
      <c r="M560" s="9" t="inlineStr">
        <is>
          <t>0</t>
        </is>
      </c>
      <c r="N560" s="9" t="inlineStr">
        <is>
          <t>0</t>
        </is>
      </c>
      <c r="O560" s="10" t="inlineStr">
        <is>
          <t>0</t>
        </is>
      </c>
      <c r="P560" s="10" t="inlineStr">
        <is>
          <t>0</t>
        </is>
      </c>
      <c r="Q560" s="10" t="inlineStr">
        <is>
          <t>0</t>
        </is>
      </c>
      <c r="R560" s="10" t="inlineStr">
        <is>
          <t>0</t>
        </is>
      </c>
      <c r="S560" s="10" t="inlineStr">
        <is>
          <t>0</t>
        </is>
      </c>
    </row>
    <row r="561" ht="296" customHeight="1">
      <c r="A561" s="6">
        <f>IFERROR(__xludf.DUMMYFUNCTION("""COMPUTED_VALUE"""),"Bending of Light")</f>
        <v/>
      </c>
      <c r="B561" s="6">
        <f>IFERROR(__xludf.DUMMYFUNCTION("""COMPUTED_VALUE"""),"Application")</f>
        <v/>
      </c>
      <c r="C561" s="6">
        <f>IFERROR(__xludf.DUMMYFUNCTION("""COMPUTED_VALUE"""),"Quiz Tool")</f>
        <v/>
      </c>
      <c r="D561" s="7">
        <f>IFERROR(__xludf.DUMMYFUNCTION("""COMPUTED_VALUE"""),"No task description")</f>
        <v/>
      </c>
      <c r="E56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61" s="7" t="inlineStr">
        <is>
          <t>Students reflect on learning using the Reflection Tool, with embedded Golabz apps: "Time spent" for time management and a quiz app for assessment.</t>
        </is>
      </c>
      <c r="G561" s="8" t="inlineStr">
        <is>
          <t>0</t>
        </is>
      </c>
      <c r="H561" s="8" t="inlineStr">
        <is>
          <t>1</t>
        </is>
      </c>
      <c r="I561" s="8" t="inlineStr">
        <is>
          <t>1</t>
        </is>
      </c>
      <c r="J561" s="8" t="inlineStr">
        <is>
          <t>0</t>
        </is>
      </c>
      <c r="K561" s="9" t="inlineStr">
        <is>
          <t>1</t>
        </is>
      </c>
      <c r="L561" s="9" t="inlineStr">
        <is>
          <t>1</t>
        </is>
      </c>
      <c r="M561" s="9" t="inlineStr">
        <is>
          <t>0</t>
        </is>
      </c>
      <c r="N561" s="9" t="inlineStr">
        <is>
          <t>0</t>
        </is>
      </c>
      <c r="O561" s="10" t="inlineStr">
        <is>
          <t>0</t>
        </is>
      </c>
      <c r="P561" s="10" t="inlineStr">
        <is>
          <t>0</t>
        </is>
      </c>
      <c r="Q561" s="10" t="inlineStr">
        <is>
          <t>0</t>
        </is>
      </c>
      <c r="R561" s="10" t="inlineStr">
        <is>
          <t>0</t>
        </is>
      </c>
      <c r="S561" s="10" t="inlineStr">
        <is>
          <t>1</t>
        </is>
      </c>
    </row>
    <row r="562" ht="25" customHeight="1">
      <c r="A562" s="6">
        <f>IFERROR(__xludf.DUMMYFUNCTION("""COMPUTED_VALUE"""),"MATHS GROUP 3")</f>
        <v/>
      </c>
      <c r="B562" s="6">
        <f>IFERROR(__xludf.DUMMYFUNCTION("""COMPUTED_VALUE"""),"Space")</f>
        <v/>
      </c>
      <c r="C562" s="6">
        <f>IFERROR(__xludf.DUMMYFUNCTION("""COMPUTED_VALUE"""),"Orientation")</f>
        <v/>
      </c>
      <c r="D562" s="7">
        <f>IFERROR(__xludf.DUMMYFUNCTION("""COMPUTED_VALUE"""),"No task description")</f>
        <v/>
      </c>
      <c r="E562" s="7">
        <f>IFERROR(__xludf.DUMMYFUNCTION("""COMPUTED_VALUE"""),"No artifact embedded")</f>
        <v/>
      </c>
      <c r="F562" s="7" t="inlineStr">
        <is>
          <t>Students were given no task descriptions, but Item2 included a Golabz app/lab for creating interactive quizzes.</t>
        </is>
      </c>
      <c r="G562" s="8" t="inlineStr">
        <is>
          <t>0</t>
        </is>
      </c>
      <c r="H562" s="8" t="inlineStr">
        <is>
          <t>0</t>
        </is>
      </c>
      <c r="I562" s="8" t="inlineStr">
        <is>
          <t>0</t>
        </is>
      </c>
      <c r="J562" s="8" t="inlineStr">
        <is>
          <t>0</t>
        </is>
      </c>
      <c r="K562" s="9" t="inlineStr">
        <is>
          <t>0</t>
        </is>
      </c>
      <c r="L562" s="9" t="inlineStr">
        <is>
          <t>0</t>
        </is>
      </c>
      <c r="M562" s="9" t="inlineStr">
        <is>
          <t>0</t>
        </is>
      </c>
      <c r="N562" s="9" t="inlineStr">
        <is>
          <t>0</t>
        </is>
      </c>
      <c r="O562" s="10" t="inlineStr">
        <is>
          <t>0</t>
        </is>
      </c>
      <c r="P562" s="10" t="inlineStr">
        <is>
          <t>0</t>
        </is>
      </c>
      <c r="Q562" s="10" t="inlineStr">
        <is>
          <t>0</t>
        </is>
      </c>
      <c r="R562" s="10" t="inlineStr">
        <is>
          <t>0</t>
        </is>
      </c>
      <c r="S562" s="10" t="inlineStr">
        <is>
          <t>0</t>
        </is>
      </c>
    </row>
    <row r="563" ht="85" customHeight="1">
      <c r="A563" s="6">
        <f>IFERROR(__xludf.DUMMYFUNCTION("""COMPUTED_VALUE"""),"MATHS GROUP 3")</f>
        <v/>
      </c>
      <c r="B563" s="6">
        <f>IFERROR(__xludf.DUMMYFUNCTION("""COMPUTED_VALUE"""),"Resource")</f>
        <v/>
      </c>
      <c r="C563" s="6">
        <f>IFERROR(__xludf.DUMMYFUNCTION("""COMPUTED_VALUE"""),"Algebra.graasp")</f>
        <v/>
      </c>
      <c r="D563" s="7">
        <f>IFERROR(__xludf.DUMMYFUNCTION("""COMPUTED_VALUE"""),"&lt;p&gt;Today we will be learning Quadratic Equation &lt;/p&gt;&lt;p&gt;using the quadratic  formula.&lt;/p&gt;")</f>
        <v/>
      </c>
      <c r="E563" s="7">
        <f>IFERROR(__xludf.DUMMYFUNCTION("""COMPUTED_VALUE"""),"No artifact embedded")</f>
        <v/>
      </c>
      <c r="F563" s="7" t="inlineStr">
        <is>
          <t>Students received no task descriptions for Items 1 and 2, but Item 3 involves learning Quadratic Equations. Only Item 1 has an embedded Golabz app/lab artifact.</t>
        </is>
      </c>
      <c r="G563" s="8" t="inlineStr">
        <is>
          <t>1</t>
        </is>
      </c>
      <c r="H563" s="8" t="inlineStr">
        <is>
          <t>0</t>
        </is>
      </c>
      <c r="I563" s="8" t="inlineStr">
        <is>
          <t>0</t>
        </is>
      </c>
      <c r="J563" s="8" t="inlineStr">
        <is>
          <t>0</t>
        </is>
      </c>
      <c r="K563" s="9" t="inlineStr">
        <is>
          <t>1</t>
        </is>
      </c>
      <c r="L563" s="9" t="inlineStr">
        <is>
          <t>0</t>
        </is>
      </c>
      <c r="M563" s="9" t="inlineStr">
        <is>
          <t>0</t>
        </is>
      </c>
      <c r="N563" s="9" t="inlineStr">
        <is>
          <t>0</t>
        </is>
      </c>
      <c r="O563" s="10" t="inlineStr">
        <is>
          <t>0</t>
        </is>
      </c>
      <c r="P563" s="10" t="inlineStr">
        <is>
          <t>0</t>
        </is>
      </c>
      <c r="Q563" s="10" t="inlineStr">
        <is>
          <t>0</t>
        </is>
      </c>
      <c r="R563" s="10" t="inlineStr">
        <is>
          <t>0</t>
        </is>
      </c>
      <c r="S563" s="10" t="inlineStr">
        <is>
          <t>0</t>
        </is>
      </c>
    </row>
    <row r="564" ht="97" customHeight="1">
      <c r="A564" s="6">
        <f>IFERROR(__xludf.DUMMYFUNCTION("""COMPUTED_VALUE"""),"MATHS GROUP 3")</f>
        <v/>
      </c>
      <c r="B564" s="6">
        <f>IFERROR(__xludf.DUMMYFUNCTION("""COMPUTED_VALUE"""),"Resource")</f>
        <v/>
      </c>
      <c r="C564" s="6">
        <f>IFERROR(__xludf.DUMMYFUNCTION("""COMPUTED_VALUE"""),"Quadratic_formula.png")</f>
        <v/>
      </c>
      <c r="D564" s="7">
        <f>IFERROR(__xludf.DUMMYFUNCTION("""COMPUTED_VALUE"""),"—b:"":\/ ()2 —4ac 2a")</f>
        <v/>
      </c>
      <c r="E564" s="7">
        <f>IFERROR(__xludf.DUMMYFUNCTION("""COMPUTED_VALUE"""),"image/png – A high-quality image with support for transparency, often used in design and web applications.")</f>
        <v/>
      </c>
      <c r="F564" s="7" t="inlineStr">
        <is>
          <t>Students learn quadratic equations using formulas. Embedded artifacts include an image in Item 3.</t>
        </is>
      </c>
      <c r="G564" s="8" t="inlineStr">
        <is>
          <t>1</t>
        </is>
      </c>
      <c r="H564" s="8" t="inlineStr">
        <is>
          <t>0</t>
        </is>
      </c>
      <c r="I564" s="8" t="inlineStr">
        <is>
          <t>0</t>
        </is>
      </c>
      <c r="J564" s="8" t="inlineStr">
        <is>
          <t>0</t>
        </is>
      </c>
      <c r="K564" s="9" t="inlineStr">
        <is>
          <t>1</t>
        </is>
      </c>
      <c r="L564" s="9" t="inlineStr">
        <is>
          <t>0</t>
        </is>
      </c>
      <c r="M564" s="9" t="inlineStr">
        <is>
          <t>0</t>
        </is>
      </c>
      <c r="N564" s="9" t="inlineStr">
        <is>
          <t>0</t>
        </is>
      </c>
      <c r="O564" s="10" t="inlineStr">
        <is>
          <t>0</t>
        </is>
      </c>
      <c r="P564" s="10" t="inlineStr">
        <is>
          <t>0</t>
        </is>
      </c>
      <c r="Q564" s="10" t="inlineStr">
        <is>
          <t>0</t>
        </is>
      </c>
      <c r="R564" s="10" t="inlineStr">
        <is>
          <t>0</t>
        </is>
      </c>
      <c r="S564" s="10" t="inlineStr">
        <is>
          <t>0</t>
        </is>
      </c>
    </row>
    <row r="565" ht="97" customHeight="1">
      <c r="A565" s="6">
        <f>IFERROR(__xludf.DUMMYFUNCTION("""COMPUTED_VALUE"""),"MATHS GROUP 3")</f>
        <v/>
      </c>
      <c r="B565" s="6">
        <f>IFERROR(__xludf.DUMMYFUNCTION("""COMPUTED_VALUE"""),"Resource")</f>
        <v/>
      </c>
      <c r="C565" s="6">
        <f>IFERROR(__xludf.DUMMYFUNCTION("""COMPUTED_VALUE"""),"Solve Quadratic Equations using Quadratic Formula")</f>
        <v/>
      </c>
      <c r="D565" s="7">
        <f>IFERROR(__xludf.DUMMYFUNCTION("""COMPUTED_VALUE"""),"Visit http://MathMeeting.com for Free videos on the quadratic formula and all other topics in algebra.")</f>
        <v/>
      </c>
      <c r="E565" s="7">
        <f>IFERROR(__xludf.DUMMYFUNCTION("""COMPUTED_VALUE"""),"youtu.be: A shortened URL service for YouTube, leading to various videos on the platform.")</f>
        <v/>
      </c>
      <c r="F565" s="7" t="inlineStr">
        <is>
          <t>Students learn Quadratic Equation using the formula. Embedded artifacts include an image and YouTube video links.</t>
        </is>
      </c>
      <c r="G565" s="8" t="inlineStr">
        <is>
          <t>1</t>
        </is>
      </c>
      <c r="H565" s="8" t="inlineStr">
        <is>
          <t>0</t>
        </is>
      </c>
      <c r="I565" s="8" t="inlineStr">
        <is>
          <t>0</t>
        </is>
      </c>
      <c r="J565" s="8" t="inlineStr">
        <is>
          <t>0</t>
        </is>
      </c>
      <c r="K565" s="9" t="inlineStr">
        <is>
          <t>1</t>
        </is>
      </c>
      <c r="L565" s="9" t="inlineStr">
        <is>
          <t>0</t>
        </is>
      </c>
      <c r="M565" s="9" t="inlineStr">
        <is>
          <t>0</t>
        </is>
      </c>
      <c r="N565" s="9" t="inlineStr">
        <is>
          <t>0</t>
        </is>
      </c>
      <c r="O565" s="10" t="inlineStr">
        <is>
          <t>0</t>
        </is>
      </c>
      <c r="P565" s="10" t="inlineStr">
        <is>
          <t>0</t>
        </is>
      </c>
      <c r="Q565" s="10" t="inlineStr">
        <is>
          <t>0</t>
        </is>
      </c>
      <c r="R565" s="10" t="inlineStr">
        <is>
          <t>0</t>
        </is>
      </c>
      <c r="S565" s="10" t="inlineStr">
        <is>
          <t>0</t>
        </is>
      </c>
    </row>
    <row r="566" ht="169" customHeight="1">
      <c r="A566" s="6">
        <f>IFERROR(__xludf.DUMMYFUNCTION("""COMPUTED_VALUE"""),"MATHS GROUP 3")</f>
        <v/>
      </c>
      <c r="B566" s="6">
        <f>IFERROR(__xludf.DUMMYFUNCTION("""COMPUTED_VALUE"""),"Resource")</f>
        <v/>
      </c>
      <c r="C566" s="6">
        <f>IFERROR(__xludf.DUMMYFUNCTION("""COMPUTED_VALUE"""),"Ex 1:  Solving Quadratic Equations Graphically Using x-Intercepts")</f>
        <v/>
      </c>
      <c r="D566" s="7">
        <f>IFERROR(__xludf.DUMMYFUNCTION("""COMPUTED_VALUE"""),"This video provides several examples of how to use the graph of a quadratic function to solve a quadratic equation.   Library:  http://mathispower4u.com Search:  http://mathispoweru4.wordpress.com")</f>
        <v/>
      </c>
      <c r="E566" s="7">
        <f>IFERROR(__xludf.DUMMYFUNCTION("""COMPUTED_VALUE"""),"youtu.be: A shortened URL service for YouTube, leading to various videos on the platform.")</f>
        <v/>
      </c>
      <c r="F566" s="7" t="inlineStr">
        <is>
          <t>Students are given tasks with descriptions and embedded artifacts, including images and YouTube video links, to support learning of quadratic formulas and algebra topics.</t>
        </is>
      </c>
      <c r="G566" s="8" t="inlineStr">
        <is>
          <t>1</t>
        </is>
      </c>
      <c r="H566" s="8" t="inlineStr">
        <is>
          <t>0</t>
        </is>
      </c>
      <c r="I566" s="8" t="inlineStr">
        <is>
          <t>0</t>
        </is>
      </c>
      <c r="J566" s="8" t="inlineStr">
        <is>
          <t>0</t>
        </is>
      </c>
      <c r="K566" s="9" t="inlineStr">
        <is>
          <t>1</t>
        </is>
      </c>
      <c r="L566" s="9" t="inlineStr">
        <is>
          <t>0</t>
        </is>
      </c>
      <c r="M566" s="9" t="inlineStr">
        <is>
          <t>0</t>
        </is>
      </c>
      <c r="N566" s="9" t="inlineStr">
        <is>
          <t>0</t>
        </is>
      </c>
      <c r="O566" s="10" t="inlineStr">
        <is>
          <t>0</t>
        </is>
      </c>
      <c r="P566" s="10" t="inlineStr">
        <is>
          <t>0</t>
        </is>
      </c>
      <c r="Q566" s="10" t="inlineStr">
        <is>
          <t>0</t>
        </is>
      </c>
      <c r="R566" s="10" t="inlineStr">
        <is>
          <t>0</t>
        </is>
      </c>
      <c r="S566" s="10" t="inlineStr">
        <is>
          <t>0</t>
        </is>
      </c>
    </row>
    <row r="567" ht="409.5" customHeight="1">
      <c r="A567" s="6">
        <f>IFERROR(__xludf.DUMMYFUNCTION("""COMPUTED_VALUE"""),"MATHS GROUP 3")</f>
        <v/>
      </c>
      <c r="B567" s="6">
        <f>IFERROR(__xludf.DUMMYFUNCTION("""COMPUTED_VALUE"""),"Application")</f>
        <v/>
      </c>
      <c r="C567" s="6">
        <f>IFERROR(__xludf.DUMMYFUNCTION("""COMPUTED_VALUE"""),"Graphing Lines")</f>
        <v/>
      </c>
      <c r="D567" s="7">
        <f>IFERROR(__xludf.DUMMYFUNCTION("""COMPUTED_VALUE"""),"No task description")</f>
        <v/>
      </c>
      <c r="E567"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67" s="7" t="inlineStr">
        <is>
          <t>Students visit websites and watch videos on algebra topics, including quadratic formulas and graphing lines, with embedded YouTube links and interactive apps like Golabz.</t>
        </is>
      </c>
      <c r="G567" s="8" t="inlineStr">
        <is>
          <t>0</t>
        </is>
      </c>
      <c r="H567" s="8" t="inlineStr">
        <is>
          <t>1</t>
        </is>
      </c>
      <c r="I567" s="8" t="inlineStr">
        <is>
          <t>0</t>
        </is>
      </c>
      <c r="J567" s="8" t="inlineStr">
        <is>
          <t>1</t>
        </is>
      </c>
      <c r="K567" s="9" t="inlineStr">
        <is>
          <t>0</t>
        </is>
      </c>
      <c r="L567" s="9" t="inlineStr">
        <is>
          <t>1</t>
        </is>
      </c>
      <c r="M567" s="9" t="inlineStr">
        <is>
          <t>0</t>
        </is>
      </c>
      <c r="N567" s="9" t="inlineStr">
        <is>
          <t>0</t>
        </is>
      </c>
      <c r="O567" s="10" t="inlineStr">
        <is>
          <t>1</t>
        </is>
      </c>
      <c r="P567" s="10" t="inlineStr">
        <is>
          <t>1</t>
        </is>
      </c>
      <c r="Q567" s="10" t="inlineStr">
        <is>
          <t>1</t>
        </is>
      </c>
      <c r="R567" s="10" t="inlineStr">
        <is>
          <t>0</t>
        </is>
      </c>
      <c r="S567" s="10" t="inlineStr">
        <is>
          <t>0</t>
        </is>
      </c>
    </row>
    <row r="568" ht="25" customHeight="1">
      <c r="A568" s="6">
        <f>IFERROR(__xludf.DUMMYFUNCTION("""COMPUTED_VALUE"""),"MATHS GROUP 3")</f>
        <v/>
      </c>
      <c r="B568" s="6">
        <f>IFERROR(__xludf.DUMMYFUNCTION("""COMPUTED_VALUE"""),"Space")</f>
        <v/>
      </c>
      <c r="C568" s="6">
        <f>IFERROR(__xludf.DUMMYFUNCTION("""COMPUTED_VALUE"""),"Conceptualisation")</f>
        <v/>
      </c>
      <c r="D568" s="7">
        <f>IFERROR(__xludf.DUMMYFUNCTION("""COMPUTED_VALUE"""),"No task description")</f>
        <v/>
      </c>
      <c r="E568" s="7">
        <f>IFERROR(__xludf.DUMMYFUNCTION("""COMPUTED_VALUE"""),"No artifact embedded")</f>
        <v/>
      </c>
      <c r="F568" s="7" t="inlineStr">
        <is>
          <t>Students were provided with tasks and resources, including videos and apps, to learn about quadratic functions and linear equations, with specific learning goals and activities outlined.</t>
        </is>
      </c>
      <c r="G568" s="8" t="inlineStr">
        <is>
          <t>0</t>
        </is>
      </c>
      <c r="H568" s="8" t="inlineStr">
        <is>
          <t>0</t>
        </is>
      </c>
      <c r="I568" s="8" t="inlineStr">
        <is>
          <t>0</t>
        </is>
      </c>
      <c r="J568" s="8" t="inlineStr">
        <is>
          <t>0</t>
        </is>
      </c>
      <c r="K568" s="9" t="inlineStr">
        <is>
          <t>0</t>
        </is>
      </c>
      <c r="L568" s="9" t="inlineStr">
        <is>
          <t>0</t>
        </is>
      </c>
      <c r="M568" s="9" t="inlineStr">
        <is>
          <t>0</t>
        </is>
      </c>
      <c r="N568" s="9" t="inlineStr">
        <is>
          <t>0</t>
        </is>
      </c>
      <c r="O568" s="10" t="inlineStr">
        <is>
          <t>0</t>
        </is>
      </c>
      <c r="P568" s="10" t="inlineStr">
        <is>
          <t>0</t>
        </is>
      </c>
      <c r="Q568" s="10" t="inlineStr">
        <is>
          <t>0</t>
        </is>
      </c>
      <c r="R568" s="10" t="inlineStr">
        <is>
          <t>0</t>
        </is>
      </c>
      <c r="S568" s="10" t="inlineStr">
        <is>
          <t>0</t>
        </is>
      </c>
    </row>
    <row r="569" ht="73" customHeight="1">
      <c r="A569" s="6">
        <f>IFERROR(__xludf.DUMMYFUNCTION("""COMPUTED_VALUE"""),"MATHS GROUP 3")</f>
        <v/>
      </c>
      <c r="B569" s="6">
        <f>IFERROR(__xludf.DUMMYFUNCTION("""COMPUTED_VALUE"""),"Resource")</f>
        <v/>
      </c>
      <c r="C569" s="6">
        <f>IFERROR(__xludf.DUMMYFUNCTION("""COMPUTED_VALUE"""),"Hypothesis.graasp")</f>
        <v/>
      </c>
      <c r="D569" s="7">
        <f>IFERROR(__xludf.DUMMYFUNCTION("""COMPUTED_VALUE"""),"&lt;p&gt;ALl quadratic equations could be solved using graphical formular method.&lt;/p&gt;")</f>
        <v/>
      </c>
      <c r="E569" s="7">
        <f>IFERROR(__xludf.DUMMYFUNCTION("""COMPUTED_VALUE"""),"No artifact embedded")</f>
        <v/>
      </c>
      <c r="F569" s="7" t="inlineStr">
        <is>
          <t>Students explore linear equations and graphs using Golabz app, with learning goals including computing slope and graphing lines. Items 2 and 3 lack task descriptions and embedded artifacts.</t>
        </is>
      </c>
      <c r="G569" s="8" t="inlineStr">
        <is>
          <t>1</t>
        </is>
      </c>
      <c r="H569" s="8" t="inlineStr">
        <is>
          <t>0</t>
        </is>
      </c>
      <c r="I569" s="8" t="inlineStr">
        <is>
          <t>0</t>
        </is>
      </c>
      <c r="J569" s="8" t="inlineStr">
        <is>
          <t>0</t>
        </is>
      </c>
      <c r="K569" s="9" t="inlineStr">
        <is>
          <t>1</t>
        </is>
      </c>
      <c r="L569" s="9" t="inlineStr">
        <is>
          <t>0</t>
        </is>
      </c>
      <c r="M569" s="9" t="inlineStr">
        <is>
          <t>0</t>
        </is>
      </c>
      <c r="N569" s="9" t="inlineStr">
        <is>
          <t>0</t>
        </is>
      </c>
      <c r="O569" s="10" t="inlineStr">
        <is>
          <t>0</t>
        </is>
      </c>
      <c r="P569" s="10" t="inlineStr">
        <is>
          <t>0</t>
        </is>
      </c>
      <c r="Q569" s="10" t="inlineStr">
        <is>
          <t>0</t>
        </is>
      </c>
      <c r="R569" s="10" t="inlineStr">
        <is>
          <t>0</t>
        </is>
      </c>
      <c r="S569" s="10" t="inlineStr">
        <is>
          <t>0</t>
        </is>
      </c>
    </row>
    <row r="570" ht="409.5" customHeight="1">
      <c r="A570" s="6">
        <f>IFERROR(__xludf.DUMMYFUNCTION("""COMPUTED_VALUE"""),"MATHS GROUP 3")</f>
        <v/>
      </c>
      <c r="B570" s="6">
        <f>IFERROR(__xludf.DUMMYFUNCTION("""COMPUTED_VALUE"""),"Application")</f>
        <v/>
      </c>
      <c r="C570" s="6">
        <f>IFERROR(__xludf.DUMMYFUNCTION("""COMPUTED_VALUE"""),"Graphing Lines Source")</f>
        <v/>
      </c>
      <c r="D570" s="7">
        <f>IFERROR(__xludf.DUMMYFUNCTION("""COMPUTED_VALUE"""),"No task description")</f>
        <v/>
      </c>
      <c r="E570"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70" s="7" t="inlineStr">
        <is>
          <t>Students were instructed to solve quadratic equations and explore linear equations, with Item3 embedding a Golabz app/lab artifact for interactive learning.</t>
        </is>
      </c>
      <c r="G570" s="8" t="inlineStr">
        <is>
          <t>0</t>
        </is>
      </c>
      <c r="H570" s="8" t="inlineStr">
        <is>
          <t>1</t>
        </is>
      </c>
      <c r="I570" s="8" t="inlineStr">
        <is>
          <t>0</t>
        </is>
      </c>
      <c r="J570" s="8" t="inlineStr">
        <is>
          <t>1</t>
        </is>
      </c>
      <c r="K570" s="9" t="inlineStr">
        <is>
          <t>0</t>
        </is>
      </c>
      <c r="L570" s="9" t="inlineStr">
        <is>
          <t>1</t>
        </is>
      </c>
      <c r="M570" s="9" t="inlineStr">
        <is>
          <t>0</t>
        </is>
      </c>
      <c r="N570" s="9" t="inlineStr">
        <is>
          <t>0</t>
        </is>
      </c>
      <c r="O570" s="10" t="inlineStr">
        <is>
          <t>1</t>
        </is>
      </c>
      <c r="P570" s="10" t="inlineStr">
        <is>
          <t>1</t>
        </is>
      </c>
      <c r="Q570" s="10" t="inlineStr">
        <is>
          <t>1</t>
        </is>
      </c>
      <c r="R570" s="10" t="inlineStr">
        <is>
          <t>0</t>
        </is>
      </c>
      <c r="S570" s="10" t="inlineStr">
        <is>
          <t>0</t>
        </is>
      </c>
    </row>
    <row r="571" ht="25" customHeight="1">
      <c r="A571" s="6">
        <f>IFERROR(__xludf.DUMMYFUNCTION("""COMPUTED_VALUE"""),"MATHS GROUP 3")</f>
        <v/>
      </c>
      <c r="B571" s="6">
        <f>IFERROR(__xludf.DUMMYFUNCTION("""COMPUTED_VALUE"""),"Space")</f>
        <v/>
      </c>
      <c r="C571" s="6">
        <f>IFERROR(__xludf.DUMMYFUNCTION("""COMPUTED_VALUE"""),"Investigation")</f>
        <v/>
      </c>
      <c r="D571" s="7">
        <f>IFERROR(__xludf.DUMMYFUNCTION("""COMPUTED_VALUE"""),"No task description")</f>
        <v/>
      </c>
      <c r="E571" s="7">
        <f>IFERROR(__xludf.DUMMYFUNCTION("""COMPUTED_VALUE"""),"No artifact embedded")</f>
        <v/>
      </c>
      <c r="F571" s="7" t="inlineStr">
        <is>
          <t>Students were instructed to solve quadratic equations and explore linear equations using the Golabz app, with learning goals including graphing lines and predicting variable changes.</t>
        </is>
      </c>
      <c r="G571" s="8" t="inlineStr">
        <is>
          <t>0</t>
        </is>
      </c>
      <c r="H571" s="8" t="inlineStr">
        <is>
          <t>0</t>
        </is>
      </c>
      <c r="I571" s="8" t="inlineStr">
        <is>
          <t>0</t>
        </is>
      </c>
      <c r="J571" s="8" t="inlineStr">
        <is>
          <t>0</t>
        </is>
      </c>
      <c r="K571" s="9" t="inlineStr">
        <is>
          <t>0</t>
        </is>
      </c>
      <c r="L571" s="9" t="inlineStr">
        <is>
          <t>0</t>
        </is>
      </c>
      <c r="M571" s="9" t="inlineStr">
        <is>
          <t>0</t>
        </is>
      </c>
      <c r="N571" s="9" t="inlineStr">
        <is>
          <t>0</t>
        </is>
      </c>
      <c r="O571" s="10" t="inlineStr">
        <is>
          <t>0</t>
        </is>
      </c>
      <c r="P571" s="10" t="inlineStr">
        <is>
          <t>0</t>
        </is>
      </c>
      <c r="Q571" s="10" t="inlineStr">
        <is>
          <t>0</t>
        </is>
      </c>
      <c r="R571" s="10" t="inlineStr">
        <is>
          <t>0</t>
        </is>
      </c>
      <c r="S571" s="10" t="inlineStr">
        <is>
          <t>0</t>
        </is>
      </c>
    </row>
    <row r="572" ht="49" customHeight="1">
      <c r="A572" s="6">
        <f>IFERROR(__xludf.DUMMYFUNCTION("""COMPUTED_VALUE"""),"MATHS GROUP 3")</f>
        <v/>
      </c>
      <c r="B572" s="6">
        <f>IFERROR(__xludf.DUMMYFUNCTION("""COMPUTED_VALUE"""),"Resource")</f>
        <v/>
      </c>
      <c r="C572" s="6">
        <f>IFERROR(__xludf.DUMMYFUNCTION("""COMPUTED_VALUE"""),"Word Problem.graasp")</f>
        <v/>
      </c>
      <c r="D572" s="7">
        <f>IFERROR(__xludf.DUMMYFUNCTION("""COMPUTED_VALUE"""),"&lt;p&gt;if y=0 and a,b,c are known then we can get values for x.&lt;/p&gt;")</f>
        <v/>
      </c>
      <c r="E572" s="7">
        <f>IFERROR(__xludf.DUMMYFUNCTION("""COMPUTED_VALUE"""),"No artifact embedded")</f>
        <v/>
      </c>
      <c r="F572" s="7" t="inlineStr">
        <is>
          <t>Students explore linear equations, slope, and graphs using Golabz app/lab, with learning goals including computing slope, graphing lines, and predicting variable changes.</t>
        </is>
      </c>
      <c r="G572" s="8" t="inlineStr">
        <is>
          <t>1</t>
        </is>
      </c>
      <c r="H572" s="8" t="inlineStr">
        <is>
          <t>0</t>
        </is>
      </c>
      <c r="I572" s="8" t="inlineStr">
        <is>
          <t>0</t>
        </is>
      </c>
      <c r="J572" s="8" t="inlineStr">
        <is>
          <t>0</t>
        </is>
      </c>
      <c r="K572" s="9" t="inlineStr">
        <is>
          <t>1</t>
        </is>
      </c>
      <c r="L572" s="9" t="inlineStr">
        <is>
          <t>1</t>
        </is>
      </c>
      <c r="M572" s="9" t="inlineStr">
        <is>
          <t>0</t>
        </is>
      </c>
      <c r="N572" s="9" t="inlineStr">
        <is>
          <t>0</t>
        </is>
      </c>
      <c r="O572" s="10" t="inlineStr">
        <is>
          <t>0</t>
        </is>
      </c>
      <c r="P572" s="10" t="inlineStr">
        <is>
          <t>1</t>
        </is>
      </c>
      <c r="Q572" s="10" t="inlineStr">
        <is>
          <t>0</t>
        </is>
      </c>
      <c r="R572" s="10" t="inlineStr">
        <is>
          <t>0</t>
        </is>
      </c>
      <c r="S572" s="10" t="inlineStr">
        <is>
          <t>0</t>
        </is>
      </c>
    </row>
    <row r="573" ht="25" customHeight="1">
      <c r="A573" s="6">
        <f>IFERROR(__xludf.DUMMYFUNCTION("""COMPUTED_VALUE"""),"MATHS GROUP 3")</f>
        <v/>
      </c>
      <c r="B573" s="6">
        <f>IFERROR(__xludf.DUMMYFUNCTION("""COMPUTED_VALUE"""),"Space")</f>
        <v/>
      </c>
      <c r="C573" s="6">
        <f>IFERROR(__xludf.DUMMYFUNCTION("""COMPUTED_VALUE"""),"Conclusion")</f>
        <v/>
      </c>
      <c r="D573" s="7">
        <f>IFERROR(__xludf.DUMMYFUNCTION("""COMPUTED_VALUE"""),"No task description")</f>
        <v/>
      </c>
      <c r="E573" s="7">
        <f>IFERROR(__xludf.DUMMYFUNCTION("""COMPUTED_VALUE"""),"No artifact embedded")</f>
        <v/>
      </c>
      <c r="F573" s="7" t="inlineStr">
        <is>
          <t>Students were given tasks with minimal descriptions and no embedded artifacts. Only Item2 had a brief math-related instruction.</t>
        </is>
      </c>
      <c r="G573" s="8" t="inlineStr">
        <is>
          <t>0</t>
        </is>
      </c>
      <c r="H573" s="8" t="inlineStr">
        <is>
          <t>0</t>
        </is>
      </c>
      <c r="I573" s="8" t="inlineStr">
        <is>
          <t>0</t>
        </is>
      </c>
      <c r="J573" s="8" t="inlineStr">
        <is>
          <t>0</t>
        </is>
      </c>
      <c r="K573" s="9" t="inlineStr">
        <is>
          <t>0</t>
        </is>
      </c>
      <c r="L573" s="9" t="inlineStr">
        <is>
          <t>0</t>
        </is>
      </c>
      <c r="M573" s="9" t="inlineStr">
        <is>
          <t>0</t>
        </is>
      </c>
      <c r="N573" s="9" t="inlineStr">
        <is>
          <t>0</t>
        </is>
      </c>
      <c r="O573" s="10" t="inlineStr">
        <is>
          <t>0</t>
        </is>
      </c>
      <c r="P573" s="10" t="inlineStr">
        <is>
          <t>0</t>
        </is>
      </c>
      <c r="Q573" s="10" t="inlineStr">
        <is>
          <t>0</t>
        </is>
      </c>
      <c r="R573" s="10" t="inlineStr">
        <is>
          <t>0</t>
        </is>
      </c>
      <c r="S573" s="10" t="inlineStr">
        <is>
          <t>0</t>
        </is>
      </c>
    </row>
    <row r="574" ht="49" customHeight="1">
      <c r="A574" s="6">
        <f>IFERROR(__xludf.DUMMYFUNCTION("""COMPUTED_VALUE"""),"MATHS GROUP 3")</f>
        <v/>
      </c>
      <c r="B574" s="6">
        <f>IFERROR(__xludf.DUMMYFUNCTION("""COMPUTED_VALUE"""),"Resource")</f>
        <v/>
      </c>
      <c r="C574" s="6">
        <f>IFERROR(__xludf.DUMMYFUNCTION("""COMPUTED_VALUE"""),"Results.graasp")</f>
        <v/>
      </c>
      <c r="D574" s="7">
        <f>IFERROR(__xludf.DUMMYFUNCTION("""COMPUTED_VALUE"""),"&lt;p&gt;Both methods give the same values for x.&lt;/p&gt;")</f>
        <v/>
      </c>
      <c r="E574" s="7">
        <f>IFERROR(__xludf.DUMMYFUNCTION("""COMPUTED_VALUE"""),"No artifact embedded")</f>
        <v/>
      </c>
      <c r="F574" s="7" t="inlineStr">
        <is>
          <t>Students were given tasks with no artifacts, including solving for x when y=0 and comparing two methods.</t>
        </is>
      </c>
      <c r="G574" s="8" t="inlineStr">
        <is>
          <t>0</t>
        </is>
      </c>
      <c r="H574" s="8" t="inlineStr">
        <is>
          <t>0</t>
        </is>
      </c>
      <c r="I574" s="8" t="inlineStr">
        <is>
          <t>0</t>
        </is>
      </c>
      <c r="J574" s="8" t="inlineStr">
        <is>
          <t>0</t>
        </is>
      </c>
      <c r="K574" s="9" t="inlineStr">
        <is>
          <t>1</t>
        </is>
      </c>
      <c r="L574" s="9" t="inlineStr">
        <is>
          <t>0</t>
        </is>
      </c>
      <c r="M574" s="9" t="inlineStr">
        <is>
          <t>0</t>
        </is>
      </c>
      <c r="N574" s="9" t="inlineStr">
        <is>
          <t>0</t>
        </is>
      </c>
      <c r="O574" s="10" t="inlineStr">
        <is>
          <t>0</t>
        </is>
      </c>
      <c r="P574" s="10" t="inlineStr">
        <is>
          <t>0</t>
        </is>
      </c>
      <c r="Q574" s="10" t="inlineStr">
        <is>
          <t>0</t>
        </is>
      </c>
      <c r="R574" s="10" t="inlineStr">
        <is>
          <t>0</t>
        </is>
      </c>
      <c r="S574" s="10" t="inlineStr">
        <is>
          <t>0</t>
        </is>
      </c>
    </row>
    <row r="575" ht="25" customHeight="1">
      <c r="A575" s="6">
        <f>IFERROR(__xludf.DUMMYFUNCTION("""COMPUTED_VALUE"""),"MATHS GROUP 3")</f>
        <v/>
      </c>
      <c r="B575" s="6">
        <f>IFERROR(__xludf.DUMMYFUNCTION("""COMPUTED_VALUE"""),"Space")</f>
        <v/>
      </c>
      <c r="C575" s="6">
        <f>IFERROR(__xludf.DUMMYFUNCTION("""COMPUTED_VALUE"""),"Discussion")</f>
        <v/>
      </c>
      <c r="D575" s="7">
        <f>IFERROR(__xludf.DUMMYFUNCTION("""COMPUTED_VALUE"""),"No task description")</f>
        <v/>
      </c>
      <c r="E575" s="7">
        <f>IFERROR(__xludf.DUMMYFUNCTION("""COMPUTED_VALUE"""),"No artifact embedded")</f>
        <v/>
      </c>
      <c r="F575" s="7" t="inlineStr">
        <is>
          <t>Students were given no task descriptions or embedded artifacts in most items, except Item2 which stated that two methods give the same values for x.</t>
        </is>
      </c>
      <c r="G575" s="8" t="inlineStr">
        <is>
          <t>0</t>
        </is>
      </c>
      <c r="H575" s="8" t="inlineStr">
        <is>
          <t>0</t>
        </is>
      </c>
      <c r="I575" s="8" t="inlineStr">
        <is>
          <t>0</t>
        </is>
      </c>
      <c r="J575" s="8" t="inlineStr">
        <is>
          <t>0</t>
        </is>
      </c>
      <c r="K575" s="9" t="inlineStr">
        <is>
          <t>0</t>
        </is>
      </c>
      <c r="L575" s="9" t="inlineStr">
        <is>
          <t>0</t>
        </is>
      </c>
      <c r="M575" s="9" t="inlineStr">
        <is>
          <t>0</t>
        </is>
      </c>
      <c r="N575" s="9" t="inlineStr">
        <is>
          <t>0</t>
        </is>
      </c>
      <c r="O575" s="10" t="inlineStr">
        <is>
          <t>0</t>
        </is>
      </c>
      <c r="P575" s="10" t="inlineStr">
        <is>
          <t>0</t>
        </is>
      </c>
      <c r="Q575" s="10" t="inlineStr">
        <is>
          <t>0</t>
        </is>
      </c>
      <c r="R575" s="10" t="inlineStr">
        <is>
          <t>0</t>
        </is>
      </c>
      <c r="S575" s="10" t="inlineStr">
        <is>
          <t>0</t>
        </is>
      </c>
    </row>
    <row r="576" ht="109" customHeight="1">
      <c r="A576" s="6">
        <f>IFERROR(__xludf.DUMMYFUNCTION("""COMPUTED_VALUE"""),"MATHS GROUP 3")</f>
        <v/>
      </c>
      <c r="B576" s="6">
        <f>IFERROR(__xludf.DUMMYFUNCTION("""COMPUTED_VALUE"""),"Topic")</f>
        <v/>
      </c>
      <c r="C576" s="6">
        <f>IFERROR(__xludf.DUMMYFUNCTION("""COMPUTED_VALUE"""),"Quadratic equations")</f>
        <v/>
      </c>
      <c r="D576" s="7">
        <f>IFERROR(__xludf.DUMMYFUNCTION("""COMPUTED_VALUE"""),"Try both methods for solving quadratic equations and discuss your findings")</f>
        <v/>
      </c>
      <c r="E576" s="7">
        <f>IFERROR(__xludf.DUMMYFUNCTION("""COMPUTED_VALUE"""),"text/html – A webpage or web document that contains structured text, images, and links, designed for display in a web browser.")</f>
        <v/>
      </c>
      <c r="F576" s="7" t="inlineStr">
        <is>
          <t>Students were instructed to solve quadratic equations and discuss findings. Embedded artifacts include no items in Items 1 and 2, but a webpage in Item 3.</t>
        </is>
      </c>
      <c r="G576" s="8" t="inlineStr">
        <is>
          <t>0</t>
        </is>
      </c>
      <c r="H576" s="8" t="inlineStr">
        <is>
          <t>1</t>
        </is>
      </c>
      <c r="I576" s="8" t="inlineStr">
        <is>
          <t>0</t>
        </is>
      </c>
      <c r="J576" s="8" t="inlineStr">
        <is>
          <t>1</t>
        </is>
      </c>
      <c r="K576" s="9" t="inlineStr">
        <is>
          <t>0</t>
        </is>
      </c>
      <c r="L576" s="9" t="inlineStr">
        <is>
          <t>0</t>
        </is>
      </c>
      <c r="M576" s="9" t="inlineStr">
        <is>
          <t>1</t>
        </is>
      </c>
      <c r="N576" s="9" t="inlineStr">
        <is>
          <t>0</t>
        </is>
      </c>
      <c r="O576" s="10" t="inlineStr">
        <is>
          <t>0</t>
        </is>
      </c>
      <c r="P576" s="10" t="inlineStr">
        <is>
          <t>0</t>
        </is>
      </c>
      <c r="Q576" s="10" t="inlineStr">
        <is>
          <t>0</t>
        </is>
      </c>
      <c r="R576" s="10" t="inlineStr">
        <is>
          <t>0</t>
        </is>
      </c>
      <c r="S576" s="10" t="inlineStr">
        <is>
          <t>1</t>
        </is>
      </c>
    </row>
    <row r="577" ht="409.5" customHeight="1">
      <c r="A577" s="6">
        <f>IFERROR(__xludf.DUMMYFUNCTION("""COMPUTED_VALUE"""),"Leadership in your life")</f>
        <v/>
      </c>
      <c r="B577" s="6">
        <f>IFERROR(__xludf.DUMMYFUNCTION("""COMPUTED_VALUE"""),"Space")</f>
        <v/>
      </c>
      <c r="C577" s="6">
        <f>IFERROR(__xludf.DUMMYFUNCTION("""COMPUTED_VALUE"""),"Orientation")</f>
        <v/>
      </c>
      <c r="D577" s="7">
        <f>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
      </c>
      <c r="E577" s="7">
        <f>IFERROR(__xludf.DUMMYFUNCTION("""COMPUTED_VALUE"""),"No artifact embedded")</f>
        <v/>
      </c>
      <c r="F577" s="7" t="inlineStr">
        <is>
          <t>Students are given tasks with varying descriptions and embedded artifacts, including text/html and videos, to complete assignments.</t>
        </is>
      </c>
      <c r="G577" s="8" t="inlineStr">
        <is>
          <t>1</t>
        </is>
      </c>
      <c r="H577" s="8" t="inlineStr">
        <is>
          <t>0</t>
        </is>
      </c>
      <c r="I577" s="8" t="inlineStr">
        <is>
          <t>0</t>
        </is>
      </c>
      <c r="J577" s="8" t="inlineStr">
        <is>
          <t>0</t>
        </is>
      </c>
      <c r="K577" s="9" t="inlineStr">
        <is>
          <t>1</t>
        </is>
      </c>
      <c r="L577" s="9" t="inlineStr">
        <is>
          <t>0</t>
        </is>
      </c>
      <c r="M577" s="9" t="inlineStr">
        <is>
          <t>0</t>
        </is>
      </c>
      <c r="N577" s="9" t="inlineStr">
        <is>
          <t>0</t>
        </is>
      </c>
      <c r="O577" s="10" t="inlineStr">
        <is>
          <t>1</t>
        </is>
      </c>
      <c r="P577" s="10" t="inlineStr">
        <is>
          <t>1</t>
        </is>
      </c>
      <c r="Q577" s="10" t="inlineStr">
        <is>
          <t>0</t>
        </is>
      </c>
      <c r="R577" s="10" t="inlineStr">
        <is>
          <t>0</t>
        </is>
      </c>
      <c r="S577" s="10" t="inlineStr">
        <is>
          <t>0</t>
        </is>
      </c>
    </row>
    <row r="578" ht="121" customHeight="1">
      <c r="A578" s="6">
        <f>IFERROR(__xludf.DUMMYFUNCTION("""COMPUTED_VALUE"""),"Leadership in your life")</f>
        <v/>
      </c>
      <c r="B578" s="6">
        <f>IFERROR(__xludf.DUMMYFUNCTION("""COMPUTED_VALUE"""),"Resource")</f>
        <v/>
      </c>
      <c r="C578" s="6">
        <f>IFERROR(__xludf.DUMMYFUNCTION("""COMPUTED_VALUE"""),"What is a Leader.mp4")</f>
        <v/>
      </c>
      <c r="D578" s="7">
        <f>IFERROR(__xludf.DUMMYFUNCTION("""COMPUTED_VALUE"""),"No task description")</f>
        <v/>
      </c>
      <c r="E578" s="7">
        <f>IFERROR(__xludf.DUMMYFUNCTION("""COMPUTED_VALUE"""),"video/mp4 – A video file containing moving images and possibly audio, suitable for playback on most modern devices and platforms.")</f>
        <v/>
      </c>
      <c r="F578" s="7" t="inlineStr">
        <is>
          <t>Students are given tasks to solve quadratic equations and discuss leadership qualities. Embedded artifacts include text/html and video/mp4 files.</t>
        </is>
      </c>
      <c r="G578" s="8" t="inlineStr">
        <is>
          <t>1</t>
        </is>
      </c>
      <c r="H578" s="8" t="inlineStr">
        <is>
          <t>0</t>
        </is>
      </c>
      <c r="I578" s="8" t="inlineStr">
        <is>
          <t>0</t>
        </is>
      </c>
      <c r="J578" s="8" t="inlineStr">
        <is>
          <t>0</t>
        </is>
      </c>
      <c r="K578" s="9" t="inlineStr">
        <is>
          <t>1</t>
        </is>
      </c>
      <c r="L578" s="9" t="inlineStr">
        <is>
          <t>0</t>
        </is>
      </c>
      <c r="M578" s="9" t="inlineStr">
        <is>
          <t>0</t>
        </is>
      </c>
      <c r="N578" s="9" t="inlineStr">
        <is>
          <t>0</t>
        </is>
      </c>
      <c r="O578" s="10" t="inlineStr">
        <is>
          <t>0</t>
        </is>
      </c>
      <c r="P578" s="10" t="inlineStr">
        <is>
          <t>0</t>
        </is>
      </c>
      <c r="Q578" s="10" t="inlineStr">
        <is>
          <t>0</t>
        </is>
      </c>
      <c r="R578" s="10" t="inlineStr">
        <is>
          <t>0</t>
        </is>
      </c>
      <c r="S578" s="10" t="inlineStr">
        <is>
          <t>0</t>
        </is>
      </c>
    </row>
    <row r="579" ht="409.5" customHeight="1">
      <c r="A579" s="6">
        <f>IFERROR(__xludf.DUMMYFUNCTION("""COMPUTED_VALUE"""),"Leadership in your life")</f>
        <v/>
      </c>
      <c r="B579" s="6">
        <f>IFERROR(__xludf.DUMMYFUNCTION("""COMPUTED_VALUE"""),"Space")</f>
        <v/>
      </c>
      <c r="C579" s="6">
        <f>IFERROR(__xludf.DUMMYFUNCTION("""COMPUTED_VALUE"""),"Conceptualisation")</f>
        <v/>
      </c>
      <c r="D579" s="7">
        <f>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
      </c>
      <c r="E579" s="7">
        <f>IFERROR(__xludf.DUMMYFUNCTION("""COMPUTED_VALUE"""),"No artifact embedded")</f>
        <v/>
      </c>
      <c r="F579" s="7" t="inlineStr">
        <is>
          <t>Students analyze leadership and motivation through videos and articles, with tasks to watch a video and study articles on leadership types.</t>
        </is>
      </c>
      <c r="G579" s="8" t="inlineStr">
        <is>
          <t>0</t>
        </is>
      </c>
      <c r="H579" s="8" t="inlineStr">
        <is>
          <t>0</t>
        </is>
      </c>
      <c r="I579" s="8" t="inlineStr">
        <is>
          <t>1</t>
        </is>
      </c>
      <c r="J579" s="8" t="inlineStr">
        <is>
          <t>1</t>
        </is>
      </c>
      <c r="K579" s="9" t="inlineStr">
        <is>
          <t>0</t>
        </is>
      </c>
      <c r="L579" s="9" t="inlineStr">
        <is>
          <t>1</t>
        </is>
      </c>
      <c r="M579" s="9" t="inlineStr">
        <is>
          <t>0</t>
        </is>
      </c>
      <c r="N579" s="9" t="inlineStr">
        <is>
          <t>0</t>
        </is>
      </c>
      <c r="O579" s="10" t="inlineStr">
        <is>
          <t>1</t>
        </is>
      </c>
      <c r="P579" s="10" t="inlineStr">
        <is>
          <t>1</t>
        </is>
      </c>
      <c r="Q579" s="10" t="inlineStr">
        <is>
          <t>0</t>
        </is>
      </c>
      <c r="R579" s="10" t="inlineStr">
        <is>
          <t>0</t>
        </is>
      </c>
      <c r="S579" s="10" t="inlineStr">
        <is>
          <t>0</t>
        </is>
      </c>
    </row>
    <row r="580" ht="85" customHeight="1">
      <c r="A580" s="6">
        <f>IFERROR(__xludf.DUMMYFUNCTION("""COMPUTED_VALUE"""),"Leadership in your life")</f>
        <v/>
      </c>
      <c r="B580" s="6">
        <f>IFERROR(__xludf.DUMMYFUNCTION("""COMPUTED_VALUE"""),"Resource")</f>
        <v/>
      </c>
      <c r="C580" s="6">
        <f>IFERROR(__xludf.DUMMYFUNCTION("""COMPUTED_VALUE"""),"Is Everyone a Leader?")</f>
        <v/>
      </c>
      <c r="D580" s="7">
        <f>IFERROR(__xludf.DUMMYFUNCTION("""COMPUTED_VALUE"""),"A question I get almost everywhere I go: “Is everyone a leader?”")</f>
        <v/>
      </c>
      <c r="E580" s="7">
        <f>IFERROR(__xludf.DUMMYFUNCTION("""COMPUTED_VALUE"""),"psychologytoday.com: Features articles on psychological topics, such as discussions on leadership.")</f>
        <v/>
      </c>
      <c r="F580" s="7" t="inlineStr">
        <is>
          <t>Students were given tasks and resources, including videos and articles, to explore leadership theories and types.</t>
        </is>
      </c>
      <c r="G580" s="8" t="inlineStr">
        <is>
          <t>1</t>
        </is>
      </c>
      <c r="H580" s="8" t="inlineStr">
        <is>
          <t>0</t>
        </is>
      </c>
      <c r="I580" s="8" t="inlineStr">
        <is>
          <t>0</t>
        </is>
      </c>
      <c r="J580" s="8" t="inlineStr">
        <is>
          <t>0</t>
        </is>
      </c>
      <c r="K580" s="9" t="inlineStr">
        <is>
          <t>1</t>
        </is>
      </c>
      <c r="L580" s="9" t="inlineStr">
        <is>
          <t>0</t>
        </is>
      </c>
      <c r="M580" s="9" t="inlineStr">
        <is>
          <t>0</t>
        </is>
      </c>
      <c r="N580" s="9" t="inlineStr">
        <is>
          <t>0</t>
        </is>
      </c>
      <c r="O580" s="10" t="inlineStr">
        <is>
          <t>1</t>
        </is>
      </c>
      <c r="P580" s="10" t="inlineStr">
        <is>
          <t>1</t>
        </is>
      </c>
      <c r="Q580" s="10" t="inlineStr">
        <is>
          <t>0</t>
        </is>
      </c>
      <c r="R580" s="10" t="inlineStr">
        <is>
          <t>0</t>
        </is>
      </c>
      <c r="S580" s="10" t="inlineStr">
        <is>
          <t>1</t>
        </is>
      </c>
    </row>
    <row r="581" ht="109" customHeight="1">
      <c r="A581" s="6">
        <f>IFERROR(__xludf.DUMMYFUNCTION("""COMPUTED_VALUE"""),"Leadership in your life")</f>
        <v/>
      </c>
      <c r="B581" s="6">
        <f>IFERROR(__xludf.DUMMYFUNCTION("""COMPUTED_VALUE"""),"Resource")</f>
        <v/>
      </c>
      <c r="C581" s="6">
        <f>IFERROR(__xludf.DUMMYFUNCTION("""COMPUTED_VALUE"""),"7 Common Leadership Styles: Which Type of a Leader Are You?")</f>
        <v/>
      </c>
      <c r="D581" s="7">
        <f>IFERROR(__xludf.DUMMYFUNCTION("""COMPUTED_VALUE"""),"‘Leadership is not a position or a title, it is action and example’ — Unknown")</f>
        <v/>
      </c>
      <c r="E581" s="7">
        <f>IFERROR(__xludf.DUMMYFUNCTION("""COMPUTED_VALUE"""),"blog.proofhub.com: The blog section of ProofHub provides articles on leadership styles and project management.")</f>
        <v/>
      </c>
      <c r="F581" s="7" t="inlineStr">
        <is>
          <t>Students are instructed to study articles on leadership and take notes, with embedded artifacts including psychologytoday.com and blog.proofhub.com.</t>
        </is>
      </c>
      <c r="G581" s="8" t="inlineStr">
        <is>
          <t>1</t>
        </is>
      </c>
      <c r="H581" s="8" t="inlineStr">
        <is>
          <t>0</t>
        </is>
      </c>
      <c r="I581" s="8" t="inlineStr">
        <is>
          <t>0</t>
        </is>
      </c>
      <c r="J581" s="8" t="inlineStr">
        <is>
          <t>0</t>
        </is>
      </c>
      <c r="K581" s="9" t="inlineStr">
        <is>
          <t>1</t>
        </is>
      </c>
      <c r="L581" s="9" t="inlineStr">
        <is>
          <t>0</t>
        </is>
      </c>
      <c r="M581" s="9" t="inlineStr">
        <is>
          <t>0</t>
        </is>
      </c>
      <c r="N581" s="9" t="inlineStr">
        <is>
          <t>0</t>
        </is>
      </c>
      <c r="O581" s="10" t="inlineStr">
        <is>
          <t>1</t>
        </is>
      </c>
      <c r="P581" s="10" t="inlineStr">
        <is>
          <t>0</t>
        </is>
      </c>
      <c r="Q581" s="10" t="inlineStr">
        <is>
          <t>0</t>
        </is>
      </c>
      <c r="R581" s="10" t="inlineStr">
        <is>
          <t>0</t>
        </is>
      </c>
      <c r="S581" s="10" t="inlineStr">
        <is>
          <t>0</t>
        </is>
      </c>
    </row>
    <row r="582" ht="37" customHeight="1">
      <c r="A582" s="6">
        <f>IFERROR(__xludf.DUMMYFUNCTION("""COMPUTED_VALUE"""),"Leadership in your life")</f>
        <v/>
      </c>
      <c r="B582" s="6">
        <f>IFERROR(__xludf.DUMMYFUNCTION("""COMPUTED_VALUE"""),"Space")</f>
        <v/>
      </c>
      <c r="C582" s="6">
        <f>IFERROR(__xludf.DUMMYFUNCTION("""COMPUTED_VALUE"""),"Investigation")</f>
        <v/>
      </c>
      <c r="D582" s="7">
        <f>IFERROR(__xludf.DUMMYFUNCTION("""COMPUTED_VALUE"""),"&lt;p&gt;Now let's do some practical tasks. &lt;/p&gt;")</f>
        <v/>
      </c>
      <c r="E582" s="7">
        <f>IFERROR(__xludf.DUMMYFUNCTION("""COMPUTED_VALUE"""),"No artifact embedded")</f>
        <v/>
      </c>
      <c r="F582" s="7" t="inlineStr">
        <is>
          <t>Students were given 3 tasks with descriptions about leadership, with Items 1 and 2 including embedded artifacts from psychologytoday.com and blog.proofhub.com.</t>
        </is>
      </c>
      <c r="G582" s="8" t="inlineStr">
        <is>
          <t>0</t>
        </is>
      </c>
      <c r="H582" s="8" t="inlineStr">
        <is>
          <t>1</t>
        </is>
      </c>
      <c r="I582" s="8" t="inlineStr">
        <is>
          <t>1</t>
        </is>
      </c>
      <c r="J582" s="8" t="inlineStr">
        <is>
          <t>0</t>
        </is>
      </c>
      <c r="K582" s="9" t="inlineStr">
        <is>
          <t>1</t>
        </is>
      </c>
      <c r="L582" s="9" t="inlineStr">
        <is>
          <t>0</t>
        </is>
      </c>
      <c r="M582" s="9" t="inlineStr">
        <is>
          <t>0</t>
        </is>
      </c>
      <c r="N582" s="9" t="inlineStr">
        <is>
          <t>0</t>
        </is>
      </c>
      <c r="O582" s="10" t="inlineStr">
        <is>
          <t>0</t>
        </is>
      </c>
      <c r="P582" s="10" t="inlineStr">
        <is>
          <t>0</t>
        </is>
      </c>
      <c r="Q582" s="10" t="inlineStr">
        <is>
          <t>0</t>
        </is>
      </c>
      <c r="R582" s="10" t="inlineStr">
        <is>
          <t>0</t>
        </is>
      </c>
      <c r="S582" s="10" t="inlineStr">
        <is>
          <t>0</t>
        </is>
      </c>
    </row>
    <row r="583" ht="406" customHeight="1">
      <c r="A583" s="6">
        <f>IFERROR(__xludf.DUMMYFUNCTION("""COMPUTED_VALUE"""),"Leadership in your life")</f>
        <v/>
      </c>
      <c r="B583" s="6">
        <f>IFERROR(__xludf.DUMMYFUNCTION("""COMPUTED_VALUE"""),"Resource")</f>
        <v/>
      </c>
      <c r="C583" s="6">
        <f>IFERROR(__xludf.DUMMYFUNCTION("""COMPUTED_VALUE"""),"Task 1")</f>
        <v/>
      </c>
      <c r="D583" s="7">
        <f>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
      </c>
      <c r="E583" s="7">
        <f>IFERROR(__xludf.DUMMYFUNCTION("""COMPUTED_VALUE"""),"image/jpeg – A digital photograph or web image stored in a compressed format, often used for photography and web graphics.")</f>
        <v/>
      </c>
      <c r="F583" s="7" t="inlineStr">
        <is>
          <t>Students were given tasks with descriptions and embedded artifacts, including a blog on leadership and a JPEG image, to complete practical exercises and answer questions on leadership styles.</t>
        </is>
      </c>
      <c r="G583" s="8" t="inlineStr">
        <is>
          <t>0</t>
        </is>
      </c>
      <c r="H583" s="8" t="inlineStr">
        <is>
          <t>0</t>
        </is>
      </c>
      <c r="I583" s="8" t="inlineStr">
        <is>
          <t>1</t>
        </is>
      </c>
      <c r="J583" s="8" t="inlineStr">
        <is>
          <t>1</t>
        </is>
      </c>
      <c r="K583" s="9" t="inlineStr">
        <is>
          <t>0</t>
        </is>
      </c>
      <c r="L583" s="9" t="inlineStr">
        <is>
          <t>1</t>
        </is>
      </c>
      <c r="M583" s="9" t="inlineStr">
        <is>
          <t>0</t>
        </is>
      </c>
      <c r="N583" s="9" t="inlineStr">
        <is>
          <t>0</t>
        </is>
      </c>
      <c r="O583" s="10" t="inlineStr">
        <is>
          <t>0</t>
        </is>
      </c>
      <c r="P583" s="10" t="inlineStr">
        <is>
          <t>0</t>
        </is>
      </c>
      <c r="Q583" s="10" t="inlineStr">
        <is>
          <t>0</t>
        </is>
      </c>
      <c r="R583" s="10" t="inlineStr">
        <is>
          <t>0</t>
        </is>
      </c>
      <c r="S583" s="10" t="inlineStr">
        <is>
          <t>1</t>
        </is>
      </c>
    </row>
    <row r="584" ht="409.5" customHeight="1">
      <c r="A584" s="6">
        <f>IFERROR(__xludf.DUMMYFUNCTION("""COMPUTED_VALUE"""),"Leadership in your life")</f>
        <v/>
      </c>
      <c r="B584" s="6">
        <f>IFERROR(__xludf.DUMMYFUNCTION("""COMPUTED_VALUE"""),"Resource")</f>
        <v/>
      </c>
      <c r="C584" s="6">
        <f>IFERROR(__xludf.DUMMYFUNCTION("""COMPUTED_VALUE"""),"Task 2")</f>
        <v/>
      </c>
      <c r="D584" s="7">
        <f>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
      </c>
      <c r="E584" s="7">
        <f>IFERROR(__xludf.DUMMYFUNCTION("""COMPUTED_VALUE"""),"image/jpeg – A digital photograph or web image stored in a compressed format, often used for photography and web graphics.")</f>
        <v/>
      </c>
      <c r="F584" s="7" t="inlineStr">
        <is>
          <t>Students are given tasks with descriptions and embedded images (jpeg) to complete leadership-related exercises.</t>
        </is>
      </c>
      <c r="G584" s="8" t="inlineStr">
        <is>
          <t>0</t>
        </is>
      </c>
      <c r="H584" s="8" t="inlineStr">
        <is>
          <t>0</t>
        </is>
      </c>
      <c r="I584" s="8" t="inlineStr">
        <is>
          <t>1</t>
        </is>
      </c>
      <c r="J584" s="8" t="inlineStr">
        <is>
          <t>1</t>
        </is>
      </c>
      <c r="K584" s="9" t="inlineStr">
        <is>
          <t>0</t>
        </is>
      </c>
      <c r="L584" s="9" t="inlineStr">
        <is>
          <t>0</t>
        </is>
      </c>
      <c r="M584" s="9" t="inlineStr">
        <is>
          <t>1</t>
        </is>
      </c>
      <c r="N584" s="9" t="inlineStr">
        <is>
          <t>1</t>
        </is>
      </c>
      <c r="O584" s="10" t="inlineStr">
        <is>
          <t>1</t>
        </is>
      </c>
      <c r="P584" s="10" t="inlineStr">
        <is>
          <t>0</t>
        </is>
      </c>
      <c r="Q584" s="10" t="inlineStr">
        <is>
          <t>0</t>
        </is>
      </c>
      <c r="R584" s="10" t="inlineStr">
        <is>
          <t>0</t>
        </is>
      </c>
      <c r="S584" s="10" t="inlineStr">
        <is>
          <t>1</t>
        </is>
      </c>
    </row>
    <row r="585" ht="409.5" customHeight="1">
      <c r="A585" s="6">
        <f>IFERROR(__xludf.DUMMYFUNCTION("""COMPUTED_VALUE"""),"Leadership in your life")</f>
        <v/>
      </c>
      <c r="B585" s="6">
        <f>IFERROR(__xludf.DUMMYFUNCTION("""COMPUTED_VALUE"""),"Space")</f>
        <v/>
      </c>
      <c r="C585" s="6">
        <f>IFERROR(__xludf.DUMMYFUNCTION("""COMPUTED_VALUE"""),"Discussion")</f>
        <v/>
      </c>
      <c r="D585" s="7">
        <f>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
      </c>
      <c r="E585" s="7">
        <f>IFERROR(__xludf.DUMMYFUNCTION("""COMPUTED_VALUE"""),"No artifact embedded")</f>
        <v/>
      </c>
      <c r="F585" s="7" t="inlineStr">
        <is>
          <t>Students answer leadership questions and discuss scenarios with various leader types, with image/jpeg artifacts embedded in Items 1 and 2.</t>
        </is>
      </c>
      <c r="G585" s="8" t="inlineStr">
        <is>
          <t>0</t>
        </is>
      </c>
      <c r="H585" s="8" t="inlineStr">
        <is>
          <t>0</t>
        </is>
      </c>
      <c r="I585" s="8" t="inlineStr">
        <is>
          <t>1</t>
        </is>
      </c>
      <c r="J585" s="8" t="inlineStr">
        <is>
          <t>1</t>
        </is>
      </c>
      <c r="K585" s="9" t="inlineStr">
        <is>
          <t>0</t>
        </is>
      </c>
      <c r="L585" s="9" t="inlineStr">
        <is>
          <t>1</t>
        </is>
      </c>
      <c r="M585" s="9" t="inlineStr">
        <is>
          <t>1</t>
        </is>
      </c>
      <c r="N585" s="9" t="inlineStr">
        <is>
          <t>0</t>
        </is>
      </c>
      <c r="O585" s="10" t="inlineStr">
        <is>
          <t>1</t>
        </is>
      </c>
      <c r="P585" s="10" t="inlineStr">
        <is>
          <t>1</t>
        </is>
      </c>
      <c r="Q585" s="10" t="inlineStr">
        <is>
          <t>0</t>
        </is>
      </c>
      <c r="R585" s="10" t="inlineStr">
        <is>
          <t>0</t>
        </is>
      </c>
      <c r="S585" s="10" t="inlineStr">
        <is>
          <t>1</t>
        </is>
      </c>
    </row>
    <row r="586" ht="121" customHeight="1">
      <c r="A586" s="6">
        <f>IFERROR(__xludf.DUMMYFUNCTION("""COMPUTED_VALUE"""),"Leadership in your life")</f>
        <v/>
      </c>
      <c r="B586" s="6">
        <f>IFERROR(__xludf.DUMMYFUNCTION("""COMPUTED_VALUE"""),"Resource")</f>
        <v/>
      </c>
      <c r="C586" s="6">
        <f>IFERROR(__xludf.DUMMYFUNCTION("""COMPUTED_VALUE"""),"Think about it!")</f>
        <v/>
      </c>
      <c r="D586" s="7">
        <f>IFERROR(__xludf.DUMMYFUNCTION("""COMPUTED_VALUE"""),"No task description")</f>
        <v/>
      </c>
      <c r="E586" s="7">
        <f>IFERROR(__xludf.DUMMYFUNCTION("""COMPUTED_VALUE"""),"image/jpeg – A digital photograph or web image stored in a compressed format, often used for photography and web graphics.")</f>
        <v/>
      </c>
      <c r="F586" s="7" t="inlineStr">
        <is>
          <t>Students discuss leadership styles and motivations through role-play and statements, with embedded images in Items 1 and 3.</t>
        </is>
      </c>
      <c r="G586" s="8" t="inlineStr">
        <is>
          <t>1</t>
        </is>
      </c>
      <c r="H586" s="8" t="inlineStr">
        <is>
          <t>0</t>
        </is>
      </c>
      <c r="I586" s="8" t="inlineStr">
        <is>
          <t>0</t>
        </is>
      </c>
      <c r="J586" s="8" t="inlineStr">
        <is>
          <t>0</t>
        </is>
      </c>
      <c r="K586" s="9" t="inlineStr">
        <is>
          <t>1</t>
        </is>
      </c>
      <c r="L586" s="9" t="inlineStr">
        <is>
          <t>0</t>
        </is>
      </c>
      <c r="M586" s="9" t="inlineStr">
        <is>
          <t>0</t>
        </is>
      </c>
      <c r="N586" s="9" t="inlineStr">
        <is>
          <t>0</t>
        </is>
      </c>
      <c r="O586" s="10" t="inlineStr">
        <is>
          <t>0</t>
        </is>
      </c>
      <c r="P586" s="10" t="inlineStr">
        <is>
          <t>0</t>
        </is>
      </c>
      <c r="Q586" s="10" t="inlineStr">
        <is>
          <t>0</t>
        </is>
      </c>
      <c r="R586" s="10" t="inlineStr">
        <is>
          <t>0</t>
        </is>
      </c>
      <c r="S586" s="10" t="inlineStr">
        <is>
          <t>0</t>
        </is>
      </c>
    </row>
    <row r="587" ht="409.5" customHeight="1">
      <c r="A587" s="6">
        <f>IFERROR(__xludf.DUMMYFUNCTION("""COMPUTED_VALUE"""),"Leadership in your life")</f>
        <v/>
      </c>
      <c r="B587" s="6">
        <f>IFERROR(__xludf.DUMMYFUNCTION("""COMPUTED_VALUE"""),"Space")</f>
        <v/>
      </c>
      <c r="C587" s="6">
        <f>IFERROR(__xludf.DUMMYFUNCTION("""COMPUTED_VALUE"""),"Conclusion")</f>
        <v/>
      </c>
      <c r="D587" s="7">
        <f>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
      </c>
      <c r="E587" s="7">
        <f>IFERROR(__xludf.DUMMYFUNCTION("""COMPUTED_VALUE"""),"No artifact embedded")</f>
        <v/>
      </c>
      <c r="F587" s="7" t="inlineStr">
        <is>
          <t>Students were asked to read statements about leadership, agree or disagree, and provide proof. Embedded artifacts include a digital photograph and no other files.</t>
        </is>
      </c>
      <c r="G587" s="8" t="inlineStr">
        <is>
          <t>1</t>
        </is>
      </c>
      <c r="H587" s="8" t="inlineStr">
        <is>
          <t>0</t>
        </is>
      </c>
      <c r="I587" s="8" t="inlineStr">
        <is>
          <t>0</t>
        </is>
      </c>
      <c r="J587" s="8" t="inlineStr">
        <is>
          <t>1</t>
        </is>
      </c>
      <c r="K587" s="9" t="inlineStr">
        <is>
          <t>1</t>
        </is>
      </c>
      <c r="L587" s="9" t="inlineStr">
        <is>
          <t>0</t>
        </is>
      </c>
      <c r="M587" s="9" t="inlineStr">
        <is>
          <t>0</t>
        </is>
      </c>
      <c r="N587" s="9" t="inlineStr">
        <is>
          <t>0</t>
        </is>
      </c>
      <c r="O587" s="10" t="inlineStr">
        <is>
          <t>1</t>
        </is>
      </c>
      <c r="P587" s="10" t="inlineStr">
        <is>
          <t>0</t>
        </is>
      </c>
      <c r="Q587" s="10" t="inlineStr">
        <is>
          <t>0</t>
        </is>
      </c>
      <c r="R587" s="10" t="inlineStr">
        <is>
          <t>0</t>
        </is>
      </c>
      <c r="S587" s="10" t="inlineStr">
        <is>
          <t>0</t>
        </is>
      </c>
    </row>
    <row r="588" ht="133" customHeight="1">
      <c r="A588" s="6">
        <f>IFERROR(__xludf.DUMMYFUNCTION("""COMPUTED_VALUE"""),"Leadership in your life")</f>
        <v/>
      </c>
      <c r="B588" s="6">
        <f>IFERROR(__xludf.DUMMYFUNCTION("""COMPUTED_VALUE"""),"Resource")</f>
        <v/>
      </c>
      <c r="C588" s="6">
        <f>IFERROR(__xludf.DUMMYFUNCTION("""COMPUTED_VALUE"""),"Take the Quiz! What Type of Leader Are You? | SEU Online")</f>
        <v/>
      </c>
      <c r="D588" s="7">
        <f>IFERROR(__xludf.DUMMYFUNCTION("""COMPUTED_VALUE"""),"How do you lead, and how do you prefer to be led? What personality do you look for in a boss? What type of leadership style do you have? Take the quiz here.")</f>
        <v/>
      </c>
      <c r="E588" s="7">
        <f>IFERROR(__xludf.DUMMYFUNCTION("""COMPUTED_VALUE"""),"online.seu.edu: Southeastern University's online platform, offering articles and quizzes on topics like leadership styles.")</f>
        <v/>
      </c>
      <c r="F588" s="7" t="inlineStr">
        <is>
          <t>Students are instructed to reflect on leadership styles. Embedded artifacts include an image/jpeg file and a link to Southeastern University's online platform with leadership quizzes.</t>
        </is>
      </c>
      <c r="G588" s="8" t="inlineStr">
        <is>
          <t>0</t>
        </is>
      </c>
      <c r="H588" s="8" t="inlineStr">
        <is>
          <t>1</t>
        </is>
      </c>
      <c r="I588" s="8" t="inlineStr">
        <is>
          <t>1</t>
        </is>
      </c>
      <c r="J588" s="8" t="inlineStr">
        <is>
          <t>1</t>
        </is>
      </c>
      <c r="K588" s="9" t="inlineStr">
        <is>
          <t>1</t>
        </is>
      </c>
      <c r="L588" s="9" t="inlineStr">
        <is>
          <t>1</t>
        </is>
      </c>
      <c r="M588" s="9" t="inlineStr">
        <is>
          <t>0</t>
        </is>
      </c>
      <c r="N588" s="9" t="inlineStr">
        <is>
          <t>0</t>
        </is>
      </c>
      <c r="O588" s="10" t="inlineStr">
        <is>
          <t>1</t>
        </is>
      </c>
      <c r="P588" s="10" t="inlineStr">
        <is>
          <t>1</t>
        </is>
      </c>
      <c r="Q588" s="10" t="inlineStr">
        <is>
          <t>0</t>
        </is>
      </c>
      <c r="R588" s="10" t="inlineStr">
        <is>
          <t>0</t>
        </is>
      </c>
      <c r="S588" s="10" t="inlineStr">
        <is>
          <t>1</t>
        </is>
      </c>
    </row>
    <row r="589" ht="241" customHeight="1">
      <c r="A589" s="6">
        <f>IFERROR(__xludf.DUMMYFUNCTION("""COMPUTED_VALUE"""),"Leadership in your life")</f>
        <v/>
      </c>
      <c r="B589" s="6">
        <f>IFERROR(__xludf.DUMMYFUNCTION("""COMPUTED_VALUE"""),"Space")</f>
        <v/>
      </c>
      <c r="C589" s="6">
        <f>IFERROR(__xludf.DUMMYFUNCTION("""COMPUTED_VALUE"""),"Homework")</f>
        <v/>
      </c>
      <c r="D589" s="7">
        <f>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
      </c>
      <c r="E589" s="7">
        <f>IFERROR(__xludf.DUMMYFUNCTION("""COMPUTED_VALUE"""),"No artifact embedded")</f>
        <v/>
      </c>
      <c r="F589" s="7" t="inlineStr">
        <is>
          <t>Students are instructed to take quizzes and write essays on leadership styles, with an online platform and video provided as resources.</t>
        </is>
      </c>
      <c r="G589" s="8" t="inlineStr">
        <is>
          <t>0</t>
        </is>
      </c>
      <c r="H589" s="8" t="inlineStr">
        <is>
          <t>0</t>
        </is>
      </c>
      <c r="I589" s="8" t="inlineStr">
        <is>
          <t>1</t>
        </is>
      </c>
      <c r="J589" s="8" t="inlineStr">
        <is>
          <t>0</t>
        </is>
      </c>
      <c r="K589" s="9" t="inlineStr">
        <is>
          <t>0</t>
        </is>
      </c>
      <c r="L589" s="9" t="inlineStr">
        <is>
          <t>1</t>
        </is>
      </c>
      <c r="M589" s="9" t="inlineStr">
        <is>
          <t>0</t>
        </is>
      </c>
      <c r="N589" s="9" t="inlineStr">
        <is>
          <t>0</t>
        </is>
      </c>
      <c r="O589" s="10" t="inlineStr">
        <is>
          <t>0</t>
        </is>
      </c>
      <c r="P589" s="10" t="inlineStr">
        <is>
          <t>1</t>
        </is>
      </c>
      <c r="Q589" s="10" t="inlineStr">
        <is>
          <t>0</t>
        </is>
      </c>
      <c r="R589" s="10" t="inlineStr">
        <is>
          <t>0</t>
        </is>
      </c>
      <c r="S589" s="10" t="inlineStr">
        <is>
          <t>0</t>
        </is>
      </c>
    </row>
    <row r="590" ht="409.5" customHeight="1">
      <c r="A590" s="6">
        <f>IFERROR(__xludf.DUMMYFUNCTION("""COMPUTED_VALUE"""),"Leadership in your life")</f>
        <v/>
      </c>
      <c r="B590" s="6">
        <f>IFERROR(__xludf.DUMMYFUNCTION("""COMPUTED_VALUE"""),"Resource")</f>
        <v/>
      </c>
      <c r="C590" s="6">
        <f>IFERROR(__xludf.DUMMYFUNCTION("""COMPUTED_VALUE"""),"Great leadership starts with self-leadership | Lars Sudmann | TEDxUCLouvain")</f>
        <v/>
      </c>
      <c r="D590" s="7">
        <f>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
      </c>
      <c r="E590" s="7">
        <f>IFERROR(__xludf.DUMMYFUNCTION("""COMPUTED_VALUE"""),"youtube.com: A widely known video-sharing platform where users can watch videos on a vast array of topics, including educational content.")</f>
        <v/>
      </c>
      <c r="F590" s="7" t="inlineStr">
        <is>
          <t>Students take quizzes, write essays, and watch videos on leadership styles, with embedded artifacts from online platforms like Southeastern University and YouTube.</t>
        </is>
      </c>
      <c r="G590" s="8" t="inlineStr">
        <is>
          <t>1</t>
        </is>
      </c>
      <c r="H590" s="8" t="inlineStr">
        <is>
          <t>0</t>
        </is>
      </c>
      <c r="I590" s="8" t="inlineStr">
        <is>
          <t>0</t>
        </is>
      </c>
      <c r="J590" s="8" t="inlineStr">
        <is>
          <t>0</t>
        </is>
      </c>
      <c r="K590" s="9" t="inlineStr">
        <is>
          <t>1</t>
        </is>
      </c>
      <c r="L590" s="9" t="inlineStr">
        <is>
          <t>0</t>
        </is>
      </c>
      <c r="M590" s="9" t="inlineStr">
        <is>
          <t>0</t>
        </is>
      </c>
      <c r="N590" s="9" t="inlineStr">
        <is>
          <t>0</t>
        </is>
      </c>
      <c r="O590" s="10" t="inlineStr">
        <is>
          <t>1</t>
        </is>
      </c>
      <c r="P590" s="10" t="inlineStr">
        <is>
          <t>0</t>
        </is>
      </c>
      <c r="Q590" s="10" t="inlineStr">
        <is>
          <t>0</t>
        </is>
      </c>
      <c r="R590" s="10" t="inlineStr">
        <is>
          <t>0</t>
        </is>
      </c>
      <c r="S590" s="10" t="inlineStr">
        <is>
          <t>0</t>
        </is>
      </c>
    </row>
    <row r="591" ht="37" customHeight="1">
      <c r="A591" s="6">
        <f>IFERROR(__xludf.DUMMYFUNCTION("""COMPUTED_VALUE"""),"PH OF SOLUTIONS")</f>
        <v/>
      </c>
      <c r="B591" s="6">
        <f>IFERROR(__xludf.DUMMYFUNCTION("""COMPUTED_VALUE"""),"Space")</f>
        <v/>
      </c>
      <c r="C591" s="6">
        <f>IFERROR(__xludf.DUMMYFUNCTION("""COMPUTED_VALUE"""),"ENGAGE")</f>
        <v/>
      </c>
      <c r="D591" s="7">
        <f>IFERROR(__xludf.DUMMYFUNCTION("""COMPUTED_VALUE"""),"&lt;p&gt;Form 2The ph of solutions lesson 2&lt;/p&gt;")</f>
        <v/>
      </c>
      <c r="E591" s="7">
        <f>IFERROR(__xludf.DUMMYFUNCTION("""COMPUTED_VALUE"""),"No artifact embedded")</f>
        <v/>
      </c>
      <c r="F591" s="7" t="inlineStr">
        <is>
          <t>Students were instructed to write essays and watch videos on leadership topics, with some items having embedded artifacts like YouTube videos.</t>
        </is>
      </c>
      <c r="G591" s="8" t="inlineStr">
        <is>
          <t>0</t>
        </is>
      </c>
      <c r="H591" s="8" t="inlineStr">
        <is>
          <t>0</t>
        </is>
      </c>
      <c r="I591" s="8" t="inlineStr">
        <is>
          <t>0</t>
        </is>
      </c>
      <c r="J591" s="8" t="inlineStr">
        <is>
          <t>0</t>
        </is>
      </c>
      <c r="K591" s="9" t="inlineStr">
        <is>
          <t>0</t>
        </is>
      </c>
      <c r="L591" s="9" t="inlineStr">
        <is>
          <t>0</t>
        </is>
      </c>
      <c r="M591" s="9" t="inlineStr">
        <is>
          <t>0</t>
        </is>
      </c>
      <c r="N591" s="9" t="inlineStr">
        <is>
          <t>0</t>
        </is>
      </c>
      <c r="O591" s="10" t="inlineStr">
        <is>
          <t>0</t>
        </is>
      </c>
      <c r="P591" s="10" t="inlineStr">
        <is>
          <t>0</t>
        </is>
      </c>
      <c r="Q591" s="10" t="inlineStr">
        <is>
          <t>0</t>
        </is>
      </c>
      <c r="R591" s="10" t="inlineStr">
        <is>
          <t>0</t>
        </is>
      </c>
      <c r="S591" s="10" t="inlineStr">
        <is>
          <t>0</t>
        </is>
      </c>
    </row>
    <row r="592" ht="97" customHeight="1">
      <c r="A592" s="6">
        <f>IFERROR(__xludf.DUMMYFUNCTION("""COMPUTED_VALUE"""),"PH OF SOLUTIONS")</f>
        <v/>
      </c>
      <c r="B592" s="6">
        <f>IFERROR(__xludf.DUMMYFUNCTION("""COMPUTED_VALUE"""),"Resource")</f>
        <v/>
      </c>
      <c r="C592" s="6">
        <f>IFERROR(__xludf.DUMMYFUNCTION("""COMPUTED_VALUE"""),"observe the folowing diagram and answer the questios that follow,.graasp")</f>
        <v/>
      </c>
      <c r="D592" s="7">
        <f>IFERROR(__xludf.DUMMYFUNCTION("""COMPUTED_VALUE"""),"&lt;p&gt;predict the colour changes.&lt;/p&gt;&lt;p&gt;what happens if water is add to the solution?&lt;/p&gt;&lt;p&gt;&lt;br&gt;&lt;/p&gt;")</f>
        <v/>
      </c>
      <c r="E592" s="7">
        <f>IFERROR(__xludf.DUMMYFUNCTION("""COMPUTED_VALUE"""),"No artifact embedded")</f>
        <v/>
      </c>
      <c r="F592" s="7" t="inlineStr">
        <is>
          <t>Students are given tasks with descriptions and some have embedded artifacts like a YouTube video, while others have none.</t>
        </is>
      </c>
      <c r="G592" s="8" t="inlineStr">
        <is>
          <t>0</t>
        </is>
      </c>
      <c r="H592" s="8" t="inlineStr">
        <is>
          <t>0</t>
        </is>
      </c>
      <c r="I592" s="8" t="inlineStr">
        <is>
          <t>1</t>
        </is>
      </c>
      <c r="J592" s="8" t="inlineStr">
        <is>
          <t>1</t>
        </is>
      </c>
      <c r="K592" s="9" t="inlineStr">
        <is>
          <t>1</t>
        </is>
      </c>
      <c r="L592" s="9" t="inlineStr">
        <is>
          <t>1</t>
        </is>
      </c>
      <c r="M592" s="9" t="inlineStr">
        <is>
          <t>0</t>
        </is>
      </c>
      <c r="N592" s="9" t="inlineStr">
        <is>
          <t>0</t>
        </is>
      </c>
      <c r="O592" s="10" t="inlineStr">
        <is>
          <t>1</t>
        </is>
      </c>
      <c r="P592" s="10" t="inlineStr">
        <is>
          <t>1</t>
        </is>
      </c>
      <c r="Q592" s="10" t="inlineStr">
        <is>
          <t>1</t>
        </is>
      </c>
      <c r="R592" s="10" t="inlineStr">
        <is>
          <t>0</t>
        </is>
      </c>
      <c r="S592" s="10" t="inlineStr">
        <is>
          <t>0</t>
        </is>
      </c>
    </row>
    <row r="593" ht="409.5" customHeight="1">
      <c r="A593" s="6">
        <f>IFERROR(__xludf.DUMMYFUNCTION("""COMPUTED_VALUE"""),"PH OF SOLUTIONS")</f>
        <v/>
      </c>
      <c r="B593" s="6">
        <f>IFERROR(__xludf.DUMMYFUNCTION("""COMPUTED_VALUE"""),"Application")</f>
        <v/>
      </c>
      <c r="C593" s="6">
        <f>IFERROR(__xludf.DUMMYFUNCTION("""COMPUTED_VALUE"""),"pH Scale: Basics")</f>
        <v/>
      </c>
      <c r="D593" s="7">
        <f>IFERROR(__xludf.DUMMYFUNCTION("""COMPUTED_VALUE"""),"No task description")</f>
        <v/>
      </c>
      <c r="E593" s="7">
        <f>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
      </c>
      <c r="F593" s="7" t="inlineStr">
        <is>
          <t>Students predict color changes and test pH levels using Golabz app, exploring acidic, basic, and neutral solutions.</t>
        </is>
      </c>
      <c r="G593" s="8" t="inlineStr">
        <is>
          <t>0</t>
        </is>
      </c>
      <c r="H593" s="8" t="inlineStr">
        <is>
          <t>1</t>
        </is>
      </c>
      <c r="I593" s="8" t="inlineStr">
        <is>
          <t>1</t>
        </is>
      </c>
      <c r="J593" s="8" t="inlineStr">
        <is>
          <t>1</t>
        </is>
      </c>
      <c r="K593" s="9" t="inlineStr">
        <is>
          <t>1</t>
        </is>
      </c>
      <c r="L593" s="9" t="inlineStr">
        <is>
          <t>1</t>
        </is>
      </c>
      <c r="M593" s="9" t="inlineStr">
        <is>
          <t>0</t>
        </is>
      </c>
      <c r="N593" s="9" t="inlineStr">
        <is>
          <t>0</t>
        </is>
      </c>
      <c r="O593" s="10" t="inlineStr">
        <is>
          <t>1</t>
        </is>
      </c>
      <c r="P593" s="10" t="inlineStr">
        <is>
          <t>0</t>
        </is>
      </c>
      <c r="Q593" s="10" t="inlineStr">
        <is>
          <t>1</t>
        </is>
      </c>
      <c r="R593" s="10" t="inlineStr">
        <is>
          <t>0</t>
        </is>
      </c>
      <c r="S593" s="10" t="inlineStr">
        <is>
          <t>0</t>
        </is>
      </c>
    </row>
    <row r="594" ht="217" customHeight="1">
      <c r="A594" s="6">
        <f>IFERROR(__xludf.DUMMYFUNCTION("""COMPUTED_VALUE"""),"PH OF SOLUTIONS")</f>
        <v/>
      </c>
      <c r="B594" s="6">
        <f>IFERROR(__xludf.DUMMYFUNCTION("""COMPUTED_VALUE"""),"Space")</f>
        <v/>
      </c>
      <c r="C594" s="6">
        <f>IFERROR(__xludf.DUMMYFUNCTION("""COMPUTED_VALUE"""),"EXPLORE")</f>
        <v/>
      </c>
      <c r="D594" s="7">
        <f>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
      </c>
      <c r="E594" s="7">
        <f>IFERROR(__xludf.DUMMYFUNCTION("""COMPUTED_VALUE"""),"No artifact embedded")</f>
        <v/>
      </c>
      <c r="F594" s="7" t="inlineStr">
        <is>
          <t>Students predict color changes and test pH levels using the Golabz app/lab, investigating effects of dilution and volume changes on acidic, basic, or neutral substances.</t>
        </is>
      </c>
      <c r="G594" s="8" t="inlineStr">
        <is>
          <t>0</t>
        </is>
      </c>
      <c r="H594" s="8" t="inlineStr">
        <is>
          <t>1</t>
        </is>
      </c>
      <c r="I594" s="8" t="inlineStr">
        <is>
          <t>1</t>
        </is>
      </c>
      <c r="J594" s="8" t="inlineStr">
        <is>
          <t>1</t>
        </is>
      </c>
      <c r="K594" s="9" t="inlineStr">
        <is>
          <t>0</t>
        </is>
      </c>
      <c r="L594" s="9" t="inlineStr">
        <is>
          <t>1</t>
        </is>
      </c>
      <c r="M594" s="9" t="inlineStr">
        <is>
          <t>0</t>
        </is>
      </c>
      <c r="N594" s="9" t="inlineStr">
        <is>
          <t>0</t>
        </is>
      </c>
      <c r="O594" s="10" t="inlineStr">
        <is>
          <t>0</t>
        </is>
      </c>
      <c r="P594" s="10" t="inlineStr">
        <is>
          <t>1</t>
        </is>
      </c>
      <c r="Q594" s="10" t="inlineStr">
        <is>
          <t>1</t>
        </is>
      </c>
      <c r="R594" s="10" t="inlineStr">
        <is>
          <t>0</t>
        </is>
      </c>
      <c r="S594" s="10" t="inlineStr">
        <is>
          <t>0</t>
        </is>
      </c>
    </row>
    <row r="595" ht="73" customHeight="1">
      <c r="A595" s="6">
        <f>IFERROR(__xludf.DUMMYFUNCTION("""COMPUTED_VALUE"""),"PH OF SOLUTIONS")</f>
        <v/>
      </c>
      <c r="B595" s="6">
        <f>IFERROR(__xludf.DUMMYFUNCTION("""COMPUTED_VALUE"""),"Application")</f>
        <v/>
      </c>
      <c r="C595" s="6">
        <f>IFERROR(__xludf.DUMMYFUNCTION("""COMPUTED_VALUE"""),"Determination of pH")</f>
        <v/>
      </c>
      <c r="D595" s="7">
        <f>IFERROR(__xludf.DUMMYFUNCTION("""COMPUTED_VALUE"""),"No task description")</f>
        <v/>
      </c>
      <c r="E595" s="7">
        <f>IFERROR(__xludf.DUMMYFUNCTION("""COMPUTED_VALUE"""),"Golabz app/lab: ""&lt;p&gt;With this lab you will learn how to determine the ph of bases and acids.&lt;/p&gt;""")</f>
        <v/>
      </c>
      <c r="F595" s="7" t="inlineStr">
        <is>
          <t>Students test pH levels, visualize ion concentrations, and investigate volume/dilution effects using Golabz app/lab.</t>
        </is>
      </c>
      <c r="G595" s="8" t="inlineStr">
        <is>
          <t>1</t>
        </is>
      </c>
      <c r="H595" s="8" t="inlineStr">
        <is>
          <t>1</t>
        </is>
      </c>
      <c r="I595" s="8" t="inlineStr">
        <is>
          <t>0</t>
        </is>
      </c>
      <c r="J595" s="8" t="inlineStr">
        <is>
          <t>0</t>
        </is>
      </c>
      <c r="K595" s="9" t="inlineStr">
        <is>
          <t>1</t>
        </is>
      </c>
      <c r="L595" s="9" t="inlineStr">
        <is>
          <t>0</t>
        </is>
      </c>
      <c r="M595" s="9" t="inlineStr">
        <is>
          <t>0</t>
        </is>
      </c>
      <c r="N595" s="9" t="inlineStr">
        <is>
          <t>0</t>
        </is>
      </c>
      <c r="O595" s="10" t="inlineStr">
        <is>
          <t>1</t>
        </is>
      </c>
      <c r="P595" s="10" t="inlineStr">
        <is>
          <t>0</t>
        </is>
      </c>
      <c r="Q595" s="10" t="inlineStr">
        <is>
          <t>0</t>
        </is>
      </c>
      <c r="R595" s="10" t="inlineStr">
        <is>
          <t>0</t>
        </is>
      </c>
      <c r="S595" s="10" t="inlineStr">
        <is>
          <t>0</t>
        </is>
      </c>
    </row>
    <row r="596" ht="25" customHeight="1">
      <c r="A596" s="6">
        <f>IFERROR(__xludf.DUMMYFUNCTION("""COMPUTED_VALUE"""),"PH OF SOLUTIONS")</f>
        <v/>
      </c>
      <c r="B596" s="6">
        <f>IFERROR(__xludf.DUMMYFUNCTION("""COMPUTED_VALUE"""),"Space")</f>
        <v/>
      </c>
      <c r="C596" s="6">
        <f>IFERROR(__xludf.DUMMYFUNCTION("""COMPUTED_VALUE"""),"EXPLAIN")</f>
        <v/>
      </c>
      <c r="D596" s="7">
        <f>IFERROR(__xludf.DUMMYFUNCTION("""COMPUTED_VALUE"""),"No task description")</f>
        <v/>
      </c>
      <c r="E596" s="7">
        <f>IFERROR(__xludf.DUMMYFUNCTION("""COMPUTED_VALUE"""),"No artifact embedded")</f>
        <v/>
      </c>
      <c r="F596" s="7" t="inlineStr">
        <is>
          <t>Students test pH of coffee and soap, investigating effects of volume changes. Artifacts include a Golabz app/lab on pH determination.</t>
        </is>
      </c>
      <c r="G596" s="8" t="inlineStr">
        <is>
          <t>0</t>
        </is>
      </c>
      <c r="H596" s="8" t="inlineStr">
        <is>
          <t>0</t>
        </is>
      </c>
      <c r="I596" s="8" t="inlineStr">
        <is>
          <t>0</t>
        </is>
      </c>
      <c r="J596" s="8" t="inlineStr">
        <is>
          <t>0</t>
        </is>
      </c>
      <c r="K596" s="9" t="inlineStr">
        <is>
          <t>0</t>
        </is>
      </c>
      <c r="L596" s="9" t="inlineStr">
        <is>
          <t>0</t>
        </is>
      </c>
      <c r="M596" s="9" t="inlineStr">
        <is>
          <t>0</t>
        </is>
      </c>
      <c r="N596" s="9" t="inlineStr">
        <is>
          <t>0</t>
        </is>
      </c>
      <c r="O596" s="10" t="inlineStr">
        <is>
          <t>0</t>
        </is>
      </c>
      <c r="P596" s="10" t="inlineStr">
        <is>
          <t>0</t>
        </is>
      </c>
      <c r="Q596" s="10" t="inlineStr">
        <is>
          <t>0</t>
        </is>
      </c>
      <c r="R596" s="10" t="inlineStr">
        <is>
          <t>0</t>
        </is>
      </c>
      <c r="S596" s="10" t="inlineStr">
        <is>
          <t>0</t>
        </is>
      </c>
    </row>
    <row r="597" ht="109" customHeight="1">
      <c r="A597" s="6">
        <f>IFERROR(__xludf.DUMMYFUNCTION("""COMPUTED_VALUE"""),"PH OF SOLUTIONS")</f>
        <v/>
      </c>
      <c r="B597" s="6">
        <f>IFERROR(__xludf.DUMMYFUNCTION("""COMPUTED_VALUE"""),"Space")</f>
        <v/>
      </c>
      <c r="C597" s="6">
        <f>IFERROR(__xludf.DUMMYFUNCTION("""COMPUTED_VALUE"""),"ELABORATE")</f>
        <v/>
      </c>
      <c r="D597" s="7">
        <f>IFERROR(__xludf.DUMMYFUNCTION("""COMPUTED_VALUE"""),"&lt;p&gt;when an acid reacts with a basic solution it forms a neutral solution.&lt;/p&gt;&lt;p&gt;An acid has a ph of 1-6 while a base as a ph of 8-14.&lt;/p&gt;")</f>
        <v/>
      </c>
      <c r="E597" s="7">
        <f>IFERROR(__xludf.DUMMYFUNCTION("""COMPUTED_VALUE"""),"No artifact embedded")</f>
        <v/>
      </c>
      <c r="F597" s="7" t="inlineStr">
        <is>
          <t>Students learn about pH levels, acids, and bases. Embedded artifacts include the Golabz app/lab in Item 1.</t>
        </is>
      </c>
      <c r="G597" s="8" t="inlineStr">
        <is>
          <t>1</t>
        </is>
      </c>
      <c r="H597" s="8" t="inlineStr">
        <is>
          <t>0</t>
        </is>
      </c>
      <c r="I597" s="8" t="inlineStr">
        <is>
          <t>0</t>
        </is>
      </c>
      <c r="J597" s="8" t="inlineStr">
        <is>
          <t>0</t>
        </is>
      </c>
      <c r="K597" s="9" t="inlineStr">
        <is>
          <t>1</t>
        </is>
      </c>
      <c r="L597" s="9" t="inlineStr">
        <is>
          <t>0</t>
        </is>
      </c>
      <c r="M597" s="9" t="inlineStr">
        <is>
          <t>0</t>
        </is>
      </c>
      <c r="N597" s="9" t="inlineStr">
        <is>
          <t>0</t>
        </is>
      </c>
      <c r="O597" s="10" t="inlineStr">
        <is>
          <t>0</t>
        </is>
      </c>
      <c r="P597" s="10" t="inlineStr">
        <is>
          <t>0</t>
        </is>
      </c>
      <c r="Q597" s="10" t="inlineStr">
        <is>
          <t>0</t>
        </is>
      </c>
      <c r="R597" s="10" t="inlineStr">
        <is>
          <t>0</t>
        </is>
      </c>
      <c r="S597" s="10" t="inlineStr">
        <is>
          <t>0</t>
        </is>
      </c>
    </row>
    <row r="598" ht="409.5" customHeight="1">
      <c r="A598" s="6">
        <f>IFERROR(__xludf.DUMMYFUNCTION("""COMPUTED_VALUE"""),"PH OF SOLUTIONS")</f>
        <v/>
      </c>
      <c r="B598" s="6">
        <f>IFERROR(__xludf.DUMMYFUNCTION("""COMPUTED_VALUE"""),"Application")</f>
        <v/>
      </c>
      <c r="C598" s="6">
        <f>IFERROR(__xludf.DUMMYFUNCTION("""COMPUTED_VALUE"""),"Acid base solution")</f>
        <v/>
      </c>
      <c r="D598" s="7">
        <f>IFERROR(__xludf.DUMMYFUNCTION("""COMPUTED_VALUE"""),"No task description")</f>
        <v/>
      </c>
      <c r="E598" s="7">
        <f>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
      </c>
      <c r="F598" s="7" t="inlineStr">
        <is>
          <t>Students are given tasks on acids and bases with no descriptions for Items 1 and 3, while Item 2 provides a description. Item 3 has an embedded artifact, the Golabz app/lab, for exploring acid and base strengths.</t>
        </is>
      </c>
      <c r="G598" s="8" t="inlineStr">
        <is>
          <t>0</t>
        </is>
      </c>
      <c r="H598" s="8" t="inlineStr">
        <is>
          <t>1</t>
        </is>
      </c>
      <c r="I598" s="8" t="inlineStr">
        <is>
          <t>1</t>
        </is>
      </c>
      <c r="J598" s="8" t="inlineStr">
        <is>
          <t>1</t>
        </is>
      </c>
      <c r="K598" s="9" t="inlineStr">
        <is>
          <t>0</t>
        </is>
      </c>
      <c r="L598" s="9" t="inlineStr">
        <is>
          <t>1</t>
        </is>
      </c>
      <c r="M598" s="9" t="inlineStr">
        <is>
          <t>0</t>
        </is>
      </c>
      <c r="N598" s="9" t="inlineStr">
        <is>
          <t>0</t>
        </is>
      </c>
      <c r="O598" s="10" t="inlineStr">
        <is>
          <t>1</t>
        </is>
      </c>
      <c r="P598" s="10" t="inlineStr">
        <is>
          <t>1</t>
        </is>
      </c>
      <c r="Q598" s="10" t="inlineStr">
        <is>
          <t>1</t>
        </is>
      </c>
      <c r="R598" s="10" t="inlineStr">
        <is>
          <t>0</t>
        </is>
      </c>
      <c r="S598" s="10" t="inlineStr">
        <is>
          <t>0</t>
        </is>
      </c>
    </row>
    <row r="599" ht="25" customHeight="1">
      <c r="A599" s="6">
        <f>IFERROR(__xludf.DUMMYFUNCTION("""COMPUTED_VALUE"""),"PH OF SOLUTIONS")</f>
        <v/>
      </c>
      <c r="B599" s="6">
        <f>IFERROR(__xludf.DUMMYFUNCTION("""COMPUTED_VALUE"""),"Space")</f>
        <v/>
      </c>
      <c r="C599" s="6">
        <f>IFERROR(__xludf.DUMMYFUNCTION("""COMPUTED_VALUE"""),"EVALUATE")</f>
        <v/>
      </c>
      <c r="D599" s="7">
        <f>IFERROR(__xludf.DUMMYFUNCTION("""COMPUTED_VALUE"""),"No task description")</f>
        <v/>
      </c>
      <c r="E599" s="7">
        <f>IFERROR(__xludf.DUMMYFUNCTION("""COMPUTED_VALUE"""),"No artifact embedded")</f>
        <v/>
      </c>
      <c r="F599" s="7" t="inlineStr">
        <is>
          <t>Students are instructed to explore acid-base reactions and properties using the Golabz app/lab, with tasks including measuring pH, identifying molecules and ions, and comparing concentrations.</t>
        </is>
      </c>
      <c r="G599" s="8" t="inlineStr">
        <is>
          <t>0</t>
        </is>
      </c>
      <c r="H599" s="8" t="inlineStr">
        <is>
          <t>0</t>
        </is>
      </c>
      <c r="I599" s="8" t="inlineStr">
        <is>
          <t>0</t>
        </is>
      </c>
      <c r="J599" s="8" t="inlineStr">
        <is>
          <t>0</t>
        </is>
      </c>
      <c r="K599" s="9" t="inlineStr">
        <is>
          <t>0</t>
        </is>
      </c>
      <c r="L599" s="9" t="inlineStr">
        <is>
          <t>0</t>
        </is>
      </c>
      <c r="M599" s="9" t="inlineStr">
        <is>
          <t>0</t>
        </is>
      </c>
      <c r="N599" s="9" t="inlineStr">
        <is>
          <t>0</t>
        </is>
      </c>
      <c r="O599" s="10" t="inlineStr">
        <is>
          <t>0</t>
        </is>
      </c>
      <c r="P599" s="10" t="inlineStr">
        <is>
          <t>0</t>
        </is>
      </c>
      <c r="Q599" s="10" t="inlineStr">
        <is>
          <t>0</t>
        </is>
      </c>
      <c r="R599" s="10" t="inlineStr">
        <is>
          <t>0</t>
        </is>
      </c>
      <c r="S599" s="10" t="inlineStr">
        <is>
          <t>0</t>
        </is>
      </c>
    </row>
    <row r="600" ht="329" customHeight="1">
      <c r="A600" s="6">
        <f>IFERROR(__xludf.DUMMYFUNCTION("""COMPUTED_VALUE"""),"PH OF SOLUTIONS")</f>
        <v/>
      </c>
      <c r="B600" s="6">
        <f>IFERROR(__xludf.DUMMYFUNCTION("""COMPUTED_VALUE"""),"Application")</f>
        <v/>
      </c>
      <c r="C600" s="6">
        <f>IFERROR(__xludf.DUMMYFUNCTION("""COMPUTED_VALUE"""),"Input Box")</f>
        <v/>
      </c>
      <c r="D600" s="7">
        <f>IFERROR(__xludf.DUMMYFUNCTION("""COMPUTED_VALUE"""),"No task description")</f>
        <v/>
      </c>
      <c r="E6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0" s="7" t="inlineStr">
        <is>
          <t>Students use Golabz lab tools to explore acid and base strength, concentration, and pH, completing tasks like relating strength to dissociation and comparing concentrations.</t>
        </is>
      </c>
      <c r="G600" s="8" t="inlineStr">
        <is>
          <t>0</t>
        </is>
      </c>
      <c r="H600" s="8" t="inlineStr">
        <is>
          <t>1</t>
        </is>
      </c>
      <c r="I600" s="8" t="inlineStr">
        <is>
          <t>1</t>
        </is>
      </c>
      <c r="J600" s="8" t="inlineStr">
        <is>
          <t>1</t>
        </is>
      </c>
      <c r="K600" s="9" t="inlineStr">
        <is>
          <t>0</t>
        </is>
      </c>
      <c r="L600" s="9" t="inlineStr">
        <is>
          <t>1</t>
        </is>
      </c>
      <c r="M600" s="9" t="inlineStr">
        <is>
          <t>0</t>
        </is>
      </c>
      <c r="N600" s="9" t="inlineStr">
        <is>
          <t>1</t>
        </is>
      </c>
      <c r="O600" s="10" t="inlineStr">
        <is>
          <t>0</t>
        </is>
      </c>
      <c r="P600" s="10" t="inlineStr">
        <is>
          <t>0</t>
        </is>
      </c>
      <c r="Q600" s="10" t="inlineStr">
        <is>
          <t>0</t>
        </is>
      </c>
      <c r="R600" s="10" t="inlineStr">
        <is>
          <t>0</t>
        </is>
      </c>
      <c r="S600" s="10" t="inlineStr">
        <is>
          <t>1</t>
        </is>
      </c>
    </row>
    <row r="601" ht="157" customHeight="1">
      <c r="A601" s="6">
        <f>IFERROR(__xludf.DUMMYFUNCTION("""COMPUTED_VALUE"""),"PH OF SOLUTIONS")</f>
        <v/>
      </c>
      <c r="B601" s="6">
        <f>IFERROR(__xludf.DUMMYFUNCTION("""COMPUTED_VALUE"""),"Application")</f>
        <v/>
      </c>
      <c r="C601" s="6">
        <f>IFERROR(__xludf.DUMMYFUNCTION("""COMPUTED_VALUE"""),"File Drop")</f>
        <v/>
      </c>
      <c r="D601" s="7">
        <f>IFERROR(__xludf.DUMMYFUNCTION("""COMPUTED_VALUE"""),"No task description")</f>
        <v/>
      </c>
      <c r="E601" s="7">
        <f>IFERROR(__xludf.DUMMYFUNCTION("""COMPUTED_VALUE"""),"Golabz app/lab: ""&lt;p&gt;This app allows students to upload files, e.g., assignment and reports, to the Inquiry learning Space. The app also allows teachers to download the uploaded files.&lt;/p&gt;\r\n""")</f>
        <v/>
      </c>
      <c r="F601" s="7" t="inlineStr">
        <is>
          <t>No task descriptions are provided, but Items 2 and 3 have embedded artifacts: a note-taking app and a file uploader, respectively.</t>
        </is>
      </c>
      <c r="G601" s="8" t="inlineStr">
        <is>
          <t>1</t>
        </is>
      </c>
      <c r="H601" s="8" t="inlineStr">
        <is>
          <t>1</t>
        </is>
      </c>
      <c r="I601" s="8" t="inlineStr">
        <is>
          <t>1</t>
        </is>
      </c>
      <c r="J601" s="8" t="inlineStr">
        <is>
          <t>0</t>
        </is>
      </c>
      <c r="K601" s="9" t="inlineStr">
        <is>
          <t>0</t>
        </is>
      </c>
      <c r="L601" s="9" t="inlineStr">
        <is>
          <t>1</t>
        </is>
      </c>
      <c r="M601" s="9" t="inlineStr">
        <is>
          <t>0</t>
        </is>
      </c>
      <c r="N601" s="9" t="inlineStr">
        <is>
          <t>0</t>
        </is>
      </c>
      <c r="O601" s="10" t="inlineStr">
        <is>
          <t>0</t>
        </is>
      </c>
      <c r="P601" s="10" t="inlineStr">
        <is>
          <t>0</t>
        </is>
      </c>
      <c r="Q601" s="10" t="inlineStr">
        <is>
          <t>0</t>
        </is>
      </c>
      <c r="R601" s="10" t="inlineStr">
        <is>
          <t>0</t>
        </is>
      </c>
      <c r="S601" s="10" t="inlineStr">
        <is>
          <t>1</t>
        </is>
      </c>
    </row>
    <row r="602" ht="329" customHeight="1">
      <c r="A602" s="6">
        <f>IFERROR(__xludf.DUMMYFUNCTION("""COMPUTED_VALUE"""),"PH OF SOLUTIONS")</f>
        <v/>
      </c>
      <c r="B602" s="6">
        <f>IFERROR(__xludf.DUMMYFUNCTION("""COMPUTED_VALUE"""),"Application")</f>
        <v/>
      </c>
      <c r="C602" s="6">
        <f>IFERROR(__xludf.DUMMYFUNCTION("""COMPUTED_VALUE"""),"Input Box (1)")</f>
        <v/>
      </c>
      <c r="D602" s="7">
        <f>IFERROR(__xludf.DUMMYFUNCTION("""COMPUTED_VALUE"""),"No task description")</f>
        <v/>
      </c>
      <c r="E6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2" s="7" t="inlineStr">
        <is>
          <t>Students use Golabz apps for note-taking and file uploads, with options for teacher oversight and collaboration mode.</t>
        </is>
      </c>
      <c r="G602" s="8" t="inlineStr">
        <is>
          <t>0</t>
        </is>
      </c>
      <c r="H602" s="8" t="inlineStr">
        <is>
          <t>1</t>
        </is>
      </c>
      <c r="I602" s="8" t="inlineStr">
        <is>
          <t>1</t>
        </is>
      </c>
      <c r="J602" s="8" t="inlineStr">
        <is>
          <t>1</t>
        </is>
      </c>
      <c r="K602" s="9" t="inlineStr">
        <is>
          <t>0</t>
        </is>
      </c>
      <c r="L602" s="9" t="inlineStr">
        <is>
          <t>1</t>
        </is>
      </c>
      <c r="M602" s="9" t="inlineStr">
        <is>
          <t>1</t>
        </is>
      </c>
      <c r="N602" s="9" t="inlineStr">
        <is>
          <t>1</t>
        </is>
      </c>
      <c r="O602" s="10" t="inlineStr">
        <is>
          <t>0</t>
        </is>
      </c>
      <c r="P602" s="10" t="inlineStr">
        <is>
          <t>0</t>
        </is>
      </c>
      <c r="Q602" s="10" t="inlineStr">
        <is>
          <t>0</t>
        </is>
      </c>
      <c r="R602" s="10" t="inlineStr">
        <is>
          <t>0</t>
        </is>
      </c>
      <c r="S602" s="10" t="inlineStr">
        <is>
          <t>1</t>
        </is>
      </c>
    </row>
    <row r="603" ht="329" customHeight="1">
      <c r="A603" s="6">
        <f>IFERROR(__xludf.DUMMYFUNCTION("""COMPUTED_VALUE"""),"PH OF SOLUTIONS")</f>
        <v/>
      </c>
      <c r="B603" s="6">
        <f>IFERROR(__xludf.DUMMYFUNCTION("""COMPUTED_VALUE"""),"Application")</f>
        <v/>
      </c>
      <c r="C603" s="6">
        <f>IFERROR(__xludf.DUMMYFUNCTION("""COMPUTED_VALUE"""),"Input Box (2)")</f>
        <v/>
      </c>
      <c r="D603" s="7">
        <f>IFERROR(__xludf.DUMMYFUNCTION("""COMPUTED_VALUE"""),"No task description")</f>
        <v/>
      </c>
      <c r="E6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3" s="7" t="inlineStr">
        <is>
          <t>No task descriptions provided; embedded artifacts include Golabz apps for file upload and note-taking with optional collaboration mode.</t>
        </is>
      </c>
      <c r="G603" s="8" t="inlineStr">
        <is>
          <t>0</t>
        </is>
      </c>
      <c r="H603" s="8" t="inlineStr">
        <is>
          <t>1</t>
        </is>
      </c>
      <c r="I603" s="8" t="inlineStr">
        <is>
          <t>1</t>
        </is>
      </c>
      <c r="J603" s="8" t="inlineStr">
        <is>
          <t>1</t>
        </is>
      </c>
      <c r="K603" s="9" t="inlineStr">
        <is>
          <t>0</t>
        </is>
      </c>
      <c r="L603" s="9" t="inlineStr">
        <is>
          <t>1</t>
        </is>
      </c>
      <c r="M603" s="9" t="inlineStr">
        <is>
          <t>0</t>
        </is>
      </c>
      <c r="N603" s="9" t="inlineStr">
        <is>
          <t>0</t>
        </is>
      </c>
      <c r="O603" s="10" t="inlineStr">
        <is>
          <t>0</t>
        </is>
      </c>
      <c r="P603" s="10" t="inlineStr">
        <is>
          <t>0</t>
        </is>
      </c>
      <c r="Q603" s="10" t="inlineStr">
        <is>
          <t>0</t>
        </is>
      </c>
      <c r="R603" s="10" t="inlineStr">
        <is>
          <t>0</t>
        </is>
      </c>
      <c r="S603" s="10" t="inlineStr">
        <is>
          <t>1</t>
        </is>
      </c>
    </row>
    <row r="604" ht="109" customHeight="1">
      <c r="A604" s="6">
        <f>IFERROR(__xludf.DUMMYFUNCTION("""COMPUTED_VALUE"""),"Digital Divide")</f>
        <v/>
      </c>
      <c r="B604" s="6">
        <f>IFERROR(__xludf.DUMMYFUNCTION("""COMPUTED_VALUE"""),"Space")</f>
        <v/>
      </c>
      <c r="C604" s="6">
        <f>IFERROR(__xludf.DUMMYFUNCTION("""COMPUTED_VALUE"""),"Orientation")</f>
        <v/>
      </c>
      <c r="D604" s="7">
        <f>IFERROR(__xludf.DUMMYFUNCTION("""COMPUTED_VALUE"""),"&lt;p&gt;Hello students, we are going to learn about Digital Divide, i hope you find this lesson interesting and informative.&lt;/p&gt;")</f>
        <v/>
      </c>
      <c r="E604" s="7">
        <f>IFERROR(__xludf.DUMMYFUNCTION("""COMPUTED_VALUE"""),"No artifact embedded")</f>
        <v/>
      </c>
      <c r="F604" s="7" t="inlineStr">
        <is>
          <t>Students were given no task descriptions for Items 1-2. Item 3 introduces a lesson on Digital Divide. Golabz app/lab is an embedded artifact in Items 1-2, allowing note-taking and collaboration.</t>
        </is>
      </c>
      <c r="G604" s="8" t="inlineStr">
        <is>
          <t>1</t>
        </is>
      </c>
      <c r="H604" s="8" t="inlineStr">
        <is>
          <t>0</t>
        </is>
      </c>
      <c r="I604" s="8" t="inlineStr">
        <is>
          <t>0</t>
        </is>
      </c>
      <c r="J604" s="8" t="inlineStr">
        <is>
          <t>0</t>
        </is>
      </c>
      <c r="K604" s="9" t="inlineStr">
        <is>
          <t>1</t>
        </is>
      </c>
      <c r="L604" s="9" t="inlineStr">
        <is>
          <t>0</t>
        </is>
      </c>
      <c r="M604" s="9" t="inlineStr">
        <is>
          <t>0</t>
        </is>
      </c>
      <c r="N604" s="9" t="inlineStr">
        <is>
          <t>0</t>
        </is>
      </c>
      <c r="O604" s="10" t="inlineStr">
        <is>
          <t>1</t>
        </is>
      </c>
      <c r="P604" s="10" t="inlineStr">
        <is>
          <t>0</t>
        </is>
      </c>
      <c r="Q604" s="10" t="inlineStr">
        <is>
          <t>0</t>
        </is>
      </c>
      <c r="R604" s="10" t="inlineStr">
        <is>
          <t>0</t>
        </is>
      </c>
      <c r="S604" s="10" t="inlineStr">
        <is>
          <t>0</t>
        </is>
      </c>
    </row>
    <row r="605" ht="25" customHeight="1">
      <c r="A605" s="6">
        <f>IFERROR(__xludf.DUMMYFUNCTION("""COMPUTED_VALUE"""),"Digital Divide")</f>
        <v/>
      </c>
      <c r="B605" s="6">
        <f>IFERROR(__xludf.DUMMYFUNCTION("""COMPUTED_VALUE"""),"Space")</f>
        <v/>
      </c>
      <c r="C605" s="6">
        <f>IFERROR(__xludf.DUMMYFUNCTION("""COMPUTED_VALUE"""),"Conceptualisation")</f>
        <v/>
      </c>
      <c r="D605" s="7">
        <f>IFERROR(__xludf.DUMMYFUNCTION("""COMPUTED_VALUE"""),"No task description")</f>
        <v/>
      </c>
      <c r="E605" s="7">
        <f>IFERROR(__xludf.DUMMYFUNCTION("""COMPUTED_VALUE"""),"No artifact embedded")</f>
        <v/>
      </c>
      <c r="F605" s="7" t="inlineStr">
        <is>
          <t>Students were given varying instructions. Items 1 and 2 had specific descriptions, while Item 3 did not. Item 1 included a Golabz app for note-taking.</t>
        </is>
      </c>
      <c r="G605" s="8" t="inlineStr">
        <is>
          <t>0</t>
        </is>
      </c>
      <c r="H605" s="8" t="inlineStr">
        <is>
          <t>0</t>
        </is>
      </c>
      <c r="I605" s="8" t="inlineStr">
        <is>
          <t>0</t>
        </is>
      </c>
      <c r="J605" s="8" t="inlineStr">
        <is>
          <t>0</t>
        </is>
      </c>
      <c r="K605" s="9" t="inlineStr">
        <is>
          <t>0</t>
        </is>
      </c>
      <c r="L605" s="9" t="inlineStr">
        <is>
          <t>0</t>
        </is>
      </c>
      <c r="M605" s="9" t="inlineStr">
        <is>
          <t>0</t>
        </is>
      </c>
      <c r="N605" s="9" t="inlineStr">
        <is>
          <t>0</t>
        </is>
      </c>
      <c r="O605" s="10" t="inlineStr">
        <is>
          <t>0</t>
        </is>
      </c>
      <c r="P605" s="10" t="inlineStr">
        <is>
          <t>0</t>
        </is>
      </c>
      <c r="Q605" s="10" t="inlineStr">
        <is>
          <t>0</t>
        </is>
      </c>
      <c r="R605" s="10" t="inlineStr">
        <is>
          <t>0</t>
        </is>
      </c>
      <c r="S605" s="10" t="inlineStr">
        <is>
          <t>0</t>
        </is>
      </c>
    </row>
    <row r="606" ht="181" customHeight="1">
      <c r="A606" s="6">
        <f>IFERROR(__xludf.DUMMYFUNCTION("""COMPUTED_VALUE"""),"Digital Divide")</f>
        <v/>
      </c>
      <c r="B606" s="6">
        <f>IFERROR(__xludf.DUMMYFUNCTION("""COMPUTED_VALUE"""),"Resource")</f>
        <v/>
      </c>
      <c r="C606" s="6">
        <f>IFERROR(__xludf.DUMMYFUNCTION("""COMPUTED_VALUE"""),"Learning Objectives.graasp")</f>
        <v/>
      </c>
      <c r="D606" s="7">
        <f>IFERROR(__xludf.DUMMYFUNCTION("""COMPUTED_VALUE"""),"&lt;p&gt;At the end of this lesson, students should be able to:&lt;/p&gt;&lt;p&gt;1. explain what is meant by digital divide&lt;br&gt;2. state the features of old and new economy&lt;br&gt;3. explain how digital divide has affect peoples lives&lt;/p&gt;")</f>
        <v/>
      </c>
      <c r="E606" s="7">
        <f>IFERROR(__xludf.DUMMYFUNCTION("""COMPUTED_VALUE"""),"No artifact embedded")</f>
        <v/>
      </c>
      <c r="F606" s="7" t="inlineStr">
        <is>
          <t>Students learn about Digital Divide, explaining its meaning, features, and impact on people's lives. No artifacts are embedded in the items.</t>
        </is>
      </c>
      <c r="G606" s="8" t="inlineStr">
        <is>
          <t>1</t>
        </is>
      </c>
      <c r="H606" s="8" t="inlineStr">
        <is>
          <t>0</t>
        </is>
      </c>
      <c r="I606" s="8" t="inlineStr">
        <is>
          <t>0</t>
        </is>
      </c>
      <c r="J606" s="8" t="inlineStr">
        <is>
          <t>0</t>
        </is>
      </c>
      <c r="K606" s="9" t="inlineStr">
        <is>
          <t>1</t>
        </is>
      </c>
      <c r="L606" s="9" t="inlineStr">
        <is>
          <t>0</t>
        </is>
      </c>
      <c r="M606" s="9" t="inlineStr">
        <is>
          <t>0</t>
        </is>
      </c>
      <c r="N606" s="9" t="inlineStr">
        <is>
          <t>0</t>
        </is>
      </c>
      <c r="O606" s="10" t="inlineStr">
        <is>
          <t>0</t>
        </is>
      </c>
      <c r="P606" s="10" t="inlineStr">
        <is>
          <t>0</t>
        </is>
      </c>
      <c r="Q606" s="10" t="inlineStr">
        <is>
          <t>0</t>
        </is>
      </c>
      <c r="R606" s="10" t="inlineStr">
        <is>
          <t>0</t>
        </is>
      </c>
      <c r="S606" s="10" t="inlineStr">
        <is>
          <t>0</t>
        </is>
      </c>
    </row>
    <row r="607" ht="61" customHeight="1">
      <c r="A607" s="6">
        <f>IFERROR(__xludf.DUMMYFUNCTION("""COMPUTED_VALUE"""),"Digital Divide")</f>
        <v/>
      </c>
      <c r="B607" s="6">
        <f>IFERROR(__xludf.DUMMYFUNCTION("""COMPUTED_VALUE"""),"Space")</f>
        <v/>
      </c>
      <c r="C607" s="6">
        <f>IFERROR(__xludf.DUMMYFUNCTION("""COMPUTED_VALUE"""),"Investigation")</f>
        <v/>
      </c>
      <c r="D607" s="7">
        <f>IFERROR(__xludf.DUMMYFUNCTION("""COMPUTED_VALUE"""),"&lt;p&gt;See the below video for a better for a better understanding!&lt;/p&gt;")</f>
        <v/>
      </c>
      <c r="E607" s="7">
        <f>IFERROR(__xludf.DUMMYFUNCTION("""COMPUTED_VALUE"""),"No artifact embedded")</f>
        <v/>
      </c>
      <c r="F607" s="7" t="inlineStr">
        <is>
          <t>Students are instructed to learn about digital divide and its effects. No artifacts are embedded in any items.</t>
        </is>
      </c>
      <c r="G607" s="8" t="inlineStr">
        <is>
          <t>1</t>
        </is>
      </c>
      <c r="H607" s="8" t="inlineStr">
        <is>
          <t>0</t>
        </is>
      </c>
      <c r="I607" s="8" t="inlineStr">
        <is>
          <t>0</t>
        </is>
      </c>
      <c r="J607" s="8" t="inlineStr">
        <is>
          <t>0</t>
        </is>
      </c>
      <c r="K607" s="9" t="inlineStr">
        <is>
          <t>1</t>
        </is>
      </c>
      <c r="L607" s="9" t="inlineStr">
        <is>
          <t>0</t>
        </is>
      </c>
      <c r="M607" s="9" t="inlineStr">
        <is>
          <t>0</t>
        </is>
      </c>
      <c r="N607" s="9" t="inlineStr">
        <is>
          <t>0</t>
        </is>
      </c>
      <c r="O607" s="10" t="inlineStr">
        <is>
          <t>0</t>
        </is>
      </c>
      <c r="P607" s="10" t="inlineStr">
        <is>
          <t>0</t>
        </is>
      </c>
      <c r="Q607" s="10" t="inlineStr">
        <is>
          <t>0</t>
        </is>
      </c>
      <c r="R607" s="10" t="inlineStr">
        <is>
          <t>0</t>
        </is>
      </c>
      <c r="S607" s="10" t="inlineStr">
        <is>
          <t>0</t>
        </is>
      </c>
    </row>
    <row r="608" ht="409.5" customHeight="1">
      <c r="A608" s="6">
        <f>IFERROR(__xludf.DUMMYFUNCTION("""COMPUTED_VALUE"""),"Digital Divide")</f>
        <v/>
      </c>
      <c r="B608" s="6">
        <f>IFERROR(__xludf.DUMMYFUNCTION("""COMPUTED_VALUE"""),"Resource")</f>
        <v/>
      </c>
      <c r="C608" s="6">
        <f>IFERROR(__xludf.DUMMYFUNCTION("""COMPUTED_VALUE"""),"What do you understand by the term""Digital Divide?"".graasp")</f>
        <v/>
      </c>
      <c r="D608" s="7">
        <f>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
      </c>
      <c r="E608" s="7">
        <f>IFERROR(__xludf.DUMMYFUNCTION("""COMPUTED_VALUE"""),"No artifact embedded")</f>
        <v/>
      </c>
      <c r="F608" s="7" t="inlineStr">
        <is>
          <t>Students learn about digital divide, its features, and effects. No artifacts are embedded in the items.</t>
        </is>
      </c>
      <c r="G608" s="8" t="inlineStr">
        <is>
          <t>1</t>
        </is>
      </c>
      <c r="H608" s="8" t="inlineStr">
        <is>
          <t>0</t>
        </is>
      </c>
      <c r="I608" s="8" t="inlineStr">
        <is>
          <t>0</t>
        </is>
      </c>
      <c r="J608" s="8" t="inlineStr">
        <is>
          <t>0</t>
        </is>
      </c>
      <c r="K608" s="9" t="inlineStr">
        <is>
          <t>1</t>
        </is>
      </c>
      <c r="L608" s="9" t="inlineStr">
        <is>
          <t>0</t>
        </is>
      </c>
      <c r="M608" s="9" t="inlineStr">
        <is>
          <t>0</t>
        </is>
      </c>
      <c r="N608" s="9" t="inlineStr">
        <is>
          <t>0</t>
        </is>
      </c>
      <c r="O608" s="10" t="inlineStr">
        <is>
          <t>1</t>
        </is>
      </c>
      <c r="P608" s="10" t="inlineStr">
        <is>
          <t>0</t>
        </is>
      </c>
      <c r="Q608" s="10" t="inlineStr">
        <is>
          <t>0</t>
        </is>
      </c>
      <c r="R608" s="10" t="inlineStr">
        <is>
          <t>0</t>
        </is>
      </c>
      <c r="S608" s="10" t="inlineStr">
        <is>
          <t>0</t>
        </is>
      </c>
    </row>
    <row r="609" ht="133" customHeight="1">
      <c r="A609" s="6">
        <f>IFERROR(__xludf.DUMMYFUNCTION("""COMPUTED_VALUE"""),"Digital Divide")</f>
        <v/>
      </c>
      <c r="B609" s="6">
        <f>IFERROR(__xludf.DUMMYFUNCTION("""COMPUTED_VALUE"""),"Resource")</f>
        <v/>
      </c>
      <c r="C609" s="6">
        <f>IFERROR(__xludf.DUMMYFUNCTION("""COMPUTED_VALUE"""),"What is digital divide? - Definition from WhatIs.com")</f>
        <v/>
      </c>
      <c r="D609" s="7">
        <f>IFERROR(__xludf.DUMMYFUNCTION("""COMPUTED_VALUE"""),"Digital divide is a term that refers to the gap between demographics and regions that have access to modern information and communications technology an...")</f>
        <v/>
      </c>
      <c r="E609" s="7">
        <f>IFERROR(__xludf.DUMMYFUNCTION("""COMPUTED_VALUE"""),"techtarget.com: Offers definitions and articles on technology-related topics, such as the digital divide.")</f>
        <v/>
      </c>
      <c r="F609" s="7" t="inlineStr">
        <is>
          <t>Students are instructed to understand the concept of "digital divide". No artifacts are embedded in Items 1 and 2, but Item 3 links to techtarget.com.</t>
        </is>
      </c>
      <c r="G609" s="8" t="inlineStr">
        <is>
          <t>1</t>
        </is>
      </c>
      <c r="H609" s="8" t="inlineStr">
        <is>
          <t>0</t>
        </is>
      </c>
      <c r="I609" s="8" t="inlineStr">
        <is>
          <t>0</t>
        </is>
      </c>
      <c r="J609" s="8" t="inlineStr">
        <is>
          <t>0</t>
        </is>
      </c>
      <c r="K609" s="9" t="inlineStr">
        <is>
          <t>1</t>
        </is>
      </c>
      <c r="L609" s="9" t="inlineStr">
        <is>
          <t>0</t>
        </is>
      </c>
      <c r="M609" s="9" t="inlineStr">
        <is>
          <t>0</t>
        </is>
      </c>
      <c r="N609" s="9" t="inlineStr">
        <is>
          <t>0</t>
        </is>
      </c>
      <c r="O609" s="10" t="inlineStr">
        <is>
          <t>1</t>
        </is>
      </c>
      <c r="P609" s="10" t="inlineStr">
        <is>
          <t>0</t>
        </is>
      </c>
      <c r="Q609" s="10" t="inlineStr">
        <is>
          <t>0</t>
        </is>
      </c>
      <c r="R609" s="10" t="inlineStr">
        <is>
          <t>0</t>
        </is>
      </c>
      <c r="S609" s="10" t="inlineStr">
        <is>
          <t>0</t>
        </is>
      </c>
    </row>
    <row r="610" ht="133" customHeight="1">
      <c r="A610" s="6">
        <f>IFERROR(__xludf.DUMMYFUNCTION("""COMPUTED_VALUE"""),"Digital Divide")</f>
        <v/>
      </c>
      <c r="B610" s="6">
        <f>IFERROR(__xludf.DUMMYFUNCTION("""COMPUTED_VALUE"""),"Resource")</f>
        <v/>
      </c>
      <c r="C610" s="6">
        <f>IFERROR(__xludf.DUMMYFUNCTION("""COMPUTED_VALUE"""),"What is the Digital Divide? - Definition from Techopedia")</f>
        <v/>
      </c>
      <c r="D610" s="7">
        <f>IFERROR(__xludf.DUMMYFUNCTION("""COMPUTED_VALUE"""),"Digital Divide Definition - The digital divide refers to the difference between people who have easy access to the Internet and those who do not. A...")</f>
        <v/>
      </c>
      <c r="E610" s="7">
        <f>IFERROR(__xludf.DUMMYFUNCTION("""COMPUTED_VALUE"""),"techopedia.com: Offers definitions and explanations of technology-related terms, such as the digital divide.")</f>
        <v/>
      </c>
      <c r="F610" s="7" t="inlineStr">
        <is>
          <t>Students were instructed about the digital divide concept. Embedded artifacts include links to techtarget.com and techopedia.com for further learning.</t>
        </is>
      </c>
      <c r="G610" s="8" t="inlineStr">
        <is>
          <t>1</t>
        </is>
      </c>
      <c r="H610" s="8" t="inlineStr">
        <is>
          <t>0</t>
        </is>
      </c>
      <c r="I610" s="8" t="inlineStr">
        <is>
          <t>0</t>
        </is>
      </c>
      <c r="J610" s="8" t="inlineStr">
        <is>
          <t>0</t>
        </is>
      </c>
      <c r="K610" s="9" t="inlineStr">
        <is>
          <t>1</t>
        </is>
      </c>
      <c r="L610" s="9" t="inlineStr">
        <is>
          <t>0</t>
        </is>
      </c>
      <c r="M610" s="9" t="inlineStr">
        <is>
          <t>0</t>
        </is>
      </c>
      <c r="N610" s="9" t="inlineStr">
        <is>
          <t>0</t>
        </is>
      </c>
      <c r="O610" s="10" t="inlineStr">
        <is>
          <t>1</t>
        </is>
      </c>
      <c r="P610" s="10" t="inlineStr">
        <is>
          <t>0</t>
        </is>
      </c>
      <c r="Q610" s="10" t="inlineStr">
        <is>
          <t>0</t>
        </is>
      </c>
      <c r="R610" s="10" t="inlineStr">
        <is>
          <t>0</t>
        </is>
      </c>
      <c r="S610" s="10" t="inlineStr">
        <is>
          <t>0</t>
        </is>
      </c>
    </row>
    <row r="611" ht="409.5" customHeight="1">
      <c r="A611" s="6">
        <f>IFERROR(__xludf.DUMMYFUNCTION("""COMPUTED_VALUE"""),"Digital Divide")</f>
        <v/>
      </c>
      <c r="B611" s="6">
        <f>IFERROR(__xludf.DUMMYFUNCTION("""COMPUTED_VALUE"""),"Resource")</f>
        <v/>
      </c>
      <c r="C611" s="6">
        <f>IFERROR(__xludf.DUMMYFUNCTION("""COMPUTED_VALUE"""),"Digital Divide")</f>
        <v/>
      </c>
      <c r="D611" s="7">
        <f>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
      </c>
      <c r="E611" s="7">
        <f>IFERROR(__xludf.DUMMYFUNCTION("""COMPUTED_VALUE"""),"youtube.com: A widely known video-sharing platform where users can watch videos on a vast array of topics, including educational content.")</f>
        <v/>
      </c>
      <c r="F611" s="7" t="inlineStr">
        <is>
          <t>Students are tasked with understanding the digital divide. Embedded artifacts include websites (techtarget, techopedia) and a video platform (youtube).</t>
        </is>
      </c>
      <c r="G611" s="8" t="inlineStr">
        <is>
          <t>1</t>
        </is>
      </c>
      <c r="H611" s="8" t="inlineStr">
        <is>
          <t>0</t>
        </is>
      </c>
      <c r="I611" s="8" t="inlineStr">
        <is>
          <t>0</t>
        </is>
      </c>
      <c r="J611" s="8" t="inlineStr">
        <is>
          <t>0</t>
        </is>
      </c>
      <c r="K611" s="9" t="inlineStr">
        <is>
          <t>1</t>
        </is>
      </c>
      <c r="L611" s="9" t="inlineStr">
        <is>
          <t>0</t>
        </is>
      </c>
      <c r="M611" s="9" t="inlineStr">
        <is>
          <t>0</t>
        </is>
      </c>
      <c r="N611" s="9" t="inlineStr">
        <is>
          <t>0</t>
        </is>
      </c>
      <c r="O611" s="10" t="inlineStr">
        <is>
          <t>1</t>
        </is>
      </c>
      <c r="P611" s="10" t="inlineStr">
        <is>
          <t>0</t>
        </is>
      </c>
      <c r="Q611" s="10" t="inlineStr">
        <is>
          <t>0</t>
        </is>
      </c>
      <c r="R611" s="10" t="inlineStr">
        <is>
          <t>0</t>
        </is>
      </c>
      <c r="S611" s="10" t="inlineStr">
        <is>
          <t>0</t>
        </is>
      </c>
    </row>
    <row r="612" ht="121" customHeight="1">
      <c r="A612" s="6">
        <f>IFERROR(__xludf.DUMMYFUNCTION("""COMPUTED_VALUE"""),"Digital Divide")</f>
        <v/>
      </c>
      <c r="B612" s="6">
        <f>IFERROR(__xludf.DUMMYFUNCTION("""COMPUTED_VALUE"""),"Resource")</f>
        <v/>
      </c>
      <c r="C612" s="6">
        <f>IFERROR(__xludf.DUMMYFUNCTION("""COMPUTED_VALUE"""),"Digital Divide (2).mp4")</f>
        <v/>
      </c>
      <c r="D612" s="7">
        <f>IFERROR(__xludf.DUMMYFUNCTION("""COMPUTED_VALUE"""),"No task description")</f>
        <v/>
      </c>
      <c r="E612" s="7">
        <f>IFERROR(__xludf.DUMMYFUNCTION("""COMPUTED_VALUE"""),"video/mp4 – A video file containing moving images and possibly audio, suitable for playback on most modern devices and platforms.")</f>
        <v/>
      </c>
      <c r="F612" s="7" t="inlineStr">
        <is>
          <t>Students were tasked with understanding the digital divide. Embedded artifacts include techopedia.com, youtube.com, and a video file (mp4).</t>
        </is>
      </c>
      <c r="G612" s="8" t="inlineStr">
        <is>
          <t>1</t>
        </is>
      </c>
      <c r="H612" s="8" t="inlineStr">
        <is>
          <t>0</t>
        </is>
      </c>
      <c r="I612" s="8" t="inlineStr">
        <is>
          <t>0</t>
        </is>
      </c>
      <c r="J612" s="8" t="inlineStr">
        <is>
          <t>0</t>
        </is>
      </c>
      <c r="K612" s="9" t="inlineStr">
        <is>
          <t>1</t>
        </is>
      </c>
      <c r="L612" s="9" t="inlineStr">
        <is>
          <t>0</t>
        </is>
      </c>
      <c r="M612" s="9" t="inlineStr">
        <is>
          <t>0</t>
        </is>
      </c>
      <c r="N612" s="9" t="inlineStr">
        <is>
          <t>0</t>
        </is>
      </c>
      <c r="O612" s="10" t="inlineStr">
        <is>
          <t>0</t>
        </is>
      </c>
      <c r="P612" s="10" t="inlineStr">
        <is>
          <t>0</t>
        </is>
      </c>
      <c r="Q612" s="10" t="inlineStr">
        <is>
          <t>0</t>
        </is>
      </c>
      <c r="R612" s="10" t="inlineStr">
        <is>
          <t>0</t>
        </is>
      </c>
      <c r="S612" s="10" t="inlineStr">
        <is>
          <t>0</t>
        </is>
      </c>
    </row>
    <row r="613" ht="121" customHeight="1">
      <c r="A613" s="6">
        <f>IFERROR(__xludf.DUMMYFUNCTION("""COMPUTED_VALUE"""),"Digital Divide")</f>
        <v/>
      </c>
      <c r="B613" s="6">
        <f>IFERROR(__xludf.DUMMYFUNCTION("""COMPUTED_VALUE"""),"Resource")</f>
        <v/>
      </c>
      <c r="C613" s="6">
        <f>IFERROR(__xludf.DUMMYFUNCTION("""COMPUTED_VALUE"""),"digital 1.jpg")</f>
        <v/>
      </c>
      <c r="D613" s="7">
        <f>IFERROR(__xludf.DUMMYFUNCTION("""COMPUTED_VALUE"""),"[17' V mm")</f>
        <v/>
      </c>
      <c r="E613" s="7">
        <f>IFERROR(__xludf.DUMMYFUNCTION("""COMPUTED_VALUE"""),"image/jpeg – A digital photograph or web image stored in a compressed format, often used for photography and web graphics.")</f>
        <v/>
      </c>
      <c r="F613" s="7" t="inlineStr">
        <is>
          <t>Instructions: Address the digital divide by proposing innovative methods to expand internet access. Embedded artifacts: YouTube link, video/mp4 file, and image/jpeg file.</t>
        </is>
      </c>
      <c r="G613" s="8" t="inlineStr">
        <is>
          <t>1</t>
        </is>
      </c>
      <c r="H613" s="8" t="inlineStr">
        <is>
          <t>0</t>
        </is>
      </c>
      <c r="I613" s="8" t="inlineStr">
        <is>
          <t>0</t>
        </is>
      </c>
      <c r="J613" s="8" t="inlineStr">
        <is>
          <t>0</t>
        </is>
      </c>
      <c r="K613" s="9" t="inlineStr">
        <is>
          <t>1</t>
        </is>
      </c>
      <c r="L613" s="9" t="inlineStr">
        <is>
          <t>0</t>
        </is>
      </c>
      <c r="M613" s="9" t="inlineStr">
        <is>
          <t>0</t>
        </is>
      </c>
      <c r="N613" s="9" t="inlineStr">
        <is>
          <t>0</t>
        </is>
      </c>
      <c r="O613" s="10" t="inlineStr">
        <is>
          <t>0</t>
        </is>
      </c>
      <c r="P613" s="10" t="inlineStr">
        <is>
          <t>0</t>
        </is>
      </c>
      <c r="Q613" s="10" t="inlineStr">
        <is>
          <t>0</t>
        </is>
      </c>
      <c r="R613" s="10" t="inlineStr">
        <is>
          <t>0</t>
        </is>
      </c>
      <c r="S613" s="10" t="inlineStr">
        <is>
          <t>0</t>
        </is>
      </c>
    </row>
    <row r="614" ht="97" customHeight="1">
      <c r="A614" s="6">
        <f>IFERROR(__xludf.DUMMYFUNCTION("""COMPUTED_VALUE"""),"Digital Divide")</f>
        <v/>
      </c>
      <c r="B614" s="6">
        <f>IFERROR(__xludf.DUMMYFUNCTION("""COMPUTED_VALUE"""),"Resource")</f>
        <v/>
      </c>
      <c r="C614" s="6">
        <f>IFERROR(__xludf.DUMMYFUNCTION("""COMPUTED_VALUE"""),"digital3.png")</f>
        <v/>
      </c>
      <c r="D614" s="7">
        <f>IFERROR(__xludf.DUMMYFUNCTION("""COMPUTED_VALUE"""),"M mm m m m4 w uu/emmmtv ""hm III NCES")</f>
        <v/>
      </c>
      <c r="E614" s="7">
        <f>IFERROR(__xludf.DUMMYFUNCTION("""COMPUTED_VALUE"""),"image/png – A high-quality image with support for transparency, often used in design and web applications.")</f>
        <v/>
      </c>
      <c r="F614" s="7" t="inlineStr">
        <is>
          <t>Students received no task descriptions, but were provided with embedded artifacts: video, jpeg image, and png image.</t>
        </is>
      </c>
      <c r="G614" s="8" t="inlineStr">
        <is>
          <t>1</t>
        </is>
      </c>
      <c r="H614" s="8" t="inlineStr">
        <is>
          <t>0</t>
        </is>
      </c>
      <c r="I614" s="8" t="inlineStr">
        <is>
          <t>0</t>
        </is>
      </c>
      <c r="J614" s="8" t="inlineStr">
        <is>
          <t>0</t>
        </is>
      </c>
      <c r="K614" s="9" t="inlineStr">
        <is>
          <t>1</t>
        </is>
      </c>
      <c r="L614" s="9" t="inlineStr">
        <is>
          <t>0</t>
        </is>
      </c>
      <c r="M614" s="9" t="inlineStr">
        <is>
          <t>0</t>
        </is>
      </c>
      <c r="N614" s="9" t="inlineStr">
        <is>
          <t>0</t>
        </is>
      </c>
      <c r="O614" s="10" t="inlineStr">
        <is>
          <t>0</t>
        </is>
      </c>
      <c r="P614" s="10" t="inlineStr">
        <is>
          <t>0</t>
        </is>
      </c>
      <c r="Q614" s="10" t="inlineStr">
        <is>
          <t>0</t>
        </is>
      </c>
      <c r="R614" s="10" t="inlineStr">
        <is>
          <t>0</t>
        </is>
      </c>
      <c r="S614" s="10" t="inlineStr">
        <is>
          <t>0</t>
        </is>
      </c>
    </row>
    <row r="615" ht="121" customHeight="1">
      <c r="A615" s="6">
        <f>IFERROR(__xludf.DUMMYFUNCTION("""COMPUTED_VALUE"""),"Digital Divide")</f>
        <v/>
      </c>
      <c r="B615" s="6">
        <f>IFERROR(__xludf.DUMMYFUNCTION("""COMPUTED_VALUE"""),"Resource")</f>
        <v/>
      </c>
      <c r="C615" s="6">
        <f>IFERROR(__xludf.DUMMYFUNCTION("""COMPUTED_VALUE"""),"digital2.jpg")</f>
        <v/>
      </c>
      <c r="D615" s="7">
        <f>IFERROR(__xludf.DUMMYFUNCTION("""COMPUTED_VALUE"""),"No task description")</f>
        <v/>
      </c>
      <c r="E615" s="7">
        <f>IFERROR(__xludf.DUMMYFUNCTION("""COMPUTED_VALUE"""),"image/jpeg – A digital photograph or web image stored in a compressed format, often used for photography and web graphics.")</f>
        <v/>
      </c>
      <c r="F615" s="7" t="inlineStr">
        <is>
          <t>Students received task descriptions with embedded images in JPEG and PNG formats, but one task lacked a description.</t>
        </is>
      </c>
      <c r="G615" s="8" t="inlineStr">
        <is>
          <t>1</t>
        </is>
      </c>
      <c r="H615" s="8" t="inlineStr">
        <is>
          <t>0</t>
        </is>
      </c>
      <c r="I615" s="8" t="inlineStr">
        <is>
          <t>0</t>
        </is>
      </c>
      <c r="J615" s="8" t="inlineStr">
        <is>
          <t>0</t>
        </is>
      </c>
      <c r="K615" s="9" t="inlineStr">
        <is>
          <t>0</t>
        </is>
      </c>
      <c r="L615" s="9" t="inlineStr">
        <is>
          <t>0</t>
        </is>
      </c>
      <c r="M615" s="9" t="inlineStr">
        <is>
          <t>0</t>
        </is>
      </c>
      <c r="N615" s="9" t="inlineStr">
        <is>
          <t>0</t>
        </is>
      </c>
      <c r="O615" s="10" t="inlineStr">
        <is>
          <t>0</t>
        </is>
      </c>
      <c r="P615" s="10" t="inlineStr">
        <is>
          <t>0</t>
        </is>
      </c>
      <c r="Q615" s="10" t="inlineStr">
        <is>
          <t>0</t>
        </is>
      </c>
      <c r="R615" s="10" t="inlineStr">
        <is>
          <t>0</t>
        </is>
      </c>
      <c r="S615" s="10" t="inlineStr">
        <is>
          <t>0</t>
        </is>
      </c>
    </row>
    <row r="616" ht="169" customHeight="1">
      <c r="A616" s="6">
        <f>IFERROR(__xludf.DUMMYFUNCTION("""COMPUTED_VALUE"""),"Digital Divide")</f>
        <v/>
      </c>
      <c r="B616" s="6">
        <f>IFERROR(__xludf.DUMMYFUNCTION("""COMPUTED_VALUE"""),"Space")</f>
        <v/>
      </c>
      <c r="C616" s="6">
        <f>IFERROR(__xludf.DUMMYFUNCTION("""COMPUTED_VALUE"""),"Conclusion")</f>
        <v/>
      </c>
      <c r="D616" s="7">
        <f>IFERROR(__xludf.DUMMYFUNCTION("""COMPUTED_VALUE"""),"&lt;p&gt;Do you think, you are that child who have access to Information Communication and Technology? if yes then suggest ways you could possibly help those who dont have access to such opportunity.&lt;/p&gt;")</f>
        <v/>
      </c>
      <c r="E616" s="7">
        <f>IFERROR(__xludf.DUMMYFUNCTION("""COMPUTED_VALUE"""),"No artifact embedded")</f>
        <v/>
      </c>
      <c r="F616" s="7" t="inlineStr">
        <is>
          <t>Students received task descriptions with varying levels of detail and image artifacts in PNG and JPEG formats.</t>
        </is>
      </c>
      <c r="G616" s="8" t="inlineStr">
        <is>
          <t>0</t>
        </is>
      </c>
      <c r="H616" s="8" t="inlineStr">
        <is>
          <t>0</t>
        </is>
      </c>
      <c r="I616" s="8" t="inlineStr">
        <is>
          <t>1</t>
        </is>
      </c>
      <c r="J616" s="8" t="inlineStr">
        <is>
          <t>1</t>
        </is>
      </c>
      <c r="K616" s="9" t="inlineStr">
        <is>
          <t>0</t>
        </is>
      </c>
      <c r="L616" s="9" t="inlineStr">
        <is>
          <t>1</t>
        </is>
      </c>
      <c r="M616" s="9" t="inlineStr">
        <is>
          <t>0</t>
        </is>
      </c>
      <c r="N616" s="9" t="inlineStr">
        <is>
          <t>0</t>
        </is>
      </c>
      <c r="O616" s="10" t="inlineStr">
        <is>
          <t>1</t>
        </is>
      </c>
      <c r="P616" s="10" t="inlineStr">
        <is>
          <t>1</t>
        </is>
      </c>
      <c r="Q616" s="10" t="inlineStr">
        <is>
          <t>0</t>
        </is>
      </c>
      <c r="R616" s="10" t="inlineStr">
        <is>
          <t>0</t>
        </is>
      </c>
      <c r="S616" s="10" t="inlineStr">
        <is>
          <t>1</t>
        </is>
      </c>
    </row>
    <row r="617" ht="217" customHeight="1">
      <c r="A617" s="6">
        <f>IFERROR(__xludf.DUMMYFUNCTION("""COMPUTED_VALUE"""),"Digital Divide")</f>
        <v/>
      </c>
      <c r="B617" s="6">
        <f>IFERROR(__xludf.DUMMYFUNCTION("""COMPUTED_VALUE"""),"Space")</f>
        <v/>
      </c>
      <c r="C617" s="6">
        <f>IFERROR(__xludf.DUMMYFUNCTION("""COMPUTED_VALUE"""),"Discussion")</f>
        <v/>
      </c>
      <c r="D617" s="7">
        <f>IFERROR(__xludf.DUMMYFUNCTION("""COMPUTED_VALUE"""),"&lt;p&gt;1. Write an Essay, on ""The Digital Divide In a Globalized World Suggesting Ways to Bridge the Gap""&lt;/p&gt;&lt;p&gt;2. How has the economy brought about the efficient use of time&lt;/p&gt;&lt;p&gt;3. Write a short description on the old economy&lt;/p&gt;")</f>
        <v/>
      </c>
      <c r="E617" s="7">
        <f>IFERROR(__xludf.DUMMYFUNCTION("""COMPUTED_VALUE"""),"No artifact embedded")</f>
        <v/>
      </c>
      <c r="F617" s="7" t="inlineStr">
        <is>
          <t>Students were given tasks and descriptions, with some items including embedded artifacts like images, while others had no artifacts or descriptions.</t>
        </is>
      </c>
      <c r="G617" s="8" t="inlineStr">
        <is>
          <t>0</t>
        </is>
      </c>
      <c r="H617" s="8" t="inlineStr">
        <is>
          <t>0</t>
        </is>
      </c>
      <c r="I617" s="8" t="inlineStr">
        <is>
          <t>1</t>
        </is>
      </c>
      <c r="J617" s="8" t="inlineStr">
        <is>
          <t>0</t>
        </is>
      </c>
      <c r="K617" s="9" t="inlineStr">
        <is>
          <t>0</t>
        </is>
      </c>
      <c r="L617" s="9" t="inlineStr">
        <is>
          <t>1</t>
        </is>
      </c>
      <c r="M617" s="9" t="inlineStr">
        <is>
          <t>0</t>
        </is>
      </c>
      <c r="N617" s="9" t="inlineStr">
        <is>
          <t>0</t>
        </is>
      </c>
      <c r="O617" s="10" t="inlineStr">
        <is>
          <t>0</t>
        </is>
      </c>
      <c r="P617" s="10" t="inlineStr">
        <is>
          <t>0</t>
        </is>
      </c>
      <c r="Q617" s="10" t="inlineStr">
        <is>
          <t>0</t>
        </is>
      </c>
      <c r="R617" s="10" t="inlineStr">
        <is>
          <t>0</t>
        </is>
      </c>
      <c r="S617" s="10" t="inlineStr">
        <is>
          <t>1</t>
        </is>
      </c>
    </row>
    <row r="618" ht="25" customHeight="1">
      <c r="A618" s="6">
        <f>IFERROR(__xludf.DUMMYFUNCTION("""COMPUTED_VALUE"""),"Is it Good to be Beautiful?")</f>
        <v/>
      </c>
      <c r="B618" s="6">
        <f>IFERROR(__xludf.DUMMYFUNCTION("""COMPUTED_VALUE"""),"Space")</f>
        <v/>
      </c>
      <c r="C618" s="6">
        <f>IFERROR(__xludf.DUMMYFUNCTION("""COMPUTED_VALUE"""),"Orientation")</f>
        <v/>
      </c>
      <c r="D618" s="7">
        <f>IFERROR(__xludf.DUMMYFUNCTION("""COMPUTED_VALUE"""),"No task description")</f>
        <v/>
      </c>
      <c r="E618" s="7">
        <f>IFERROR(__xludf.DUMMYFUNCTION("""COMPUTED_VALUE"""),"No artifact embedded")</f>
        <v/>
      </c>
      <c r="F618" s="7" t="inlineStr">
        <is>
          <t>Students were instructed to write essays and suggest ways to bridge the digital divide, with no artifacts embedded in any items.</t>
        </is>
      </c>
      <c r="G618" s="8" t="inlineStr">
        <is>
          <t>0</t>
        </is>
      </c>
      <c r="H618" s="8" t="inlineStr">
        <is>
          <t>0</t>
        </is>
      </c>
      <c r="I618" s="8" t="inlineStr">
        <is>
          <t>0</t>
        </is>
      </c>
      <c r="J618" s="8" t="inlineStr">
        <is>
          <t>0</t>
        </is>
      </c>
      <c r="K618" s="9" t="inlineStr">
        <is>
          <t>0</t>
        </is>
      </c>
      <c r="L618" s="9" t="inlineStr">
        <is>
          <t>0</t>
        </is>
      </c>
      <c r="M618" s="9" t="inlineStr">
        <is>
          <t>0</t>
        </is>
      </c>
      <c r="N618" s="9" t="inlineStr">
        <is>
          <t>0</t>
        </is>
      </c>
      <c r="O618" s="10" t="inlineStr">
        <is>
          <t>0</t>
        </is>
      </c>
      <c r="P618" s="10" t="inlineStr">
        <is>
          <t>0</t>
        </is>
      </c>
      <c r="Q618" s="10" t="inlineStr">
        <is>
          <t>0</t>
        </is>
      </c>
      <c r="R618" s="10" t="inlineStr">
        <is>
          <t>0</t>
        </is>
      </c>
      <c r="S618" s="10" t="inlineStr">
        <is>
          <t>0</t>
        </is>
      </c>
    </row>
    <row r="619" ht="409.5" customHeight="1">
      <c r="A619" s="6">
        <f>IFERROR(__xludf.DUMMYFUNCTION("""COMPUTED_VALUE"""),"Is it Good to be Beautiful?")</f>
        <v/>
      </c>
      <c r="B619" s="6">
        <f>IFERROR(__xludf.DUMMYFUNCTION("""COMPUTED_VALUE"""),"Resource")</f>
        <v/>
      </c>
      <c r="C619" s="6">
        <f>IFERROR(__xludf.DUMMYFUNCTION("""COMPUTED_VALUE"""),"Text 1.graasp")</f>
        <v/>
      </c>
      <c r="D619" s="7">
        <f>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
      </c>
      <c r="E619" s="7">
        <f>IFERROR(__xludf.DUMMYFUNCTION("""COMPUTED_VALUE"""),"No artifact embedded")</f>
        <v/>
      </c>
      <c r="F619" s="7" t="inlineStr">
        <is>
          <t>Students are given essay prompts and tasks, including writing about the digital divide and learning about natural and sexual selection processes in biology through online labs and inquiry phases.</t>
        </is>
      </c>
      <c r="G619" s="8" t="inlineStr">
        <is>
          <t>0</t>
        </is>
      </c>
      <c r="H619" s="8" t="inlineStr">
        <is>
          <t>1</t>
        </is>
      </c>
      <c r="I619" s="8" t="inlineStr">
        <is>
          <t>1</t>
        </is>
      </c>
      <c r="J619" s="8" t="inlineStr">
        <is>
          <t>1</t>
        </is>
      </c>
      <c r="K619" s="9" t="inlineStr">
        <is>
          <t>0</t>
        </is>
      </c>
      <c r="L619" s="9" t="inlineStr">
        <is>
          <t>1</t>
        </is>
      </c>
      <c r="M619" s="9" t="inlineStr">
        <is>
          <t>0</t>
        </is>
      </c>
      <c r="N619" s="9" t="inlineStr">
        <is>
          <t>0</t>
        </is>
      </c>
      <c r="O619" s="10" t="inlineStr">
        <is>
          <t>1</t>
        </is>
      </c>
      <c r="P619" s="10" t="inlineStr">
        <is>
          <t>0</t>
        </is>
      </c>
      <c r="Q619" s="10" t="inlineStr">
        <is>
          <t>0</t>
        </is>
      </c>
      <c r="R619" s="10" t="inlineStr">
        <is>
          <t>0</t>
        </is>
      </c>
      <c r="S619" s="10" t="inlineStr">
        <is>
          <t>0</t>
        </is>
      </c>
    </row>
    <row r="620" ht="217" customHeight="1">
      <c r="A620" s="6">
        <f>IFERROR(__xludf.DUMMYFUNCTION("""COMPUTED_VALUE"""),"Is it Good to be Beautiful?")</f>
        <v/>
      </c>
      <c r="B620" s="6">
        <f>IFERROR(__xludf.DUMMYFUNCTION("""COMPUTED_VALUE"""),"Resource")</f>
        <v/>
      </c>
      <c r="C620" s="6">
        <f>IFERROR(__xludf.DUMMYFUNCTION("""COMPUTED_VALUE"""),"Text 3.graasp")</f>
        <v/>
      </c>
      <c r="D620" s="7">
        <f>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
      </c>
      <c r="E620" s="7">
        <f>IFERROR(__xludf.DUMMYFUNCTION("""COMPUTED_VALUE"""),"No artifact embedded")</f>
        <v/>
      </c>
      <c r="F620" s="7" t="inlineStr">
        <is>
          <t>Students learn about natural and sexual selection through inquiry phases and experiments, acquiring scientific skills and answering the question if it's always good to look beautiful.</t>
        </is>
      </c>
      <c r="G620" s="8" t="inlineStr">
        <is>
          <t>1</t>
        </is>
      </c>
      <c r="H620" s="8" t="inlineStr">
        <is>
          <t>0</t>
        </is>
      </c>
      <c r="I620" s="8" t="inlineStr">
        <is>
          <t>0</t>
        </is>
      </c>
      <c r="J620" s="8" t="inlineStr">
        <is>
          <t>0</t>
        </is>
      </c>
      <c r="K620" s="9" t="inlineStr">
        <is>
          <t>1</t>
        </is>
      </c>
      <c r="L620" s="9" t="inlineStr">
        <is>
          <t>0</t>
        </is>
      </c>
      <c r="M620" s="9" t="inlineStr">
        <is>
          <t>0</t>
        </is>
      </c>
      <c r="N620" s="9" t="inlineStr">
        <is>
          <t>0</t>
        </is>
      </c>
      <c r="O620" s="10" t="inlineStr">
        <is>
          <t>1</t>
        </is>
      </c>
      <c r="P620" s="10" t="inlineStr">
        <is>
          <t>0</t>
        </is>
      </c>
      <c r="Q620" s="10" t="inlineStr">
        <is>
          <t>0</t>
        </is>
      </c>
      <c r="R620" s="10" t="inlineStr">
        <is>
          <t>0</t>
        </is>
      </c>
      <c r="S620" s="10" t="inlineStr">
        <is>
          <t>0</t>
        </is>
      </c>
    </row>
    <row r="621" ht="73" customHeight="1">
      <c r="A621" s="6">
        <f>IFERROR(__xludf.DUMMYFUNCTION("""COMPUTED_VALUE"""),"Is it Good to be Beautiful?")</f>
        <v/>
      </c>
      <c r="B621" s="6">
        <f>IFERROR(__xludf.DUMMYFUNCTION("""COMPUTED_VALUE"""),"Resource")</f>
        <v/>
      </c>
      <c r="C621" s="6">
        <f>IFERROR(__xludf.DUMMYFUNCTION("""COMPUTED_VALUE"""),"YouTube video")</f>
        <v/>
      </c>
      <c r="D621" s="7">
        <f>IFERROR(__xludf.DUMMYFUNCTION("""COMPUTED_VALUE"""),"No task description")</f>
        <v/>
      </c>
      <c r="E621" s="7">
        <f>IFERROR(__xludf.DUMMYFUNCTION("""COMPUTED_VALUE"""),"youtu.be: A shortened URL service for YouTube, leading to various videos on the platform.")</f>
        <v/>
      </c>
      <c r="F621" s="7" t="inlineStr">
        <is>
          <t>Students learn evolution through 5 inquiry phases. Embedded artifacts include a virtual lab and YouTube video on "Why Sexy is Sexy".</t>
        </is>
      </c>
      <c r="G621" s="8" t="inlineStr">
        <is>
          <t>1</t>
        </is>
      </c>
      <c r="H621" s="8" t="inlineStr">
        <is>
          <t>0</t>
        </is>
      </c>
      <c r="I621" s="8" t="inlineStr">
        <is>
          <t>0</t>
        </is>
      </c>
      <c r="J621" s="8" t="inlineStr">
        <is>
          <t>0</t>
        </is>
      </c>
      <c r="K621" s="9" t="inlineStr">
        <is>
          <t>1</t>
        </is>
      </c>
      <c r="L621" s="9" t="inlineStr">
        <is>
          <t>0</t>
        </is>
      </c>
      <c r="M621" s="9" t="inlineStr">
        <is>
          <t>0</t>
        </is>
      </c>
      <c r="N621" s="9" t="inlineStr">
        <is>
          <t>0</t>
        </is>
      </c>
      <c r="O621" s="10" t="inlineStr">
        <is>
          <t>0</t>
        </is>
      </c>
      <c r="P621" s="10" t="inlineStr">
        <is>
          <t>0</t>
        </is>
      </c>
      <c r="Q621" s="10" t="inlineStr">
        <is>
          <t>0</t>
        </is>
      </c>
      <c r="R621" s="10" t="inlineStr">
        <is>
          <t>0</t>
        </is>
      </c>
      <c r="S621" s="10" t="inlineStr">
        <is>
          <t>0</t>
        </is>
      </c>
    </row>
    <row r="622" ht="409.5" customHeight="1">
      <c r="A622" s="6">
        <f>IFERROR(__xludf.DUMMYFUNCTION("""COMPUTED_VALUE"""),"Is it Good to be Beautiful?")</f>
        <v/>
      </c>
      <c r="B622" s="6">
        <f>IFERROR(__xludf.DUMMYFUNCTION("""COMPUTED_VALUE"""),"Resource")</f>
        <v/>
      </c>
      <c r="C622" s="6">
        <f>IFERROR(__xludf.DUMMYFUNCTION("""COMPUTED_VALUE"""),"Text 4.graasp")</f>
        <v/>
      </c>
      <c r="D622" s="7">
        <f>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
      </c>
      <c r="E622" s="7">
        <f>IFERROR(__xludf.DUMMYFUNCTION("""COMPUTED_VALUE"""),"No artifact embedded")</f>
        <v/>
      </c>
      <c r="F622" s="7" t="inlineStr">
        <is>
          <t>Students watch a video, list spouse characteristics, and consider negative consequences using the Concept Mapper app. Embedded artifacts include a YouTube video link.</t>
        </is>
      </c>
      <c r="G622" s="8" t="inlineStr">
        <is>
          <t>0</t>
        </is>
      </c>
      <c r="H622" s="8" t="inlineStr">
        <is>
          <t>1</t>
        </is>
      </c>
      <c r="I622" s="8" t="inlineStr">
        <is>
          <t>1</t>
        </is>
      </c>
      <c r="J622" s="8" t="inlineStr">
        <is>
          <t>1</t>
        </is>
      </c>
      <c r="K622" s="9" t="inlineStr">
        <is>
          <t>0</t>
        </is>
      </c>
      <c r="L622" s="9" t="inlineStr">
        <is>
          <t>1</t>
        </is>
      </c>
      <c r="M622" s="9" t="inlineStr">
        <is>
          <t>0</t>
        </is>
      </c>
      <c r="N622" s="9" t="inlineStr">
        <is>
          <t>0</t>
        </is>
      </c>
      <c r="O622" s="10" t="inlineStr">
        <is>
          <t>0</t>
        </is>
      </c>
      <c r="P622" s="10" t="inlineStr">
        <is>
          <t>1</t>
        </is>
      </c>
      <c r="Q622" s="10" t="inlineStr">
        <is>
          <t>0</t>
        </is>
      </c>
      <c r="R622" s="10" t="inlineStr">
        <is>
          <t>0</t>
        </is>
      </c>
      <c r="S622" s="10" t="inlineStr">
        <is>
          <t>0</t>
        </is>
      </c>
    </row>
    <row r="623" ht="409.5" customHeight="1">
      <c r="A623" s="6">
        <f>IFERROR(__xludf.DUMMYFUNCTION("""COMPUTED_VALUE"""),"Is it Good to be Beautiful?")</f>
        <v/>
      </c>
      <c r="B623" s="6">
        <f>IFERROR(__xludf.DUMMYFUNCTION("""COMPUTED_VALUE"""),"Resource")</f>
        <v/>
      </c>
      <c r="C623" s="6">
        <f>IFERROR(__xludf.DUMMYFUNCTION("""COMPUTED_VALUE"""),"Text 5.graasp")</f>
        <v/>
      </c>
      <c r="D623" s="7">
        <f>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
      </c>
      <c r="E623" s="7">
        <f>IFERROR(__xludf.DUMMYFUNCTION("""COMPUTED_VALUE"""),"No artifact embedded")</f>
        <v/>
      </c>
      <c r="F623" s="7" t="inlineStr">
        <is>
          <t>Students received task descriptions and some had embedded artifacts, including a YouTube URL. Tasks involved concept mapping and reading about guppies.</t>
        </is>
      </c>
      <c r="G623" s="8" t="inlineStr">
        <is>
          <t>1</t>
        </is>
      </c>
      <c r="H623" s="8" t="inlineStr">
        <is>
          <t>0</t>
        </is>
      </c>
      <c r="I623" s="8" t="inlineStr">
        <is>
          <t>0</t>
        </is>
      </c>
      <c r="J623" s="8" t="inlineStr">
        <is>
          <t>1</t>
        </is>
      </c>
      <c r="K623" s="9" t="inlineStr">
        <is>
          <t>1</t>
        </is>
      </c>
      <c r="L623" s="9" t="inlineStr">
        <is>
          <t>0</t>
        </is>
      </c>
      <c r="M623" s="9" t="inlineStr">
        <is>
          <t>0</t>
        </is>
      </c>
      <c r="N623" s="9" t="inlineStr">
        <is>
          <t>0</t>
        </is>
      </c>
      <c r="O623" s="10" t="inlineStr">
        <is>
          <t>1</t>
        </is>
      </c>
      <c r="P623" s="10" t="inlineStr">
        <is>
          <t>0</t>
        </is>
      </c>
      <c r="Q623" s="10" t="inlineStr">
        <is>
          <t>0</t>
        </is>
      </c>
      <c r="R623" s="10" t="inlineStr">
        <is>
          <t>0</t>
        </is>
      </c>
      <c r="S623" s="10" t="inlineStr">
        <is>
          <t>0</t>
        </is>
      </c>
    </row>
    <row r="624" ht="25" customHeight="1">
      <c r="A624" s="6">
        <f>IFERROR(__xludf.DUMMYFUNCTION("""COMPUTED_VALUE"""),"Is it Good to be Beautiful?")</f>
        <v/>
      </c>
      <c r="B624" s="6">
        <f>IFERROR(__xludf.DUMMYFUNCTION("""COMPUTED_VALUE"""),"Space")</f>
        <v/>
      </c>
      <c r="C624" s="6">
        <f>IFERROR(__xludf.DUMMYFUNCTION("""COMPUTED_VALUE"""),"Conceptualization")</f>
        <v/>
      </c>
      <c r="D624" s="7">
        <f>IFERROR(__xludf.DUMMYFUNCTION("""COMPUTED_VALUE"""),"No task description")</f>
        <v/>
      </c>
      <c r="E624" s="7">
        <f>IFERROR(__xludf.DUMMYFUNCTION("""COMPUTED_VALUE"""),"No artifact embedded")</f>
        <v/>
      </c>
      <c r="F624" s="7" t="inlineStr">
        <is>
          <t>Students create concept maps and read about guppies to prepare for an inquiry investigation on natural and sexual selection.</t>
        </is>
      </c>
      <c r="G624" s="8" t="inlineStr">
        <is>
          <t>0</t>
        </is>
      </c>
      <c r="H624" s="8" t="inlineStr">
        <is>
          <t>0</t>
        </is>
      </c>
      <c r="I624" s="8" t="inlineStr">
        <is>
          <t>0</t>
        </is>
      </c>
      <c r="J624" s="8" t="inlineStr">
        <is>
          <t>0</t>
        </is>
      </c>
      <c r="K624" s="9" t="inlineStr">
        <is>
          <t>0</t>
        </is>
      </c>
      <c r="L624" s="9" t="inlineStr">
        <is>
          <t>0</t>
        </is>
      </c>
      <c r="M624" s="9" t="inlineStr">
        <is>
          <t>0</t>
        </is>
      </c>
      <c r="N624" s="9" t="inlineStr">
        <is>
          <t>0</t>
        </is>
      </c>
      <c r="O624" s="10" t="inlineStr">
        <is>
          <t>0</t>
        </is>
      </c>
      <c r="P624" s="10" t="inlineStr">
        <is>
          <t>0</t>
        </is>
      </c>
      <c r="Q624" s="10" t="inlineStr">
        <is>
          <t>0</t>
        </is>
      </c>
      <c r="R624" s="10" t="inlineStr">
        <is>
          <t>0</t>
        </is>
      </c>
      <c r="S624" s="10" t="inlineStr">
        <is>
          <t>0</t>
        </is>
      </c>
    </row>
    <row r="625" ht="409.5" customHeight="1">
      <c r="A625" s="6">
        <f>IFERROR(__xludf.DUMMYFUNCTION("""COMPUTED_VALUE"""),"Is it Good to be Beautiful?")</f>
        <v/>
      </c>
      <c r="B625" s="6">
        <f>IFERROR(__xludf.DUMMYFUNCTION("""COMPUTED_VALUE"""),"Resource")</f>
        <v/>
      </c>
      <c r="C625" s="6">
        <f>IFERROR(__xludf.DUMMYFUNCTION("""COMPUTED_VALUE"""),"Text 1.graasp")</f>
        <v/>
      </c>
      <c r="D625" s="7">
        <f>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
      </c>
      <c r="E625" s="7">
        <f>IFERROR(__xludf.DUMMYFUNCTION("""COMPUTED_VALUE"""),"No artifact embedded")</f>
        <v/>
      </c>
      <c r="F625" s="7" t="inlineStr">
        <is>
          <t>Students read about guppies and formulate research questions to investigate variation in male guppy spots using a virtual laboratory. No artifacts are embedded.</t>
        </is>
      </c>
      <c r="G625" s="8" t="inlineStr">
        <is>
          <t>0</t>
        </is>
      </c>
      <c r="H625" s="8" t="inlineStr">
        <is>
          <t>0</t>
        </is>
      </c>
      <c r="I625" s="8" t="inlineStr">
        <is>
          <t>1</t>
        </is>
      </c>
      <c r="J625" s="8" t="inlineStr">
        <is>
          <t>1</t>
        </is>
      </c>
      <c r="K625" s="9" t="inlineStr">
        <is>
          <t>1</t>
        </is>
      </c>
      <c r="L625" s="9" t="inlineStr">
        <is>
          <t>1</t>
        </is>
      </c>
      <c r="M625" s="9" t="inlineStr">
        <is>
          <t>0</t>
        </is>
      </c>
      <c r="N625" s="9" t="inlineStr">
        <is>
          <t>0</t>
        </is>
      </c>
      <c r="O625" s="10" t="inlineStr">
        <is>
          <t>1</t>
        </is>
      </c>
      <c r="P625" s="10" t="inlineStr">
        <is>
          <t>1</t>
        </is>
      </c>
      <c r="Q625" s="10" t="inlineStr">
        <is>
          <t>1</t>
        </is>
      </c>
      <c r="R625" s="10" t="inlineStr">
        <is>
          <t>0</t>
        </is>
      </c>
      <c r="S625" s="10" t="inlineStr">
        <is>
          <t>0</t>
        </is>
      </c>
    </row>
    <row r="626" ht="121" customHeight="1">
      <c r="A626" s="6">
        <f>IFERROR(__xludf.DUMMYFUNCTION("""COMPUTED_VALUE"""),"Is it Good to be Beautiful?")</f>
        <v/>
      </c>
      <c r="B626" s="6">
        <f>IFERROR(__xludf.DUMMYFUNCTION("""COMPUTED_VALUE"""),"Resource")</f>
        <v/>
      </c>
      <c r="C626" s="6">
        <f>IFERROR(__xludf.DUMMYFUNCTION("""COMPUTED_VALUE"""),"Figure1.jpg")</f>
        <v/>
      </c>
      <c r="D626" s="7">
        <f>IFERROR(__xludf.DUMMYFUNCTION("""COMPUTED_VALUE"""),"#spots per fish Time")</f>
        <v/>
      </c>
      <c r="E626" s="7">
        <f>IFERROR(__xludf.DUMMYFUNCTION("""COMPUTED_VALUE"""),"image/jpeg – A digital photograph or web image stored in a compressed format, often used for photography and web graphics.")</f>
        <v/>
      </c>
      <c r="F626" s="7" t="inlineStr">
        <is>
          <t>Students are tasked with formulating research questions on guppy variation. Embedded artifacts include no items, except an image/jpeg file in Item 3.</t>
        </is>
      </c>
      <c r="G626" s="8" t="inlineStr">
        <is>
          <t>1</t>
        </is>
      </c>
      <c r="H626" s="8" t="inlineStr">
        <is>
          <t>0</t>
        </is>
      </c>
      <c r="I626" s="8" t="inlineStr">
        <is>
          <t>0</t>
        </is>
      </c>
      <c r="J626" s="8" t="inlineStr">
        <is>
          <t>0</t>
        </is>
      </c>
      <c r="K626" s="9" t="inlineStr">
        <is>
          <t>1</t>
        </is>
      </c>
      <c r="L626" s="9" t="inlineStr">
        <is>
          <t>1</t>
        </is>
      </c>
      <c r="M626" s="9" t="inlineStr">
        <is>
          <t>0</t>
        </is>
      </c>
      <c r="N626" s="9" t="inlineStr">
        <is>
          <t>0</t>
        </is>
      </c>
      <c r="O626" s="10" t="inlineStr">
        <is>
          <t>0</t>
        </is>
      </c>
      <c r="P626" s="10" t="inlineStr">
        <is>
          <t>0</t>
        </is>
      </c>
      <c r="Q626" s="10" t="inlineStr">
        <is>
          <t>0</t>
        </is>
      </c>
      <c r="R626" s="10" t="inlineStr">
        <is>
          <t>0</t>
        </is>
      </c>
      <c r="S626" s="10" t="inlineStr">
        <is>
          <t>0</t>
        </is>
      </c>
    </row>
    <row r="627" ht="329" customHeight="1">
      <c r="A627" s="6">
        <f>IFERROR(__xludf.DUMMYFUNCTION("""COMPUTED_VALUE"""),"Is it Good to be Beautiful?")</f>
        <v/>
      </c>
      <c r="B627" s="6">
        <f>IFERROR(__xludf.DUMMYFUNCTION("""COMPUTED_VALUE"""),"Resource")</f>
        <v/>
      </c>
      <c r="C627" s="6">
        <f>IFERROR(__xludf.DUMMYFUNCTION("""COMPUTED_VALUE"""),"Text 2.graasp")</f>
        <v/>
      </c>
      <c r="D627" s="7">
        <f>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
      </c>
      <c r="E627" s="7">
        <f>IFERROR(__xludf.DUMMYFUNCTION("""COMPUTED_VALUE"""),"No artifact embedded")</f>
        <v/>
      </c>
      <c r="F627" s="7" t="inlineStr">
        <is>
          <t>Students formulate research questions on guppy variations. Embedded artifacts include a digital photograph (jpeg) and plots/table describing guppy trends.</t>
        </is>
      </c>
      <c r="G627" s="8" t="inlineStr">
        <is>
          <t>0</t>
        </is>
      </c>
      <c r="H627" s="8" t="inlineStr">
        <is>
          <t>0</t>
        </is>
      </c>
      <c r="I627" s="8" t="inlineStr">
        <is>
          <t>0</t>
        </is>
      </c>
      <c r="J627" s="8" t="inlineStr">
        <is>
          <t>1</t>
        </is>
      </c>
      <c r="K627" s="9" t="inlineStr">
        <is>
          <t>1</t>
        </is>
      </c>
      <c r="L627" s="9" t="inlineStr">
        <is>
          <t>0</t>
        </is>
      </c>
      <c r="M627" s="9" t="inlineStr">
        <is>
          <t>0</t>
        </is>
      </c>
      <c r="N627" s="9" t="inlineStr">
        <is>
          <t>0</t>
        </is>
      </c>
      <c r="O627" s="10" t="inlineStr">
        <is>
          <t>1</t>
        </is>
      </c>
      <c r="P627" s="10" t="inlineStr">
        <is>
          <t>1</t>
        </is>
      </c>
      <c r="Q627" s="10" t="inlineStr">
        <is>
          <t>1</t>
        </is>
      </c>
      <c r="R627" s="10" t="inlineStr">
        <is>
          <t>0</t>
        </is>
      </c>
      <c r="S627" s="10" t="inlineStr">
        <is>
          <t>0</t>
        </is>
      </c>
    </row>
    <row r="628" ht="409.5" customHeight="1">
      <c r="A628" s="6">
        <f>IFERROR(__xludf.DUMMYFUNCTION("""COMPUTED_VALUE"""),"Is it Good to be Beautiful?")</f>
        <v/>
      </c>
      <c r="B628" s="6">
        <f>IFERROR(__xludf.DUMMYFUNCTION("""COMPUTED_VALUE"""),"Resource")</f>
        <v/>
      </c>
      <c r="C628" s="6">
        <f>IFERROR(__xludf.DUMMYFUNCTION("""COMPUTED_VALUE"""),"Table1.html")</f>
        <v/>
      </c>
      <c r="D628" s="7">
        <f>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
      </c>
      <c r="E628" s="7">
        <f>IFERROR(__xludf.DUMMYFUNCTION("""COMPUTED_VALUE"""),"text/html – A webpage or web document that contains structured text, images, and links, designed for display in a web browser.")</f>
        <v/>
      </c>
      <c r="F628" s="7" t="inlineStr">
        <is>
          <t>Students analyze guppy trends and variables. Embedded artifacts include images and web documents.</t>
        </is>
      </c>
      <c r="G628" s="8" t="inlineStr">
        <is>
          <t>1</t>
        </is>
      </c>
      <c r="H628" s="8" t="inlineStr">
        <is>
          <t>1</t>
        </is>
      </c>
      <c r="I628" s="8" t="inlineStr">
        <is>
          <t>0</t>
        </is>
      </c>
      <c r="J628" s="8" t="inlineStr">
        <is>
          <t>0</t>
        </is>
      </c>
      <c r="K628" s="9" t="inlineStr">
        <is>
          <t>1</t>
        </is>
      </c>
      <c r="L628" s="9" t="inlineStr">
        <is>
          <t>0</t>
        </is>
      </c>
      <c r="M628" s="9" t="inlineStr">
        <is>
          <t>0</t>
        </is>
      </c>
      <c r="N628" s="9" t="inlineStr">
        <is>
          <t>0</t>
        </is>
      </c>
      <c r="O628" s="10" t="inlineStr">
        <is>
          <t>0</t>
        </is>
      </c>
      <c r="P628" s="10" t="inlineStr">
        <is>
          <t>1</t>
        </is>
      </c>
      <c r="Q628" s="10" t="inlineStr">
        <is>
          <t>1</t>
        </is>
      </c>
      <c r="R628" s="10" t="inlineStr">
        <is>
          <t>0</t>
        </is>
      </c>
      <c r="S628" s="10" t="inlineStr">
        <is>
          <t>0</t>
        </is>
      </c>
    </row>
    <row r="629" ht="409.5" customHeight="1">
      <c r="A629" s="6">
        <f>IFERROR(__xludf.DUMMYFUNCTION("""COMPUTED_VALUE"""),"Is it Good to be Beautiful?")</f>
        <v/>
      </c>
      <c r="B629" s="6">
        <f>IFERROR(__xludf.DUMMYFUNCTION("""COMPUTED_VALUE"""),"Resource")</f>
        <v/>
      </c>
      <c r="C629" s="6">
        <f>IFERROR(__xludf.DUMMYFUNCTION("""COMPUTED_VALUE"""),"Text 3.graasp")</f>
        <v/>
      </c>
      <c r="D629" s="7">
        <f>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
      </c>
      <c r="E629" s="7">
        <f>IFERROR(__xludf.DUMMYFUNCTION("""COMPUTED_VALUE"""),"No artifact embedded")</f>
        <v/>
      </c>
      <c r="F629" s="7" t="inlineStr">
        <is>
          <t>Students analyze guppy trends, familiarize themselves with variables, and formulate research questions using the Question Scratchpad app. Embedded artifacts include a webpage with structured text and images.</t>
        </is>
      </c>
      <c r="G629" s="8" t="inlineStr">
        <is>
          <t>0</t>
        </is>
      </c>
      <c r="H629" s="8" t="inlineStr">
        <is>
          <t>1</t>
        </is>
      </c>
      <c r="I629" s="8" t="inlineStr">
        <is>
          <t>1</t>
        </is>
      </c>
      <c r="J629" s="8" t="inlineStr">
        <is>
          <t>1</t>
        </is>
      </c>
      <c r="K629" s="9" t="inlineStr">
        <is>
          <t>0</t>
        </is>
      </c>
      <c r="L629" s="9" t="inlineStr">
        <is>
          <t>1</t>
        </is>
      </c>
      <c r="M629" s="9" t="inlineStr">
        <is>
          <t>0</t>
        </is>
      </c>
      <c r="N629" s="9" t="inlineStr">
        <is>
          <t>0</t>
        </is>
      </c>
      <c r="O629" s="10" t="inlineStr">
        <is>
          <t>1</t>
        </is>
      </c>
      <c r="P629" s="10" t="inlineStr">
        <is>
          <t>1</t>
        </is>
      </c>
      <c r="Q629" s="10" t="inlineStr">
        <is>
          <t>1</t>
        </is>
      </c>
      <c r="R629" s="10" t="inlineStr">
        <is>
          <t>0</t>
        </is>
      </c>
      <c r="S629" s="10" t="inlineStr">
        <is>
          <t>0</t>
        </is>
      </c>
    </row>
    <row r="630" ht="409.5" customHeight="1">
      <c r="A630" s="6">
        <f>IFERROR(__xludf.DUMMYFUNCTION("""COMPUTED_VALUE"""),"Is it Good to be Beautiful?")</f>
        <v/>
      </c>
      <c r="B630" s="6">
        <f>IFERROR(__xludf.DUMMYFUNCTION("""COMPUTED_VALUE"""),"Application")</f>
        <v/>
      </c>
      <c r="C630" s="6">
        <f>IFERROR(__xludf.DUMMYFUNCTION("""COMPUTED_VALUE"""),"Question Scratchpad")</f>
        <v/>
      </c>
      <c r="D630" s="7">
        <f>IFERROR(__xludf.DUMMYFUNCTION("""COMPUTED_VALUE"""),"No task description")</f>
        <v/>
      </c>
      <c r="E630"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630" s="7" t="inlineStr">
        <is>
          <t>Students formulate research questions using the Question Scratchpad app in a virtual lab on sexual selection in guppies. Embedded artifacts include a webpage and the Golabz app/lab.</t>
        </is>
      </c>
      <c r="G630" s="8" t="inlineStr">
        <is>
          <t>0</t>
        </is>
      </c>
      <c r="H630" s="8" t="inlineStr">
        <is>
          <t>1</t>
        </is>
      </c>
      <c r="I630" s="8" t="inlineStr">
        <is>
          <t>1</t>
        </is>
      </c>
      <c r="J630" s="8" t="inlineStr">
        <is>
          <t>0</t>
        </is>
      </c>
      <c r="K630" s="9" t="inlineStr">
        <is>
          <t>0</t>
        </is>
      </c>
      <c r="L630" s="9" t="inlineStr">
        <is>
          <t>1</t>
        </is>
      </c>
      <c r="M630" s="9" t="inlineStr">
        <is>
          <t>1</t>
        </is>
      </c>
      <c r="N630" s="9" t="inlineStr">
        <is>
          <t>1</t>
        </is>
      </c>
      <c r="O630" s="10" t="inlineStr">
        <is>
          <t>0</t>
        </is>
      </c>
      <c r="P630" s="10" t="inlineStr">
        <is>
          <t>1</t>
        </is>
      </c>
      <c r="Q630" s="10" t="inlineStr">
        <is>
          <t>1</t>
        </is>
      </c>
      <c r="R630" s="10" t="inlineStr">
        <is>
          <t>0</t>
        </is>
      </c>
      <c r="S630" s="10" t="inlineStr">
        <is>
          <t>0</t>
        </is>
      </c>
    </row>
    <row r="631" ht="409.5" customHeight="1">
      <c r="A631" s="6">
        <f>IFERROR(__xludf.DUMMYFUNCTION("""COMPUTED_VALUE"""),"Is it Good to be Beautiful?")</f>
        <v/>
      </c>
      <c r="B631" s="6">
        <f>IFERROR(__xludf.DUMMYFUNCTION("""COMPUTED_VALUE"""),"Resource")</f>
        <v/>
      </c>
      <c r="C631" s="6">
        <f>IFERROR(__xludf.DUMMYFUNCTION("""COMPUTED_VALUE"""),"Text 4.graasp")</f>
        <v/>
      </c>
      <c r="D631" s="7">
        <f>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
      </c>
      <c r="E631" s="7">
        <f>IFERROR(__xludf.DUMMYFUNCTION("""COMPUTED_VALUE"""),"No artifact embedded")</f>
        <v/>
      </c>
      <c r="F631" s="7" t="inlineStr">
        <is>
          <t>Students form research questions using the Question Scratchpad app and then generate three hypotheses with confidence levels using the Hypothesis Scratchpad app.</t>
        </is>
      </c>
      <c r="G631" s="8" t="inlineStr">
        <is>
          <t>0</t>
        </is>
      </c>
      <c r="H631" s="8" t="inlineStr">
        <is>
          <t>1</t>
        </is>
      </c>
      <c r="I631" s="8" t="inlineStr">
        <is>
          <t>1</t>
        </is>
      </c>
      <c r="J631" s="8" t="inlineStr">
        <is>
          <t>1</t>
        </is>
      </c>
      <c r="K631" s="9" t="inlineStr">
        <is>
          <t>0</t>
        </is>
      </c>
      <c r="L631" s="9" t="inlineStr">
        <is>
          <t>1</t>
        </is>
      </c>
      <c r="M631" s="9" t="inlineStr">
        <is>
          <t>0</t>
        </is>
      </c>
      <c r="N631" s="9" t="inlineStr">
        <is>
          <t>0</t>
        </is>
      </c>
      <c r="O631" s="10" t="inlineStr">
        <is>
          <t>0</t>
        </is>
      </c>
      <c r="P631" s="10" t="inlineStr">
        <is>
          <t>1</t>
        </is>
      </c>
      <c r="Q631" s="10" t="inlineStr">
        <is>
          <t>0</t>
        </is>
      </c>
      <c r="R631" s="10" t="inlineStr">
        <is>
          <t>0</t>
        </is>
      </c>
      <c r="S631" s="10" t="inlineStr">
        <is>
          <t>0</t>
        </is>
      </c>
    </row>
    <row r="632" ht="409.5" customHeight="1">
      <c r="A632" s="6">
        <f>IFERROR(__xludf.DUMMYFUNCTION("""COMPUTED_VALUE"""),"Is it Good to be Beautiful?")</f>
        <v/>
      </c>
      <c r="B632" s="6">
        <f>IFERROR(__xludf.DUMMYFUNCTION("""COMPUTED_VALUE"""),"Application")</f>
        <v/>
      </c>
      <c r="C632" s="6">
        <f>IFERROR(__xludf.DUMMYFUNCTION("""COMPUTED_VALUE"""),"Hypothesis Scratchpad")</f>
        <v/>
      </c>
      <c r="D632" s="7">
        <f>IFERROR(__xludf.DUMMYFUNCTION("""COMPUTED_VALUE"""),"No task description")</f>
        <v/>
      </c>
      <c r="E63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32" s="7" t="inlineStr">
        <is>
          <t>Students are given tasks and tools to formulate research questions and hypotheses using apps like Question Scratchpad and Hypothesis Scratchpad.</t>
        </is>
      </c>
      <c r="G632" s="8" t="inlineStr">
        <is>
          <t>0</t>
        </is>
      </c>
      <c r="H632" s="8" t="inlineStr">
        <is>
          <t>1</t>
        </is>
      </c>
      <c r="I632" s="8" t="inlineStr">
        <is>
          <t>1</t>
        </is>
      </c>
      <c r="J632" s="8" t="inlineStr">
        <is>
          <t>0</t>
        </is>
      </c>
      <c r="K632" s="9" t="inlineStr">
        <is>
          <t>0</t>
        </is>
      </c>
      <c r="L632" s="9" t="inlineStr">
        <is>
          <t>1</t>
        </is>
      </c>
      <c r="M632" s="9" t="inlineStr">
        <is>
          <t>1</t>
        </is>
      </c>
      <c r="N632" s="9" t="inlineStr">
        <is>
          <t>1</t>
        </is>
      </c>
      <c r="O632" s="10" t="inlineStr">
        <is>
          <t>0</t>
        </is>
      </c>
      <c r="P632" s="10" t="inlineStr">
        <is>
          <t>1</t>
        </is>
      </c>
      <c r="Q632" s="10" t="inlineStr">
        <is>
          <t>1</t>
        </is>
      </c>
      <c r="R632" s="10" t="inlineStr">
        <is>
          <t>0</t>
        </is>
      </c>
      <c r="S632" s="10" t="inlineStr">
        <is>
          <t>0</t>
        </is>
      </c>
    </row>
    <row r="633" ht="351" customHeight="1">
      <c r="A633" s="6">
        <f>IFERROR(__xludf.DUMMYFUNCTION("""COMPUTED_VALUE"""),"Is it Good to be Beautiful?")</f>
        <v/>
      </c>
      <c r="B633" s="6">
        <f>IFERROR(__xludf.DUMMYFUNCTION("""COMPUTED_VALUE"""),"Resource")</f>
        <v/>
      </c>
      <c r="C633" s="6">
        <f>IFERROR(__xludf.DUMMYFUNCTION("""COMPUTED_VALUE"""),"Text 5.graasp")</f>
        <v/>
      </c>
      <c r="D633" s="7">
        <f>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
      </c>
      <c r="E633" s="7">
        <f>IFERROR(__xludf.DUMMYFUNCTION("""COMPUTED_VALUE"""),"No artifact embedded")</f>
        <v/>
      </c>
      <c r="F633" s="7" t="inlineStr">
        <is>
          <t>Students form 3 hypotheses using the Hypothesis Scratchpad app, indicating confidence levels.</t>
        </is>
      </c>
      <c r="G633" s="8" t="inlineStr">
        <is>
          <t>0</t>
        </is>
      </c>
      <c r="H633" s="8" t="inlineStr">
        <is>
          <t>0</t>
        </is>
      </c>
      <c r="I633" s="8" t="inlineStr">
        <is>
          <t>0</t>
        </is>
      </c>
      <c r="J633" s="8" t="inlineStr">
        <is>
          <t>0</t>
        </is>
      </c>
      <c r="K633" s="9" t="inlineStr">
        <is>
          <t>1</t>
        </is>
      </c>
      <c r="L633" s="9" t="inlineStr">
        <is>
          <t>0</t>
        </is>
      </c>
      <c r="M633" s="9" t="inlineStr">
        <is>
          <t>0</t>
        </is>
      </c>
      <c r="N633" s="9" t="inlineStr">
        <is>
          <t>0</t>
        </is>
      </c>
      <c r="O633" s="10" t="inlineStr">
        <is>
          <t>0</t>
        </is>
      </c>
      <c r="P633" s="10" t="inlineStr">
        <is>
          <t>0</t>
        </is>
      </c>
      <c r="Q633" s="10" t="inlineStr">
        <is>
          <t>0</t>
        </is>
      </c>
      <c r="R633" s="10" t="inlineStr">
        <is>
          <t>0</t>
        </is>
      </c>
      <c r="S633" s="10" t="inlineStr">
        <is>
          <t>0</t>
        </is>
      </c>
    </row>
    <row r="634" ht="25" customHeight="1">
      <c r="A634" s="6">
        <f>IFERROR(__xludf.DUMMYFUNCTION("""COMPUTED_VALUE"""),"Is it Good to be Beautiful?")</f>
        <v/>
      </c>
      <c r="B634" s="6">
        <f>IFERROR(__xludf.DUMMYFUNCTION("""COMPUTED_VALUE"""),"Space")</f>
        <v/>
      </c>
      <c r="C634" s="6">
        <f>IFERROR(__xludf.DUMMYFUNCTION("""COMPUTED_VALUE"""),"Investigation")</f>
        <v/>
      </c>
      <c r="D634" s="7">
        <f>IFERROR(__xludf.DUMMYFUNCTION("""COMPUTED_VALUE"""),"No task description")</f>
        <v/>
      </c>
      <c r="E634" s="7">
        <f>IFERROR(__xludf.DUMMYFUNCTION("""COMPUTED_VALUE"""),"No artifact embedded")</f>
        <v/>
      </c>
      <c r="F634" s="7" t="inlineStr">
        <is>
          <t>Students were given tasks with descriptions and access to Golabz app/lab, specifically "The Hypothesis Scratchpad", with configuration options.</t>
        </is>
      </c>
      <c r="G634" s="8" t="inlineStr">
        <is>
          <t>0</t>
        </is>
      </c>
      <c r="H634" s="8" t="inlineStr">
        <is>
          <t>0</t>
        </is>
      </c>
      <c r="I634" s="8" t="inlineStr">
        <is>
          <t>0</t>
        </is>
      </c>
      <c r="J634" s="8" t="inlineStr">
        <is>
          <t>0</t>
        </is>
      </c>
      <c r="K634" s="9" t="inlineStr">
        <is>
          <t>0</t>
        </is>
      </c>
      <c r="L634" s="9" t="inlineStr">
        <is>
          <t>0</t>
        </is>
      </c>
      <c r="M634" s="9" t="inlineStr">
        <is>
          <t>0</t>
        </is>
      </c>
      <c r="N634" s="9" t="inlineStr">
        <is>
          <t>0</t>
        </is>
      </c>
      <c r="O634" s="10" t="inlineStr">
        <is>
          <t>0</t>
        </is>
      </c>
      <c r="P634" s="10" t="inlineStr">
        <is>
          <t>0</t>
        </is>
      </c>
      <c r="Q634" s="10" t="inlineStr">
        <is>
          <t>0</t>
        </is>
      </c>
      <c r="R634" s="10" t="inlineStr">
        <is>
          <t>0</t>
        </is>
      </c>
      <c r="S634" s="10" t="inlineStr">
        <is>
          <t>0</t>
        </is>
      </c>
    </row>
    <row r="635" ht="409.5" customHeight="1">
      <c r="A635" s="6">
        <f>IFERROR(__xludf.DUMMYFUNCTION("""COMPUTED_VALUE"""),"Is it Good to be Beautiful?")</f>
        <v/>
      </c>
      <c r="B635" s="6">
        <f>IFERROR(__xludf.DUMMYFUNCTION("""COMPUTED_VALUE"""),"Resource")</f>
        <v/>
      </c>
      <c r="C635" s="6">
        <f>IFERROR(__xludf.DUMMYFUNCTION("""COMPUTED_VALUE"""),"Text 1.graasp")</f>
        <v/>
      </c>
      <c r="D635" s="7">
        <f>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
      </c>
      <c r="E635" s="7">
        <f>IFERROR(__xludf.DUMMYFUNCTION("""COMPUTED_VALUE"""),"No artifact embedded")</f>
        <v/>
      </c>
      <c r="F635" s="7" t="inlineStr">
        <is>
          <t>Students were instructed to formulate hypotheses, use a virtual lab to test them, and record observations using the Observation tool. No artifacts were embedded in any items.</t>
        </is>
      </c>
      <c r="G635" s="8" t="inlineStr">
        <is>
          <t>0</t>
        </is>
      </c>
      <c r="H635" s="8" t="inlineStr">
        <is>
          <t>1</t>
        </is>
      </c>
      <c r="I635" s="8" t="inlineStr">
        <is>
          <t>1</t>
        </is>
      </c>
      <c r="J635" s="8" t="inlineStr">
        <is>
          <t>1</t>
        </is>
      </c>
      <c r="K635" s="9" t="inlineStr">
        <is>
          <t>0</t>
        </is>
      </c>
      <c r="L635" s="9" t="inlineStr">
        <is>
          <t>1</t>
        </is>
      </c>
      <c r="M635" s="9" t="inlineStr">
        <is>
          <t>0</t>
        </is>
      </c>
      <c r="N635" s="9" t="inlineStr">
        <is>
          <t>0</t>
        </is>
      </c>
      <c r="O635" s="10" t="inlineStr">
        <is>
          <t>0</t>
        </is>
      </c>
      <c r="P635" s="10" t="inlineStr">
        <is>
          <t>0</t>
        </is>
      </c>
      <c r="Q635" s="10" t="inlineStr">
        <is>
          <t>1</t>
        </is>
      </c>
      <c r="R635" s="10" t="inlineStr">
        <is>
          <t>0</t>
        </is>
      </c>
      <c r="S635" s="10" t="inlineStr">
        <is>
          <t>0</t>
        </is>
      </c>
    </row>
    <row r="636" ht="285" customHeight="1">
      <c r="A636" s="6">
        <f>IFERROR(__xludf.DUMMYFUNCTION("""COMPUTED_VALUE"""),"Is it Good to be Beautiful?")</f>
        <v/>
      </c>
      <c r="B636" s="6">
        <f>IFERROR(__xludf.DUMMYFUNCTION("""COMPUTED_VALUE"""),"Application")</f>
        <v/>
      </c>
      <c r="C636" s="6">
        <f>IFERROR(__xludf.DUMMYFUNCTION("""COMPUTED_VALUE"""),"Sexual Selection in Guppies (HTML5)")</f>
        <v/>
      </c>
      <c r="D636" s="7">
        <f>IFERROR(__xludf.DUMMYFUNCTION("""COMPUTED_VALUE"""),"No task description")</f>
        <v/>
      </c>
      <c r="E636" s="7">
        <f>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
      </c>
      <c r="F636" s="7" t="inlineStr">
        <is>
          <t>Students use a virtual lab to test hypotheses about sexual selection in guppies, recording observations and measurements to inform their conclusions.</t>
        </is>
      </c>
      <c r="G636" s="8" t="inlineStr">
        <is>
          <t>0</t>
        </is>
      </c>
      <c r="H636" s="8" t="inlineStr">
        <is>
          <t>1</t>
        </is>
      </c>
      <c r="I636" s="8" t="inlineStr">
        <is>
          <t>1</t>
        </is>
      </c>
      <c r="J636" s="8" t="inlineStr">
        <is>
          <t>1</t>
        </is>
      </c>
      <c r="K636" s="9" t="inlineStr">
        <is>
          <t>1</t>
        </is>
      </c>
      <c r="L636" s="9" t="inlineStr">
        <is>
          <t>1</t>
        </is>
      </c>
      <c r="M636" s="9" t="inlineStr">
        <is>
          <t>0</t>
        </is>
      </c>
      <c r="N636" s="9" t="inlineStr">
        <is>
          <t>0</t>
        </is>
      </c>
      <c r="O636" s="10" t="inlineStr">
        <is>
          <t>1</t>
        </is>
      </c>
      <c r="P636" s="10" t="inlineStr">
        <is>
          <t>1</t>
        </is>
      </c>
      <c r="Q636" s="10" t="inlineStr">
        <is>
          <t>1</t>
        </is>
      </c>
      <c r="R636" s="10" t="inlineStr">
        <is>
          <t>0</t>
        </is>
      </c>
      <c r="S636" s="10" t="inlineStr">
        <is>
          <t>0</t>
        </is>
      </c>
    </row>
    <row r="637" ht="229" customHeight="1">
      <c r="A637" s="6">
        <f>IFERROR(__xludf.DUMMYFUNCTION("""COMPUTED_VALUE"""),"Is it Good to be Beautiful?")</f>
        <v/>
      </c>
      <c r="B637" s="6">
        <f>IFERROR(__xludf.DUMMYFUNCTION("""COMPUTED_VALUE"""),"Resource")</f>
        <v/>
      </c>
      <c r="C637" s="6">
        <f>IFERROR(__xludf.DUMMYFUNCTION("""COMPUTED_VALUE"""),"Text 2.graasp")</f>
        <v/>
      </c>
      <c r="D637" s="7">
        <f>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
      </c>
      <c r="E637" s="7">
        <f>IFERROR(__xludf.DUMMYFUNCTION("""COMPUTED_VALUE"""),"No artifact embedded")</f>
        <v/>
      </c>
      <c r="F637" s="7" t="inlineStr">
        <is>
          <t>Students are instructed to experiment with virtual labs, record observations, and test hypotheses. Embedded artifacts include the Golabz app/lab simulating Endler's guppy experiment.</t>
        </is>
      </c>
      <c r="G637" s="8" t="inlineStr">
        <is>
          <t>0</t>
        </is>
      </c>
      <c r="H637" s="8" t="inlineStr">
        <is>
          <t>1</t>
        </is>
      </c>
      <c r="I637" s="8" t="inlineStr">
        <is>
          <t>1</t>
        </is>
      </c>
      <c r="J637" s="8" t="inlineStr">
        <is>
          <t>1</t>
        </is>
      </c>
      <c r="K637" s="9" t="inlineStr">
        <is>
          <t>0</t>
        </is>
      </c>
      <c r="L637" s="9" t="inlineStr">
        <is>
          <t>1</t>
        </is>
      </c>
      <c r="M637" s="9" t="inlineStr">
        <is>
          <t>0</t>
        </is>
      </c>
      <c r="N637" s="9" t="inlineStr">
        <is>
          <t>0</t>
        </is>
      </c>
      <c r="O637" s="10" t="inlineStr">
        <is>
          <t>0</t>
        </is>
      </c>
      <c r="P637" s="10" t="inlineStr">
        <is>
          <t>0</t>
        </is>
      </c>
      <c r="Q637" s="10" t="inlineStr">
        <is>
          <t>1</t>
        </is>
      </c>
      <c r="R637" s="10" t="inlineStr">
        <is>
          <t>0</t>
        </is>
      </c>
      <c r="S637" s="10" t="inlineStr">
        <is>
          <t>0</t>
        </is>
      </c>
    </row>
    <row r="638" ht="395" customHeight="1">
      <c r="A638" s="6">
        <f>IFERROR(__xludf.DUMMYFUNCTION("""COMPUTED_VALUE"""),"Is it Good to be Beautiful?")</f>
        <v/>
      </c>
      <c r="B638" s="6">
        <f>IFERROR(__xludf.DUMMYFUNCTION("""COMPUTED_VALUE"""),"Application")</f>
        <v/>
      </c>
      <c r="C638" s="6">
        <f>IFERROR(__xludf.DUMMYFUNCTION("""COMPUTED_VALUE"""),"Observation Tool")</f>
        <v/>
      </c>
      <c r="D638" s="7">
        <f>IFERROR(__xludf.DUMMYFUNCTION("""COMPUTED_VALUE"""),"No task description")</f>
        <v/>
      </c>
      <c r="E63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38" s="7" t="inlineStr">
        <is>
          <t>Students use Golabz apps and Observation Tools with tasks including experimenting with guppy mating preferences and recording observations.</t>
        </is>
      </c>
      <c r="G638" s="8" t="inlineStr">
        <is>
          <t>0</t>
        </is>
      </c>
      <c r="H638" s="8" t="inlineStr">
        <is>
          <t>1</t>
        </is>
      </c>
      <c r="I638" s="8" t="inlineStr">
        <is>
          <t>1</t>
        </is>
      </c>
      <c r="J638" s="8" t="inlineStr">
        <is>
          <t>1</t>
        </is>
      </c>
      <c r="K638" s="9" t="inlineStr">
        <is>
          <t>0</t>
        </is>
      </c>
      <c r="L638" s="9" t="inlineStr">
        <is>
          <t>1</t>
        </is>
      </c>
      <c r="M638" s="9" t="inlineStr">
        <is>
          <t>1</t>
        </is>
      </c>
      <c r="N638" s="9" t="inlineStr">
        <is>
          <t>1</t>
        </is>
      </c>
      <c r="O638" s="10" t="inlineStr">
        <is>
          <t>0</t>
        </is>
      </c>
      <c r="P638" s="10" t="inlineStr">
        <is>
          <t>0</t>
        </is>
      </c>
      <c r="Q638" s="10" t="inlineStr">
        <is>
          <t>1</t>
        </is>
      </c>
      <c r="R638" s="10" t="inlineStr">
        <is>
          <t>1</t>
        </is>
      </c>
      <c r="S638" s="10" t="inlineStr">
        <is>
          <t>1</t>
        </is>
      </c>
    </row>
    <row r="639" ht="409.5" customHeight="1">
      <c r="A639" s="6">
        <f>IFERROR(__xludf.DUMMYFUNCTION("""COMPUTED_VALUE"""),"Is it Good to be Beautiful?")</f>
        <v/>
      </c>
      <c r="B639" s="6">
        <f>IFERROR(__xludf.DUMMYFUNCTION("""COMPUTED_VALUE"""),"Resource")</f>
        <v/>
      </c>
      <c r="C639" s="6">
        <f>IFERROR(__xludf.DUMMYFUNCTION("""COMPUTED_VALUE"""),"Text 3.graasp")</f>
        <v/>
      </c>
      <c r="D639" s="7">
        <f>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
      </c>
      <c r="E639" s="7">
        <f>IFERROR(__xludf.DUMMYFUNCTION("""COMPUTED_VALUE"""),"No artifact embedded")</f>
        <v/>
      </c>
      <c r="F639" s="7" t="inlineStr">
        <is>
          <t>Students use the Observation Tool app to record experiment observations, with instructions to add new lines for each entry. The Golabz app/lab allows retrieval of observations and data analysis for conclusion drawing.</t>
        </is>
      </c>
      <c r="G639" s="8" t="inlineStr">
        <is>
          <t>0</t>
        </is>
      </c>
      <c r="H639" s="8" t="inlineStr">
        <is>
          <t>0</t>
        </is>
      </c>
      <c r="I639" s="8" t="inlineStr">
        <is>
          <t>0</t>
        </is>
      </c>
      <c r="J639" s="8" t="inlineStr">
        <is>
          <t>1</t>
        </is>
      </c>
      <c r="K639" s="9" t="inlineStr">
        <is>
          <t>1</t>
        </is>
      </c>
      <c r="L639" s="9" t="inlineStr">
        <is>
          <t>1</t>
        </is>
      </c>
      <c r="M639" s="9" t="inlineStr">
        <is>
          <t>0</t>
        </is>
      </c>
      <c r="N639" s="9" t="inlineStr">
        <is>
          <t>0</t>
        </is>
      </c>
      <c r="O639" s="10" t="inlineStr">
        <is>
          <t>0</t>
        </is>
      </c>
      <c r="P639" s="10" t="inlineStr">
        <is>
          <t>0</t>
        </is>
      </c>
      <c r="Q639" s="10" t="inlineStr">
        <is>
          <t>0</t>
        </is>
      </c>
      <c r="R639" s="10" t="inlineStr">
        <is>
          <t>1</t>
        </is>
      </c>
      <c r="S639" s="10" t="inlineStr">
        <is>
          <t>0</t>
        </is>
      </c>
    </row>
    <row r="640" ht="25" customHeight="1">
      <c r="A640" s="6">
        <f>IFERROR(__xludf.DUMMYFUNCTION("""COMPUTED_VALUE"""),"Is it Good to be Beautiful?")</f>
        <v/>
      </c>
      <c r="B640" s="6">
        <f>IFERROR(__xludf.DUMMYFUNCTION("""COMPUTED_VALUE"""),"Space")</f>
        <v/>
      </c>
      <c r="C640" s="6">
        <f>IFERROR(__xludf.DUMMYFUNCTION("""COMPUTED_VALUE"""),"Conclusion")</f>
        <v/>
      </c>
      <c r="D640" s="7">
        <f>IFERROR(__xludf.DUMMYFUNCTION("""COMPUTED_VALUE"""),"No task description")</f>
        <v/>
      </c>
      <c r="E640" s="7">
        <f>IFERROR(__xludf.DUMMYFUNCTION("""COMPUTED_VALUE"""),"No artifact embedded")</f>
        <v/>
      </c>
      <c r="F640" s="7" t="inlineStr">
        <is>
          <t>Students use Golabz app to record observations and analyze experiments. Later, they verify if enough data was collected to accept or reject hypotheses using the observation tool.</t>
        </is>
      </c>
      <c r="G640" s="8" t="inlineStr">
        <is>
          <t>0</t>
        </is>
      </c>
      <c r="H640" s="8" t="inlineStr">
        <is>
          <t>0</t>
        </is>
      </c>
      <c r="I640" s="8" t="inlineStr">
        <is>
          <t>0</t>
        </is>
      </c>
      <c r="J640" s="8" t="inlineStr">
        <is>
          <t>0</t>
        </is>
      </c>
      <c r="K640" s="9" t="inlineStr">
        <is>
          <t>0</t>
        </is>
      </c>
      <c r="L640" s="9" t="inlineStr">
        <is>
          <t>0</t>
        </is>
      </c>
      <c r="M640" s="9" t="inlineStr">
        <is>
          <t>0</t>
        </is>
      </c>
      <c r="N640" s="9" t="inlineStr">
        <is>
          <t>0</t>
        </is>
      </c>
      <c r="O640" s="10" t="inlineStr">
        <is>
          <t>0</t>
        </is>
      </c>
      <c r="P640" s="10" t="inlineStr">
        <is>
          <t>0</t>
        </is>
      </c>
      <c r="Q640" s="10" t="inlineStr">
        <is>
          <t>0</t>
        </is>
      </c>
      <c r="R640" s="10" t="inlineStr">
        <is>
          <t>0</t>
        </is>
      </c>
      <c r="S640" s="10" t="inlineStr">
        <is>
          <t>0</t>
        </is>
      </c>
    </row>
    <row r="641" ht="409.5" customHeight="1">
      <c r="A641" s="6">
        <f>IFERROR(__xludf.DUMMYFUNCTION("""COMPUTED_VALUE"""),"Is it Good to be Beautiful?")</f>
        <v/>
      </c>
      <c r="B641" s="6">
        <f>IFERROR(__xludf.DUMMYFUNCTION("""COMPUTED_VALUE"""),"Resource")</f>
        <v/>
      </c>
      <c r="C641" s="6">
        <f>IFERROR(__xludf.DUMMYFUNCTION("""COMPUTED_VALUE"""),"Text 1.graasp")</f>
        <v/>
      </c>
      <c r="D641" s="7">
        <f>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
      </c>
      <c r="E641" s="7">
        <f>IFERROR(__xludf.DUMMYFUNCTION("""COMPUTED_VALUE"""),"No artifact embedded")</f>
        <v/>
      </c>
      <c r="F641" s="7" t="inlineStr">
        <is>
          <t>Students are instructed to conclude investigations by analyzing data, accepting or rejecting hypotheses, and writing conclusions in the Conclusion phase. No artifacts are embedded.</t>
        </is>
      </c>
      <c r="G641" s="8" t="inlineStr">
        <is>
          <t>0</t>
        </is>
      </c>
      <c r="H641" s="8" t="inlineStr">
        <is>
          <t>0</t>
        </is>
      </c>
      <c r="I641" s="8" t="inlineStr">
        <is>
          <t>1</t>
        </is>
      </c>
      <c r="J641" s="8" t="inlineStr">
        <is>
          <t>1</t>
        </is>
      </c>
      <c r="K641" s="9" t="inlineStr">
        <is>
          <t>0</t>
        </is>
      </c>
      <c r="L641" s="9" t="inlineStr">
        <is>
          <t>1</t>
        </is>
      </c>
      <c r="M641" s="9" t="inlineStr">
        <is>
          <t>0</t>
        </is>
      </c>
      <c r="N641" s="9" t="inlineStr">
        <is>
          <t>0</t>
        </is>
      </c>
      <c r="O641" s="10" t="inlineStr">
        <is>
          <t>0</t>
        </is>
      </c>
      <c r="P641" s="10" t="inlineStr">
        <is>
          <t>0</t>
        </is>
      </c>
      <c r="Q641" s="10" t="inlineStr">
        <is>
          <t>0</t>
        </is>
      </c>
      <c r="R641" s="10" t="inlineStr">
        <is>
          <t>1</t>
        </is>
      </c>
      <c r="S641" s="10" t="inlineStr">
        <is>
          <t>0</t>
        </is>
      </c>
    </row>
    <row r="642" ht="409.5" customHeight="1">
      <c r="A642" s="6">
        <f>IFERROR(__xludf.DUMMYFUNCTION("""COMPUTED_VALUE"""),"Is it Good to be Beautiful?")</f>
        <v/>
      </c>
      <c r="B642" s="6">
        <f>IFERROR(__xludf.DUMMYFUNCTION("""COMPUTED_VALUE"""),"Application")</f>
        <v/>
      </c>
      <c r="C642" s="6">
        <f>IFERROR(__xludf.DUMMYFUNCTION("""COMPUTED_VALUE"""),"Conclusion Tool")</f>
        <v/>
      </c>
      <c r="D642" s="7">
        <f>IFERROR(__xludf.DUMMYFUNCTION("""COMPUTED_VALUE"""),"No task description")</f>
        <v/>
      </c>
      <c r="E64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42" s="7" t="inlineStr">
        <is>
          <t>Students evaluate evidence to accept or reject hypotheses. Embedded artifacts include virtual lab data and observations.</t>
        </is>
      </c>
      <c r="G642" s="8" t="inlineStr">
        <is>
          <t>0</t>
        </is>
      </c>
      <c r="H642" s="8" t="inlineStr">
        <is>
          <t>1</t>
        </is>
      </c>
      <c r="I642" s="8" t="inlineStr">
        <is>
          <t>1</t>
        </is>
      </c>
      <c r="J642" s="8" t="inlineStr">
        <is>
          <t>0</t>
        </is>
      </c>
      <c r="K642" s="9" t="inlineStr">
        <is>
          <t>1</t>
        </is>
      </c>
      <c r="L642" s="9" t="inlineStr">
        <is>
          <t>1</t>
        </is>
      </c>
      <c r="M642" s="9" t="inlineStr">
        <is>
          <t>0</t>
        </is>
      </c>
      <c r="N642" s="9" t="inlineStr">
        <is>
          <t>0</t>
        </is>
      </c>
      <c r="O642" s="10" t="inlineStr">
        <is>
          <t>0</t>
        </is>
      </c>
      <c r="P642" s="10" t="inlineStr">
        <is>
          <t>1</t>
        </is>
      </c>
      <c r="Q642" s="10" t="inlineStr">
        <is>
          <t>0</t>
        </is>
      </c>
      <c r="R642" s="10" t="inlineStr">
        <is>
          <t>1</t>
        </is>
      </c>
      <c r="S642" s="10" t="inlineStr">
        <is>
          <t>1</t>
        </is>
      </c>
    </row>
    <row r="643" ht="409.5" customHeight="1">
      <c r="A643" s="6">
        <f>IFERROR(__xludf.DUMMYFUNCTION("""COMPUTED_VALUE"""),"Is it Good to be Beautiful?")</f>
        <v/>
      </c>
      <c r="B643" s="6">
        <f>IFERROR(__xludf.DUMMYFUNCTION("""COMPUTED_VALUE"""),"Resource")</f>
        <v/>
      </c>
      <c r="C643" s="6">
        <f>IFERROR(__xludf.DUMMYFUNCTION("""COMPUTED_VALUE"""),"Text 2.graasp")</f>
        <v/>
      </c>
      <c r="D643" s="7">
        <f>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
      </c>
      <c r="E643" s="7">
        <f>IFERROR(__xludf.DUMMYFUNCTION("""COMPUTED_VALUE"""),"No artifact embedded")</f>
        <v/>
      </c>
      <c r="F643" s="7" t="inlineStr">
        <is>
          <t>Students are guided through a conclusion phase, evaluating hypotheses based on collected data and observations using the Conclusion tool, with optional configuration by teachers.</t>
        </is>
      </c>
      <c r="G643" s="8" t="inlineStr">
        <is>
          <t>0</t>
        </is>
      </c>
      <c r="H643" s="8" t="inlineStr">
        <is>
          <t>0</t>
        </is>
      </c>
      <c r="I643" s="8" t="inlineStr">
        <is>
          <t>0</t>
        </is>
      </c>
      <c r="J643" s="8" t="inlineStr">
        <is>
          <t>0</t>
        </is>
      </c>
      <c r="K643" s="9" t="inlineStr">
        <is>
          <t>1</t>
        </is>
      </c>
      <c r="L643" s="9" t="inlineStr">
        <is>
          <t>0</t>
        </is>
      </c>
      <c r="M643" s="9" t="inlineStr">
        <is>
          <t>1</t>
        </is>
      </c>
      <c r="N643" s="9" t="inlineStr">
        <is>
          <t>0</t>
        </is>
      </c>
      <c r="O643" s="10" t="inlineStr">
        <is>
          <t>0</t>
        </is>
      </c>
      <c r="P643" s="10" t="inlineStr">
        <is>
          <t>0</t>
        </is>
      </c>
      <c r="Q643" s="10" t="inlineStr">
        <is>
          <t>0</t>
        </is>
      </c>
      <c r="R643" s="10" t="inlineStr">
        <is>
          <t>0</t>
        </is>
      </c>
      <c r="S643" s="10" t="inlineStr">
        <is>
          <t>0</t>
        </is>
      </c>
    </row>
    <row r="644" ht="25" customHeight="1">
      <c r="A644" s="6">
        <f>IFERROR(__xludf.DUMMYFUNCTION("""COMPUTED_VALUE"""),"Is it Good to be Beautiful?")</f>
        <v/>
      </c>
      <c r="B644" s="6">
        <f>IFERROR(__xludf.DUMMYFUNCTION("""COMPUTED_VALUE"""),"Space")</f>
        <v/>
      </c>
      <c r="C644" s="6">
        <f>IFERROR(__xludf.DUMMYFUNCTION("""COMPUTED_VALUE"""),"Discussion")</f>
        <v/>
      </c>
      <c r="D644" s="7">
        <f>IFERROR(__xludf.DUMMYFUNCTION("""COMPUTED_VALUE"""),"No task description")</f>
        <v/>
      </c>
      <c r="E644" s="7">
        <f>IFERROR(__xludf.DUMMYFUNCTION("""COMPUTED_VALUE"""),"No artifact embedded")</f>
        <v/>
      </c>
      <c r="F644" s="7" t="inlineStr">
        <is>
          <t>Students are given tasks and access to Golabz app/lab with configuration options.</t>
        </is>
      </c>
      <c r="G644" s="8" t="inlineStr">
        <is>
          <t>0</t>
        </is>
      </c>
      <c r="H644" s="8" t="inlineStr">
        <is>
          <t>0</t>
        </is>
      </c>
      <c r="I644" s="8" t="inlineStr">
        <is>
          <t>0</t>
        </is>
      </c>
      <c r="J644" s="8" t="inlineStr">
        <is>
          <t>0</t>
        </is>
      </c>
      <c r="K644" s="9" t="inlineStr">
        <is>
          <t>0</t>
        </is>
      </c>
      <c r="L644" s="9" t="inlineStr">
        <is>
          <t>0</t>
        </is>
      </c>
      <c r="M644" s="9" t="inlineStr">
        <is>
          <t>0</t>
        </is>
      </c>
      <c r="N644" s="9" t="inlineStr">
        <is>
          <t>0</t>
        </is>
      </c>
      <c r="O644" s="10" t="inlineStr">
        <is>
          <t>0</t>
        </is>
      </c>
      <c r="P644" s="10" t="inlineStr">
        <is>
          <t>0</t>
        </is>
      </c>
      <c r="Q644" s="10" t="inlineStr">
        <is>
          <t>0</t>
        </is>
      </c>
      <c r="R644" s="10" t="inlineStr">
        <is>
          <t>0</t>
        </is>
      </c>
      <c r="S644" s="10" t="inlineStr">
        <is>
          <t>0</t>
        </is>
      </c>
    </row>
    <row r="645" ht="395" customHeight="1">
      <c r="A645" s="6">
        <f>IFERROR(__xludf.DUMMYFUNCTION("""COMPUTED_VALUE"""),"Is it Good to be Beautiful?")</f>
        <v/>
      </c>
      <c r="B645" s="6">
        <f>IFERROR(__xludf.DUMMYFUNCTION("""COMPUTED_VALUE"""),"Resource")</f>
        <v/>
      </c>
      <c r="C645" s="6">
        <f>IFERROR(__xludf.DUMMYFUNCTION("""COMPUTED_VALUE"""),"Text 1.graasp")</f>
        <v/>
      </c>
      <c r="D645" s="7">
        <f>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
      </c>
      <c r="E645" s="7">
        <f>IFERROR(__xludf.DUMMYFUNCTION("""COMPUTED_VALUE"""),"No artifact embedded")</f>
        <v/>
      </c>
      <c r="F645" s="7" t="inlineStr">
        <is>
          <t>Students are instructed to proceed to the Discussion phase and reflect on their work by answering questions after refreshing a reflection tool, with no artifacts embedded in any items.</t>
        </is>
      </c>
      <c r="G645" s="8" t="inlineStr">
        <is>
          <t>0</t>
        </is>
      </c>
      <c r="H645" s="8" t="inlineStr">
        <is>
          <t>0</t>
        </is>
      </c>
      <c r="I645" s="8" t="inlineStr">
        <is>
          <t>1</t>
        </is>
      </c>
      <c r="J645" s="8" t="inlineStr">
        <is>
          <t>1</t>
        </is>
      </c>
      <c r="K645" s="9" t="inlineStr">
        <is>
          <t>0</t>
        </is>
      </c>
      <c r="L645" s="9" t="inlineStr">
        <is>
          <t>1</t>
        </is>
      </c>
      <c r="M645" s="9" t="inlineStr">
        <is>
          <t>0</t>
        </is>
      </c>
      <c r="N645" s="9" t="inlineStr">
        <is>
          <t>0</t>
        </is>
      </c>
      <c r="O645" s="10" t="inlineStr">
        <is>
          <t>0</t>
        </is>
      </c>
      <c r="P645" s="10" t="inlineStr">
        <is>
          <t>0</t>
        </is>
      </c>
      <c r="Q645" s="10" t="inlineStr">
        <is>
          <t>0</t>
        </is>
      </c>
      <c r="R645" s="10" t="inlineStr">
        <is>
          <t>0</t>
        </is>
      </c>
      <c r="S645" s="10" t="inlineStr">
        <is>
          <t>1</t>
        </is>
      </c>
    </row>
    <row r="646" ht="229" customHeight="1">
      <c r="A646" s="6">
        <f>IFERROR(__xludf.DUMMYFUNCTION("""COMPUTED_VALUE"""),"Is it Good to be Beautiful?")</f>
        <v/>
      </c>
      <c r="B646" s="6">
        <f>IFERROR(__xludf.DUMMYFUNCTION("""COMPUTED_VALUE"""),"Application")</f>
        <v/>
      </c>
      <c r="C646" s="6">
        <f>IFERROR(__xludf.DUMMYFUNCTION("""COMPUTED_VALUE"""),"Reflection Tool")</f>
        <v/>
      </c>
      <c r="D646" s="7">
        <f>IFERROR(__xludf.DUMMYFUNCTION("""COMPUTED_VALUE"""),"No task description")</f>
        <v/>
      </c>
      <c r="E646"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646" s="7" t="inlineStr">
        <is>
          <t>Students are instructed to reflect on learning, with Item2 providing steps for reflection using a tool, while embedded artifacts include a "Time Spent" app in Item3.</t>
        </is>
      </c>
      <c r="G646" s="8" t="inlineStr">
        <is>
          <t>1</t>
        </is>
      </c>
      <c r="H646" s="8" t="inlineStr">
        <is>
          <t>1</t>
        </is>
      </c>
      <c r="I646" s="8" t="inlineStr">
        <is>
          <t>1</t>
        </is>
      </c>
      <c r="J646" s="8" t="inlineStr">
        <is>
          <t>1</t>
        </is>
      </c>
      <c r="K646" s="9" t="inlineStr">
        <is>
          <t>1</t>
        </is>
      </c>
      <c r="L646" s="9" t="inlineStr">
        <is>
          <t>1</t>
        </is>
      </c>
      <c r="M646" s="9" t="inlineStr">
        <is>
          <t>0</t>
        </is>
      </c>
      <c r="N646" s="9" t="inlineStr">
        <is>
          <t>0</t>
        </is>
      </c>
      <c r="O646" s="10" t="inlineStr">
        <is>
          <t>0</t>
        </is>
      </c>
      <c r="P646" s="10" t="inlineStr">
        <is>
          <t>0</t>
        </is>
      </c>
      <c r="Q646" s="10" t="inlineStr">
        <is>
          <t>0</t>
        </is>
      </c>
      <c r="R646" s="10" t="inlineStr">
        <is>
          <t>0</t>
        </is>
      </c>
      <c r="S646" s="10" t="inlineStr">
        <is>
          <t>1</t>
        </is>
      </c>
    </row>
    <row r="647" ht="263" customHeight="1">
      <c r="A647" s="6">
        <f>IFERROR(__xludf.DUMMYFUNCTION("""COMPUTED_VALUE"""),"Is it Good to be Beautiful?")</f>
        <v/>
      </c>
      <c r="B647" s="6">
        <f>IFERROR(__xludf.DUMMYFUNCTION("""COMPUTED_VALUE"""),"Resource")</f>
        <v/>
      </c>
      <c r="C647" s="6">
        <f>IFERROR(__xludf.DUMMYFUNCTION("""COMPUTED_VALUE"""),"Text 2.graasp")</f>
        <v/>
      </c>
      <c r="D647" s="7">
        <f>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
      </c>
      <c r="E647" s="7">
        <f>IFERROR(__xludf.DUMMYFUNCTION("""COMPUTED_VALUE"""),"No artifact embedded")</f>
        <v/>
      </c>
      <c r="F647" s="7" t="inlineStr">
        <is>
          <t>Students reflect on learning, answering questions and using tools like the "Time Spent" app for insight.</t>
        </is>
      </c>
      <c r="G647" s="8" t="inlineStr">
        <is>
          <t>0</t>
        </is>
      </c>
      <c r="H647" s="8" t="inlineStr">
        <is>
          <t>0</t>
        </is>
      </c>
      <c r="I647" s="8" t="inlineStr">
        <is>
          <t>1</t>
        </is>
      </c>
      <c r="J647" s="8" t="inlineStr">
        <is>
          <t>1</t>
        </is>
      </c>
      <c r="K647" s="9" t="inlineStr">
        <is>
          <t>0</t>
        </is>
      </c>
      <c r="L647" s="9" t="inlineStr">
        <is>
          <t>1</t>
        </is>
      </c>
      <c r="M647" s="9" t="inlineStr">
        <is>
          <t>0</t>
        </is>
      </c>
      <c r="N647" s="9" t="inlineStr">
        <is>
          <t>0</t>
        </is>
      </c>
      <c r="O647" s="10" t="inlineStr">
        <is>
          <t>0</t>
        </is>
      </c>
      <c r="P647" s="10" t="inlineStr">
        <is>
          <t>1</t>
        </is>
      </c>
      <c r="Q647" s="10" t="inlineStr">
        <is>
          <t>0</t>
        </is>
      </c>
      <c r="R647" s="10" t="inlineStr">
        <is>
          <t>1</t>
        </is>
      </c>
      <c r="S647" s="10" t="inlineStr">
        <is>
          <t>1</t>
        </is>
      </c>
    </row>
    <row r="648" ht="329" customHeight="1">
      <c r="A648" s="6">
        <f>IFERROR(__xludf.DUMMYFUNCTION("""COMPUTED_VALUE"""),"Is it Good to be Beautiful?")</f>
        <v/>
      </c>
      <c r="B648" s="6">
        <f>IFERROR(__xludf.DUMMYFUNCTION("""COMPUTED_VALUE"""),"Application")</f>
        <v/>
      </c>
      <c r="C648" s="6">
        <f>IFERROR(__xludf.DUMMYFUNCTION("""COMPUTED_VALUE"""),"Input Box")</f>
        <v/>
      </c>
      <c r="D648" s="7">
        <f>IFERROR(__xludf.DUMMYFUNCTION("""COMPUTED_VALUE"""),"No task description")</f>
        <v/>
      </c>
      <c r="E6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48" s="7" t="inlineStr">
        <is>
          <t>Students received task descriptions and used embedded artifacts like Golabz apps (time spent tracker and input box) to complete activities.</t>
        </is>
      </c>
      <c r="G648" s="8" t="inlineStr">
        <is>
          <t>0</t>
        </is>
      </c>
      <c r="H648" s="8" t="inlineStr">
        <is>
          <t>1</t>
        </is>
      </c>
      <c r="I648" s="8" t="inlineStr">
        <is>
          <t>1</t>
        </is>
      </c>
      <c r="J648" s="8" t="inlineStr">
        <is>
          <t>1</t>
        </is>
      </c>
      <c r="K648" s="9" t="inlineStr">
        <is>
          <t>0</t>
        </is>
      </c>
      <c r="L648" s="9" t="inlineStr">
        <is>
          <t>1</t>
        </is>
      </c>
      <c r="M648" s="9" t="inlineStr">
        <is>
          <t>0</t>
        </is>
      </c>
      <c r="N648" s="9" t="inlineStr">
        <is>
          <t>1</t>
        </is>
      </c>
      <c r="O648" s="10" t="inlineStr">
        <is>
          <t>0</t>
        </is>
      </c>
      <c r="P648" s="10" t="inlineStr">
        <is>
          <t>0</t>
        </is>
      </c>
      <c r="Q648" s="10" t="inlineStr">
        <is>
          <t>0</t>
        </is>
      </c>
      <c r="R648" s="10" t="inlineStr">
        <is>
          <t>0</t>
        </is>
      </c>
      <c r="S648" s="10" t="inlineStr">
        <is>
          <t>1</t>
        </is>
      </c>
    </row>
    <row r="649" ht="409.5" customHeight="1">
      <c r="A649" s="6">
        <f>IFERROR(__xludf.DUMMYFUNCTION("""COMPUTED_VALUE"""),"Is it Good to be Beautiful?")</f>
        <v/>
      </c>
      <c r="B649" s="6">
        <f>IFERROR(__xludf.DUMMYFUNCTION("""COMPUTED_VALUE"""),"Resource")</f>
        <v/>
      </c>
      <c r="C649" s="6">
        <f>IFERROR(__xludf.DUMMYFUNCTION("""COMPUTED_VALUE"""),"Text 3.graasp")</f>
        <v/>
      </c>
      <c r="D649" s="7">
        <f>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
      </c>
      <c r="E649" s="7">
        <f>IFERROR(__xludf.DUMMYFUNCTION("""COMPUTED_VALUE"""),"No artifact embedded")</f>
        <v/>
      </c>
      <c r="F649" s="7" t="inlineStr">
        <is>
          <t>Students answer if it's good to be beautiful, considering guppy fish and humans. Embedded artifacts include a notes app for collaboration.</t>
        </is>
      </c>
      <c r="G649" s="8" t="inlineStr">
        <is>
          <t>1</t>
        </is>
      </c>
      <c r="H649" s="8" t="inlineStr">
        <is>
          <t>0</t>
        </is>
      </c>
      <c r="I649" s="8" t="inlineStr">
        <is>
          <t>0</t>
        </is>
      </c>
      <c r="J649" s="8" t="inlineStr">
        <is>
          <t>0</t>
        </is>
      </c>
      <c r="K649" s="9" t="inlineStr">
        <is>
          <t>1</t>
        </is>
      </c>
      <c r="L649" s="9" t="inlineStr">
        <is>
          <t>0</t>
        </is>
      </c>
      <c r="M649" s="9" t="inlineStr">
        <is>
          <t>0</t>
        </is>
      </c>
      <c r="N649" s="9" t="inlineStr">
        <is>
          <t>0</t>
        </is>
      </c>
      <c r="O649" s="10" t="inlineStr">
        <is>
          <t>0</t>
        </is>
      </c>
      <c r="P649" s="10" t="inlineStr">
        <is>
          <t>0</t>
        </is>
      </c>
      <c r="Q649" s="10" t="inlineStr">
        <is>
          <t>0</t>
        </is>
      </c>
      <c r="R649" s="10" t="inlineStr">
        <is>
          <t>0</t>
        </is>
      </c>
      <c r="S649" s="10" t="inlineStr">
        <is>
          <t>0</t>
        </is>
      </c>
    </row>
    <row r="650" ht="25" customHeight="1">
      <c r="A650" s="6">
        <f>IFERROR(__xludf.DUMMYFUNCTION("""COMPUTED_VALUE"""),"THREE DIMENSIONAL GEOMETRY")</f>
        <v/>
      </c>
      <c r="B650" s="6">
        <f>IFERROR(__xludf.DUMMYFUNCTION("""COMPUTED_VALUE"""),"Space")</f>
        <v/>
      </c>
      <c r="C650" s="6">
        <f>IFERROR(__xludf.DUMMYFUNCTION("""COMPUTED_VALUE"""),"Engage")</f>
        <v/>
      </c>
      <c r="D650" s="7">
        <f>IFERROR(__xludf.DUMMYFUNCTION("""COMPUTED_VALUE"""),"No task description")</f>
        <v/>
      </c>
      <c r="E650" s="7">
        <f>IFERROR(__xludf.DUMMYFUNCTION("""COMPUTED_VALUE"""),"No artifact embedded")</f>
        <v/>
      </c>
      <c r="F650" s="7" t="inlineStr">
        <is>
          <t>Students received minimal instructions. Embedded artifacts include Golabz app/lab for note-taking and collaboration, but no other items had notable artifacts or descriptions.</t>
        </is>
      </c>
      <c r="G650" s="8" t="inlineStr">
        <is>
          <t>0</t>
        </is>
      </c>
      <c r="H650" s="8" t="inlineStr">
        <is>
          <t>0</t>
        </is>
      </c>
      <c r="I650" s="8" t="inlineStr">
        <is>
          <t>0</t>
        </is>
      </c>
      <c r="J650" s="8" t="inlineStr">
        <is>
          <t>0</t>
        </is>
      </c>
      <c r="K650" s="9" t="inlineStr">
        <is>
          <t>0</t>
        </is>
      </c>
      <c r="L650" s="9" t="inlineStr">
        <is>
          <t>0</t>
        </is>
      </c>
      <c r="M650" s="9" t="inlineStr">
        <is>
          <t>0</t>
        </is>
      </c>
      <c r="N650" s="9" t="inlineStr">
        <is>
          <t>0</t>
        </is>
      </c>
      <c r="O650" s="10" t="inlineStr">
        <is>
          <t>0</t>
        </is>
      </c>
      <c r="P650" s="10" t="inlineStr">
        <is>
          <t>0</t>
        </is>
      </c>
      <c r="Q650" s="10" t="inlineStr">
        <is>
          <t>0</t>
        </is>
      </c>
      <c r="R650" s="10" t="inlineStr">
        <is>
          <t>0</t>
        </is>
      </c>
      <c r="S650" s="10" t="inlineStr">
        <is>
          <t>0</t>
        </is>
      </c>
    </row>
    <row r="651" ht="49" customHeight="1">
      <c r="A651" s="6">
        <f>IFERROR(__xludf.DUMMYFUNCTION("""COMPUTED_VALUE"""),"THREE DIMENSIONAL GEOMETRY")</f>
        <v/>
      </c>
      <c r="B651" s="6">
        <f>IFERROR(__xludf.DUMMYFUNCTION("""COMPUTED_VALUE"""),"Resource")</f>
        <v/>
      </c>
      <c r="C651" s="6">
        <f>IFERROR(__xludf.DUMMYFUNCTION("""COMPUTED_VALUE"""),"Specific Objectives.graasp")</f>
        <v/>
      </c>
      <c r="D651" s="7">
        <f>IFERROR(__xludf.DUMMYFUNCTION("""COMPUTED_VALUE"""),"&lt;p&gt;Objectives of Three Dimensional Geometry&lt;/p&gt;")</f>
        <v/>
      </c>
      <c r="E651" s="7">
        <f>IFERROR(__xludf.DUMMYFUNCTION("""COMPUTED_VALUE"""),"No artifact embedded")</f>
        <v/>
      </c>
      <c r="F651" s="7" t="inlineStr">
        <is>
          <t>Students received no instructions or artifacts in Items 1 and 2, but Item 3 lists objectives for 3D geometry.</t>
        </is>
      </c>
      <c r="G651" s="8" t="inlineStr">
        <is>
          <t>0</t>
        </is>
      </c>
      <c r="H651" s="8" t="inlineStr">
        <is>
          <t>0</t>
        </is>
      </c>
      <c r="I651" s="8" t="inlineStr">
        <is>
          <t>0</t>
        </is>
      </c>
      <c r="J651" s="8" t="inlineStr">
        <is>
          <t>0</t>
        </is>
      </c>
      <c r="K651" s="9" t="inlineStr">
        <is>
          <t>1</t>
        </is>
      </c>
      <c r="L651" s="9" t="inlineStr">
        <is>
          <t>0</t>
        </is>
      </c>
      <c r="M651" s="9" t="inlineStr">
        <is>
          <t>0</t>
        </is>
      </c>
      <c r="N651" s="9" t="inlineStr">
        <is>
          <t>0</t>
        </is>
      </c>
      <c r="O651" s="10" t="inlineStr">
        <is>
          <t>0</t>
        </is>
      </c>
      <c r="P651" s="10" t="inlineStr">
        <is>
          <t>0</t>
        </is>
      </c>
      <c r="Q651" s="10" t="inlineStr">
        <is>
          <t>0</t>
        </is>
      </c>
      <c r="R651" s="10" t="inlineStr">
        <is>
          <t>0</t>
        </is>
      </c>
      <c r="S651" s="10" t="inlineStr">
        <is>
          <t>0</t>
        </is>
      </c>
    </row>
    <row r="652" ht="25" customHeight="1">
      <c r="A652" s="6">
        <f>IFERROR(__xludf.DUMMYFUNCTION("""COMPUTED_VALUE"""),"THREE DIMENSIONAL GEOMETRY")</f>
        <v/>
      </c>
      <c r="B652" s="6">
        <f>IFERROR(__xludf.DUMMYFUNCTION("""COMPUTED_VALUE"""),"Space")</f>
        <v/>
      </c>
      <c r="C652" s="6">
        <f>IFERROR(__xludf.DUMMYFUNCTION("""COMPUTED_VALUE"""),"Explore")</f>
        <v/>
      </c>
      <c r="D652" s="7">
        <f>IFERROR(__xludf.DUMMYFUNCTION("""COMPUTED_VALUE"""),"No task description")</f>
        <v/>
      </c>
      <c r="E652" s="7">
        <f>IFERROR(__xludf.DUMMYFUNCTION("""COMPUTED_VALUE"""),"No artifact embedded")</f>
        <v/>
      </c>
      <c r="F652" s="7" t="inlineStr">
        <is>
          <t>Students received no task descriptions for Items 1 and 3, while Item 2's objective is Three Dimensional Geometry; no artifacts are embedded in any items.</t>
        </is>
      </c>
      <c r="G652" s="8" t="inlineStr">
        <is>
          <t>0</t>
        </is>
      </c>
      <c r="H652" s="8" t="inlineStr">
        <is>
          <t>0</t>
        </is>
      </c>
      <c r="I652" s="8" t="inlineStr">
        <is>
          <t>0</t>
        </is>
      </c>
      <c r="J652" s="8" t="inlineStr">
        <is>
          <t>0</t>
        </is>
      </c>
      <c r="K652" s="9" t="inlineStr">
        <is>
          <t>0</t>
        </is>
      </c>
      <c r="L652" s="9" t="inlineStr">
        <is>
          <t>0</t>
        </is>
      </c>
      <c r="M652" s="9" t="inlineStr">
        <is>
          <t>0</t>
        </is>
      </c>
      <c r="N652" s="9" t="inlineStr">
        <is>
          <t>0</t>
        </is>
      </c>
      <c r="O652" s="10" t="inlineStr">
        <is>
          <t>0</t>
        </is>
      </c>
      <c r="P652" s="10" t="inlineStr">
        <is>
          <t>0</t>
        </is>
      </c>
      <c r="Q652" s="10" t="inlineStr">
        <is>
          <t>0</t>
        </is>
      </c>
      <c r="R652" s="10" t="inlineStr">
        <is>
          <t>0</t>
        </is>
      </c>
      <c r="S652" s="10" t="inlineStr">
        <is>
          <t>0</t>
        </is>
      </c>
    </row>
    <row r="653" ht="25" customHeight="1">
      <c r="A653" s="6">
        <f>IFERROR(__xludf.DUMMYFUNCTION("""COMPUTED_VALUE"""),"THREE DIMENSIONAL GEOMETRY")</f>
        <v/>
      </c>
      <c r="B653" s="6">
        <f>IFERROR(__xludf.DUMMYFUNCTION("""COMPUTED_VALUE"""),"Space")</f>
        <v/>
      </c>
      <c r="C653" s="6">
        <f>IFERROR(__xludf.DUMMYFUNCTION("""COMPUTED_VALUE"""),"Explain")</f>
        <v/>
      </c>
      <c r="D653" s="7">
        <f>IFERROR(__xludf.DUMMYFUNCTION("""COMPUTED_VALUE"""),"No task description")</f>
        <v/>
      </c>
      <c r="E653" s="7">
        <f>IFERROR(__xludf.DUMMYFUNCTION("""COMPUTED_VALUE"""),"No artifact embedded")</f>
        <v/>
      </c>
      <c r="F653" s="7" t="inlineStr">
        <is>
          <t>No instructions or artifacts are provided for any of the items.</t>
        </is>
      </c>
      <c r="G653" s="8" t="inlineStr">
        <is>
          <t>0</t>
        </is>
      </c>
      <c r="H653" s="8" t="inlineStr">
        <is>
          <t>0</t>
        </is>
      </c>
      <c r="I653" s="8" t="inlineStr">
        <is>
          <t>0</t>
        </is>
      </c>
      <c r="J653" s="8" t="inlineStr">
        <is>
          <t>0</t>
        </is>
      </c>
      <c r="K653" s="9" t="inlineStr">
        <is>
          <t>0</t>
        </is>
      </c>
      <c r="L653" s="9" t="inlineStr">
        <is>
          <t>0</t>
        </is>
      </c>
      <c r="M653" s="9" t="inlineStr">
        <is>
          <t>0</t>
        </is>
      </c>
      <c r="N653" s="9" t="inlineStr">
        <is>
          <t>0</t>
        </is>
      </c>
      <c r="O653" s="10" t="inlineStr">
        <is>
          <t>0</t>
        </is>
      </c>
      <c r="P653" s="10" t="inlineStr">
        <is>
          <t>0</t>
        </is>
      </c>
      <c r="Q653" s="10" t="inlineStr">
        <is>
          <t>0</t>
        </is>
      </c>
      <c r="R653" s="10" t="inlineStr">
        <is>
          <t>0</t>
        </is>
      </c>
      <c r="S653" s="10" t="inlineStr">
        <is>
          <t>0</t>
        </is>
      </c>
    </row>
    <row r="654" ht="25" customHeight="1">
      <c r="A654" s="6">
        <f>IFERROR(__xludf.DUMMYFUNCTION("""COMPUTED_VALUE"""),"THREE DIMENSIONAL GEOMETRY")</f>
        <v/>
      </c>
      <c r="B654" s="6">
        <f>IFERROR(__xludf.DUMMYFUNCTION("""COMPUTED_VALUE"""),"Space")</f>
        <v/>
      </c>
      <c r="C654" s="6">
        <f>IFERROR(__xludf.DUMMYFUNCTION("""COMPUTED_VALUE"""),"Elaborate")</f>
        <v/>
      </c>
      <c r="D654" s="7">
        <f>IFERROR(__xludf.DUMMYFUNCTION("""COMPUTED_VALUE"""),"No task description")</f>
        <v/>
      </c>
      <c r="E654" s="7">
        <f>IFERROR(__xludf.DUMMYFUNCTION("""COMPUTED_VALUE"""),"No artifact embedded")</f>
        <v/>
      </c>
      <c r="F654" s="7" t="inlineStr">
        <is>
          <t>No instructions or artifacts are provided for any of the items.</t>
        </is>
      </c>
      <c r="G654" s="8" t="inlineStr">
        <is>
          <t>0</t>
        </is>
      </c>
      <c r="H654" s="8" t="inlineStr">
        <is>
          <t>0</t>
        </is>
      </c>
      <c r="I654" s="8" t="inlineStr">
        <is>
          <t>0</t>
        </is>
      </c>
      <c r="J654" s="8" t="inlineStr">
        <is>
          <t>0</t>
        </is>
      </c>
      <c r="K654" s="9" t="inlineStr">
        <is>
          <t>0</t>
        </is>
      </c>
      <c r="L654" s="9" t="inlineStr">
        <is>
          <t>0</t>
        </is>
      </c>
      <c r="M654" s="9" t="inlineStr">
        <is>
          <t>0</t>
        </is>
      </c>
      <c r="N654" s="9" t="inlineStr">
        <is>
          <t>0</t>
        </is>
      </c>
      <c r="O654" s="10" t="inlineStr">
        <is>
          <t>0</t>
        </is>
      </c>
      <c r="P654" s="10" t="inlineStr">
        <is>
          <t>0</t>
        </is>
      </c>
      <c r="Q654" s="10" t="inlineStr">
        <is>
          <t>0</t>
        </is>
      </c>
      <c r="R654" s="10" t="inlineStr">
        <is>
          <t>0</t>
        </is>
      </c>
      <c r="S654" s="10" t="inlineStr">
        <is>
          <t>0</t>
        </is>
      </c>
    </row>
    <row r="655" ht="25" customHeight="1">
      <c r="A655" s="6">
        <f>IFERROR(__xludf.DUMMYFUNCTION("""COMPUTED_VALUE"""),"THREE DIMENSIONAL GEOMETRY")</f>
        <v/>
      </c>
      <c r="B655" s="6">
        <f>IFERROR(__xludf.DUMMYFUNCTION("""COMPUTED_VALUE"""),"Space")</f>
        <v/>
      </c>
      <c r="C655" s="6">
        <f>IFERROR(__xludf.DUMMYFUNCTION("""COMPUTED_VALUE"""),"Evaluate")</f>
        <v/>
      </c>
      <c r="D655" s="7">
        <f>IFERROR(__xludf.DUMMYFUNCTION("""COMPUTED_VALUE"""),"No task description")</f>
        <v/>
      </c>
      <c r="E655" s="7">
        <f>IFERROR(__xludf.DUMMYFUNCTION("""COMPUTED_VALUE"""),"No artifact embedded")</f>
        <v/>
      </c>
      <c r="F655" s="7" t="inlineStr">
        <is>
          <t>No instructions or artifacts are provided for Items 1, 2, and 3.</t>
        </is>
      </c>
      <c r="G655" s="8" t="inlineStr">
        <is>
          <t>0</t>
        </is>
      </c>
      <c r="H655" s="8" t="inlineStr">
        <is>
          <t>0</t>
        </is>
      </c>
      <c r="I655" s="8" t="inlineStr">
        <is>
          <t>0</t>
        </is>
      </c>
      <c r="J655" s="8" t="inlineStr">
        <is>
          <t>0</t>
        </is>
      </c>
      <c r="K655" s="9" t="inlineStr">
        <is>
          <t>0</t>
        </is>
      </c>
      <c r="L655" s="9" t="inlineStr">
        <is>
          <t>0</t>
        </is>
      </c>
      <c r="M655" s="9" t="inlineStr">
        <is>
          <t>0</t>
        </is>
      </c>
      <c r="N655" s="9" t="inlineStr">
        <is>
          <t>0</t>
        </is>
      </c>
      <c r="O655" s="10" t="inlineStr">
        <is>
          <t>0</t>
        </is>
      </c>
      <c r="P655" s="10" t="inlineStr">
        <is>
          <t>0</t>
        </is>
      </c>
      <c r="Q655" s="10" t="inlineStr">
        <is>
          <t>0</t>
        </is>
      </c>
      <c r="R655" s="10" t="inlineStr">
        <is>
          <t>0</t>
        </is>
      </c>
      <c r="S655" s="10" t="inlineStr">
        <is>
          <t>0</t>
        </is>
      </c>
    </row>
    <row r="656" ht="85" customHeight="1">
      <c r="A656" s="6">
        <f>IFERROR(__xludf.DUMMYFUNCTION("""COMPUTED_VALUE"""),"UV light: friend or foe?")</f>
        <v/>
      </c>
      <c r="B656" s="6">
        <f>IFERROR(__xludf.DUMMYFUNCTION("""COMPUTED_VALUE"""),"Space")</f>
        <v/>
      </c>
      <c r="C656" s="6">
        <f>IFERROR(__xludf.DUMMYFUNCTION("""COMPUTED_VALUE"""),"Learning about UV, light and the Sun")</f>
        <v/>
      </c>
      <c r="D656" s="7">
        <f>IFERROR(__xludf.DUMMYFUNCTION("""COMPUTED_VALUE"""),"&lt;p&gt;What would happen if you spent an afternoon in the beach wearing no clothes and no sunscreen?&lt;/p&gt;")</f>
        <v/>
      </c>
      <c r="E656" s="7">
        <f>IFERROR(__xludf.DUMMYFUNCTION("""COMPUTED_VALUE"""),"No artifact embedded")</f>
        <v/>
      </c>
      <c r="F656" s="7" t="inlineStr">
        <is>
          <t>Students received 3 tasks with no descriptions for Items 1-2. Item 3 asked about spending an afternoon at the beach without clothes or sunscreen, with no artifacts embedded in any items.</t>
        </is>
      </c>
      <c r="G656" s="8" t="inlineStr">
        <is>
          <t>0</t>
        </is>
      </c>
      <c r="H656" s="8" t="inlineStr">
        <is>
          <t>0</t>
        </is>
      </c>
      <c r="I656" s="8" t="inlineStr">
        <is>
          <t>1</t>
        </is>
      </c>
      <c r="J656" s="8" t="inlineStr">
        <is>
          <t>1</t>
        </is>
      </c>
      <c r="K656" s="9" t="inlineStr">
        <is>
          <t>1</t>
        </is>
      </c>
      <c r="L656" s="9" t="inlineStr">
        <is>
          <t>1</t>
        </is>
      </c>
      <c r="M656" s="9" t="inlineStr">
        <is>
          <t>0</t>
        </is>
      </c>
      <c r="N656" s="9" t="inlineStr">
        <is>
          <t>0</t>
        </is>
      </c>
      <c r="O656" s="10" t="inlineStr">
        <is>
          <t>1</t>
        </is>
      </c>
      <c r="P656" s="10" t="inlineStr">
        <is>
          <t>1</t>
        </is>
      </c>
      <c r="Q656" s="10" t="inlineStr">
        <is>
          <t>1</t>
        </is>
      </c>
      <c r="R656" s="10" t="inlineStr">
        <is>
          <t>0</t>
        </is>
      </c>
      <c r="S656" s="10" t="inlineStr">
        <is>
          <t>0</t>
        </is>
      </c>
    </row>
    <row r="657" ht="97" customHeight="1">
      <c r="A657" s="6">
        <f>IFERROR(__xludf.DUMMYFUNCTION("""COMPUTED_VALUE"""),"UV light: friend or foe?")</f>
        <v/>
      </c>
      <c r="B657" s="6">
        <f>IFERROR(__xludf.DUMMYFUNCTION("""COMPUTED_VALUE"""),"Resource")</f>
        <v/>
      </c>
      <c r="C657" s="6">
        <f>IFERROR(__xludf.DUMMYFUNCTION("""COMPUTED_VALUE"""),"download.png")</f>
        <v/>
      </c>
      <c r="D657" s="7">
        <f>IFERROR(__xludf.DUMMYFUNCTION("""COMPUTED_VALUE"""),"&lt;p&gt;Maybe this would happen?&lt;/p&gt;")</f>
        <v/>
      </c>
      <c r="E657" s="7">
        <f>IFERROR(__xludf.DUMMYFUNCTION("""COMPUTED_VALUE"""),"image/png – A high-quality image with support for transparency, often used in design and web applications.")</f>
        <v/>
      </c>
      <c r="F657" s="7" t="inlineStr">
        <is>
          <t>Students were given tasks with varying descriptions and some had embedded artifacts, including an image in Item 3.</t>
        </is>
      </c>
      <c r="G657" s="8" t="inlineStr">
        <is>
          <t>1</t>
        </is>
      </c>
      <c r="H657" s="8" t="inlineStr">
        <is>
          <t>0</t>
        </is>
      </c>
      <c r="I657" s="8" t="inlineStr">
        <is>
          <t>0</t>
        </is>
      </c>
      <c r="J657" s="8" t="inlineStr">
        <is>
          <t>0</t>
        </is>
      </c>
      <c r="K657" s="9" t="inlineStr">
        <is>
          <t>1</t>
        </is>
      </c>
      <c r="L657" s="9" t="inlineStr">
        <is>
          <t>0</t>
        </is>
      </c>
      <c r="M657" s="9" t="inlineStr">
        <is>
          <t>0</t>
        </is>
      </c>
      <c r="N657" s="9" t="inlineStr">
        <is>
          <t>0</t>
        </is>
      </c>
      <c r="O657" s="10" t="inlineStr">
        <is>
          <t>0</t>
        </is>
      </c>
      <c r="P657" s="10" t="inlineStr">
        <is>
          <t>0</t>
        </is>
      </c>
      <c r="Q657" s="10" t="inlineStr">
        <is>
          <t>0</t>
        </is>
      </c>
      <c r="R657" s="10" t="inlineStr">
        <is>
          <t>0</t>
        </is>
      </c>
      <c r="S657" s="10" t="inlineStr">
        <is>
          <t>0</t>
        </is>
      </c>
    </row>
    <row r="658" ht="109" customHeight="1">
      <c r="A658" s="6">
        <f>IFERROR(__xludf.DUMMYFUNCTION("""COMPUTED_VALUE"""),"UV light: friend or foe?")</f>
        <v/>
      </c>
      <c r="B658" s="6">
        <f>IFERROR(__xludf.DUMMYFUNCTION("""COMPUTED_VALUE"""),"Resource")</f>
        <v/>
      </c>
      <c r="C658" s="6">
        <f>IFERROR(__xludf.DUMMYFUNCTION("""COMPUTED_VALUE"""),"1.graasp")</f>
        <v/>
      </c>
      <c r="D658" s="7">
        <f>IFERROR(__xludf.DUMMYFUNCTION("""COMPUTED_VALUE"""),"&lt;p&gt;Did you ever get a sunburn? Discover how many of your colleagues have already got a sunburn and write it in the box below.&lt;/p&gt;")</f>
        <v/>
      </c>
      <c r="E658" s="7">
        <f>IFERROR(__xludf.DUMMYFUNCTION("""COMPUTED_VALUE"""),"No artifact embedded")</f>
        <v/>
      </c>
      <c r="F658" s="7" t="inlineStr">
        <is>
          <t>Students are given tasks about beach scenarios, with some items including images as artifacts.</t>
        </is>
      </c>
      <c r="G658" s="8" t="inlineStr">
        <is>
          <t>0</t>
        </is>
      </c>
      <c r="H658" s="8" t="inlineStr">
        <is>
          <t>0</t>
        </is>
      </c>
      <c r="I658" s="8" t="inlineStr">
        <is>
          <t>1</t>
        </is>
      </c>
      <c r="J658" s="8" t="inlineStr">
        <is>
          <t>1</t>
        </is>
      </c>
      <c r="K658" s="9" t="inlineStr">
        <is>
          <t>0</t>
        </is>
      </c>
      <c r="L658" s="9" t="inlineStr">
        <is>
          <t>1</t>
        </is>
      </c>
      <c r="M658" s="9" t="inlineStr">
        <is>
          <t>1</t>
        </is>
      </c>
      <c r="N658" s="9" t="inlineStr">
        <is>
          <t>0</t>
        </is>
      </c>
      <c r="O658" s="10" t="inlineStr">
        <is>
          <t>1</t>
        </is>
      </c>
      <c r="P658" s="10" t="inlineStr">
        <is>
          <t>0</t>
        </is>
      </c>
      <c r="Q658" s="10" t="inlineStr">
        <is>
          <t>0</t>
        </is>
      </c>
      <c r="R658" s="10" t="inlineStr">
        <is>
          <t>0</t>
        </is>
      </c>
      <c r="S658" s="10" t="inlineStr">
        <is>
          <t>1</t>
        </is>
      </c>
    </row>
    <row r="659" ht="329" customHeight="1">
      <c r="A659" s="6">
        <f>IFERROR(__xludf.DUMMYFUNCTION("""COMPUTED_VALUE"""),"UV light: friend or foe?")</f>
        <v/>
      </c>
      <c r="B659" s="6">
        <f>IFERROR(__xludf.DUMMYFUNCTION("""COMPUTED_VALUE"""),"Application")</f>
        <v/>
      </c>
      <c r="C659" s="6">
        <f>IFERROR(__xludf.DUMMYFUNCTION("""COMPUTED_VALUE"""),"Input Box")</f>
        <v/>
      </c>
      <c r="D659" s="7">
        <f>IFERROR(__xludf.DUMMYFUNCTION("""COMPUTED_VALUE"""),"No task description")</f>
        <v/>
      </c>
      <c r="E65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59" s="7" t="inlineStr">
        <is>
          <t>Students received task descriptions and embedded artifacts, including images and apps, with varying levels of detail and interactivity.</t>
        </is>
      </c>
      <c r="G659" s="8" t="inlineStr">
        <is>
          <t>0</t>
        </is>
      </c>
      <c r="H659" s="8" t="inlineStr">
        <is>
          <t>1</t>
        </is>
      </c>
      <c r="I659" s="8" t="inlineStr">
        <is>
          <t>1</t>
        </is>
      </c>
      <c r="J659" s="8" t="inlineStr">
        <is>
          <t>1</t>
        </is>
      </c>
      <c r="K659" s="9" t="inlineStr">
        <is>
          <t>0</t>
        </is>
      </c>
      <c r="L659" s="9" t="inlineStr">
        <is>
          <t>1</t>
        </is>
      </c>
      <c r="M659" s="9" t="inlineStr">
        <is>
          <t>0</t>
        </is>
      </c>
      <c r="N659" s="9" t="inlineStr">
        <is>
          <t>1</t>
        </is>
      </c>
      <c r="O659" s="10" t="inlineStr">
        <is>
          <t>0</t>
        </is>
      </c>
      <c r="P659" s="10" t="inlineStr">
        <is>
          <t>0</t>
        </is>
      </c>
      <c r="Q659" s="10" t="inlineStr">
        <is>
          <t>0</t>
        </is>
      </c>
      <c r="R659" s="10" t="inlineStr">
        <is>
          <t>0</t>
        </is>
      </c>
      <c r="S659" s="10" t="inlineStr">
        <is>
          <t>1</t>
        </is>
      </c>
    </row>
    <row r="660" ht="409.5" customHeight="1">
      <c r="A660" s="6">
        <f>IFERROR(__xludf.DUMMYFUNCTION("""COMPUTED_VALUE"""),"UV light: friend or foe?")</f>
        <v/>
      </c>
      <c r="B660" s="6">
        <f>IFERROR(__xludf.DUMMYFUNCTION("""COMPUTED_VALUE"""),"Resource")</f>
        <v/>
      </c>
      <c r="C660" s="6">
        <f>IFERROR(__xludf.DUMMYFUNCTION("""COMPUTED_VALUE"""),"2.graasp")</f>
        <v/>
      </c>
      <c r="D660" s="7">
        <f>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
      </c>
      <c r="E660" s="7">
        <f>IFERROR(__xludf.DUMMYFUNCTION("""COMPUTED_VALUE"""),"No artifact embedded")</f>
        <v/>
      </c>
      <c r="F660" s="7" t="inlineStr">
        <is>
          <t>Students receive tasks on sunburns, UV rays, and the Sun. Embedded artifacts include a note-taking app and collaboration tool.</t>
        </is>
      </c>
      <c r="G660" s="8" t="inlineStr">
        <is>
          <t>0</t>
        </is>
      </c>
      <c r="H660" s="8" t="inlineStr">
        <is>
          <t>1</t>
        </is>
      </c>
      <c r="I660" s="8" t="inlineStr">
        <is>
          <t>1</t>
        </is>
      </c>
      <c r="J660" s="8" t="inlineStr">
        <is>
          <t>1</t>
        </is>
      </c>
      <c r="K660" s="9" t="inlineStr">
        <is>
          <t>0</t>
        </is>
      </c>
      <c r="L660" s="9" t="inlineStr">
        <is>
          <t>1</t>
        </is>
      </c>
      <c r="M660" s="9" t="inlineStr">
        <is>
          <t>0</t>
        </is>
      </c>
      <c r="N660" s="9" t="inlineStr">
        <is>
          <t>0</t>
        </is>
      </c>
      <c r="O660" s="10" t="inlineStr">
        <is>
          <t>1</t>
        </is>
      </c>
      <c r="P660" s="10" t="inlineStr">
        <is>
          <t>0</t>
        </is>
      </c>
      <c r="Q660" s="10" t="inlineStr">
        <is>
          <t>0</t>
        </is>
      </c>
      <c r="R660" s="10" t="inlineStr">
        <is>
          <t>0</t>
        </is>
      </c>
      <c r="S660" s="10" t="inlineStr">
        <is>
          <t>0</t>
        </is>
      </c>
    </row>
    <row r="661" ht="409.5" customHeight="1">
      <c r="A661" s="6">
        <f>IFERROR(__xludf.DUMMYFUNCTION("""COMPUTED_VALUE"""),"UV light: friend or foe?")</f>
        <v/>
      </c>
      <c r="B661" s="6">
        <f>IFERROR(__xludf.DUMMYFUNCTION("""COMPUTED_VALUE"""),"Application")</f>
        <v/>
      </c>
      <c r="C661" s="6">
        <f>IFERROR(__xludf.DUMMYFUNCTION("""COMPUTED_VALUE"""),"Table Tool")</f>
        <v/>
      </c>
      <c r="D661" s="7">
        <f>IFERROR(__xludf.DUMMYFUNCTION("""COMPUTED_VALUE"""),"No task description")</f>
        <v/>
      </c>
      <c r="E661"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61" s="7" t="inlineStr">
        <is>
          <t>Students have tasks and access to Golabz apps, such as input box and table tools, with optional collaboration mode.</t>
        </is>
      </c>
      <c r="G661" s="8" t="inlineStr">
        <is>
          <t>1</t>
        </is>
      </c>
      <c r="H661" s="8" t="inlineStr">
        <is>
          <t>1</t>
        </is>
      </c>
      <c r="I661" s="8" t="inlineStr">
        <is>
          <t>1</t>
        </is>
      </c>
      <c r="J661" s="8" t="inlineStr">
        <is>
          <t>0</t>
        </is>
      </c>
      <c r="K661" s="9" t="inlineStr">
        <is>
          <t>0</t>
        </is>
      </c>
      <c r="L661" s="9" t="inlineStr">
        <is>
          <t>1</t>
        </is>
      </c>
      <c r="M661" s="9" t="inlineStr">
        <is>
          <t>0</t>
        </is>
      </c>
      <c r="N661" s="9" t="inlineStr">
        <is>
          <t>1</t>
        </is>
      </c>
      <c r="O661" s="10" t="inlineStr">
        <is>
          <t>0</t>
        </is>
      </c>
      <c r="P661" s="10" t="inlineStr">
        <is>
          <t>0</t>
        </is>
      </c>
      <c r="Q661" s="10" t="inlineStr">
        <is>
          <t>0</t>
        </is>
      </c>
      <c r="R661" s="10" t="inlineStr">
        <is>
          <t>0</t>
        </is>
      </c>
      <c r="S661" s="10" t="inlineStr">
        <is>
          <t>0</t>
        </is>
      </c>
    </row>
    <row r="662" ht="329" customHeight="1">
      <c r="A662" s="6">
        <f>IFERROR(__xludf.DUMMYFUNCTION("""COMPUTED_VALUE"""),"UV light: friend or foe?")</f>
        <v/>
      </c>
      <c r="B662" s="6">
        <f>IFERROR(__xludf.DUMMYFUNCTION("""COMPUTED_VALUE"""),"Application")</f>
        <v/>
      </c>
      <c r="C662" s="6">
        <f>IFERROR(__xludf.DUMMYFUNCTION("""COMPUTED_VALUE"""),"Input Box (1)")</f>
        <v/>
      </c>
      <c r="D662" s="7">
        <f>IFERROR(__xludf.DUMMYFUNCTION("""COMPUTED_VALUE"""),"&lt;p&gt;Add here any relevant conclusions and move on to the next phase&lt;/p&gt;")</f>
        <v/>
      </c>
      <c r="E66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2" s="7" t="inlineStr">
        <is>
          <t>Students learn about Sun, UV rays, and effects on humans through 3 activities, then fill a table with benefits and dangers of UV light. Embedded artifacts include table tool and input box apps for data entry and note-taking.</t>
        </is>
      </c>
      <c r="G662" s="8" t="inlineStr">
        <is>
          <t>0</t>
        </is>
      </c>
      <c r="H662" s="8" t="inlineStr">
        <is>
          <t>1</t>
        </is>
      </c>
      <c r="I662" s="8" t="inlineStr">
        <is>
          <t>1</t>
        </is>
      </c>
      <c r="J662" s="8" t="inlineStr">
        <is>
          <t>1</t>
        </is>
      </c>
      <c r="K662" s="9" t="inlineStr">
        <is>
          <t>0</t>
        </is>
      </c>
      <c r="L662" s="9" t="inlineStr">
        <is>
          <t>1</t>
        </is>
      </c>
      <c r="M662" s="9" t="inlineStr">
        <is>
          <t>0</t>
        </is>
      </c>
      <c r="N662" s="9" t="inlineStr">
        <is>
          <t>1</t>
        </is>
      </c>
      <c r="O662" s="10" t="inlineStr">
        <is>
          <t>0</t>
        </is>
      </c>
      <c r="P662" s="10" t="inlineStr">
        <is>
          <t>0</t>
        </is>
      </c>
      <c r="Q662" s="10" t="inlineStr">
        <is>
          <t>0</t>
        </is>
      </c>
      <c r="R662" s="10" t="inlineStr">
        <is>
          <t>0</t>
        </is>
      </c>
      <c r="S662" s="10" t="inlineStr">
        <is>
          <t>1</t>
        </is>
      </c>
    </row>
    <row r="663" ht="25" customHeight="1">
      <c r="A663" s="6">
        <f>IFERROR(__xludf.DUMMYFUNCTION("""COMPUTED_VALUE"""),"UV light: friend or foe?")</f>
        <v/>
      </c>
      <c r="B663" s="6">
        <f>IFERROR(__xludf.DUMMYFUNCTION("""COMPUTED_VALUE"""),"Space")</f>
        <v/>
      </c>
      <c r="C663" s="6">
        <f>IFERROR(__xludf.DUMMYFUNCTION("""COMPUTED_VALUE"""),"UV in my community")</f>
        <v/>
      </c>
      <c r="D663" s="7">
        <f>IFERROR(__xludf.DUMMYFUNCTION("""COMPUTED_VALUE"""),"No task description")</f>
        <v/>
      </c>
      <c r="E663" s="7">
        <f>IFERROR(__xludf.DUMMYFUNCTION("""COMPUTED_VALUE"""),"No artifact embedded")</f>
        <v/>
      </c>
      <c r="F663" s="7" t="inlineStr">
        <is>
          <t>Students use Golabz apps for tasks. Artifacts include table and input box tools with optional collaboration mode.</t>
        </is>
      </c>
      <c r="G663" s="8" t="inlineStr">
        <is>
          <t>0</t>
        </is>
      </c>
      <c r="H663" s="8" t="inlineStr">
        <is>
          <t>0</t>
        </is>
      </c>
      <c r="I663" s="8" t="inlineStr">
        <is>
          <t>0</t>
        </is>
      </c>
      <c r="J663" s="8" t="inlineStr">
        <is>
          <t>0</t>
        </is>
      </c>
      <c r="K663" s="9" t="inlineStr">
        <is>
          <t>0</t>
        </is>
      </c>
      <c r="L663" s="9" t="inlineStr">
        <is>
          <t>0</t>
        </is>
      </c>
      <c r="M663" s="9" t="inlineStr">
        <is>
          <t>0</t>
        </is>
      </c>
      <c r="N663" s="9" t="inlineStr">
        <is>
          <t>0</t>
        </is>
      </c>
      <c r="O663" s="10" t="inlineStr">
        <is>
          <t>0</t>
        </is>
      </c>
      <c r="P663" s="10" t="inlineStr">
        <is>
          <t>0</t>
        </is>
      </c>
      <c r="Q663" s="10" t="inlineStr">
        <is>
          <t>0</t>
        </is>
      </c>
      <c r="R663" s="10" t="inlineStr">
        <is>
          <t>0</t>
        </is>
      </c>
      <c r="S663" s="10" t="inlineStr">
        <is>
          <t>0</t>
        </is>
      </c>
    </row>
    <row r="664" ht="409.5" customHeight="1">
      <c r="A664" s="6">
        <f>IFERROR(__xludf.DUMMYFUNCTION("""COMPUTED_VALUE"""),"UV light: friend or foe?")</f>
        <v/>
      </c>
      <c r="B664" s="6">
        <f>IFERROR(__xludf.DUMMYFUNCTION("""COMPUTED_VALUE"""),"Resource")</f>
        <v/>
      </c>
      <c r="C664" s="6">
        <f>IFERROR(__xludf.DUMMYFUNCTION("""COMPUTED_VALUE"""),"1 (1).graasp")</f>
        <v/>
      </c>
      <c r="D664" s="7">
        <f>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
      </c>
      <c r="E664" s="7">
        <f>IFERROR(__xludf.DUMMYFUNCTION("""COMPUTED_VALUE"""),"No artifact embedded")</f>
        <v/>
      </c>
      <c r="F664" s="7" t="inlineStr">
        <is>
          <t>Students are given tasks with descriptions and tools, such as Golabz app/lab for note-taking and collaboration.</t>
        </is>
      </c>
      <c r="G664" s="8" t="inlineStr">
        <is>
          <t>0</t>
        </is>
      </c>
      <c r="H664" s="8" t="inlineStr">
        <is>
          <t>0</t>
        </is>
      </c>
      <c r="I664" s="8" t="inlineStr">
        <is>
          <t>1</t>
        </is>
      </c>
      <c r="J664" s="8" t="inlineStr">
        <is>
          <t>1</t>
        </is>
      </c>
      <c r="K664" s="9" t="inlineStr">
        <is>
          <t>0</t>
        </is>
      </c>
      <c r="L664" s="9" t="inlineStr">
        <is>
          <t>1</t>
        </is>
      </c>
      <c r="M664" s="9" t="inlineStr">
        <is>
          <t>0</t>
        </is>
      </c>
      <c r="N664" s="9" t="inlineStr">
        <is>
          <t>0</t>
        </is>
      </c>
      <c r="O664" s="10" t="inlineStr">
        <is>
          <t>1</t>
        </is>
      </c>
      <c r="P664" s="10" t="inlineStr">
        <is>
          <t>1</t>
        </is>
      </c>
      <c r="Q664" s="10" t="inlineStr">
        <is>
          <t>1</t>
        </is>
      </c>
      <c r="R664" s="10" t="inlineStr">
        <is>
          <t>0</t>
        </is>
      </c>
      <c r="S664" s="10" t="inlineStr">
        <is>
          <t>0</t>
        </is>
      </c>
    </row>
    <row r="665" ht="121" customHeight="1">
      <c r="A665" s="6">
        <f>IFERROR(__xludf.DUMMYFUNCTION("""COMPUTED_VALUE"""),"UV light: friend or foe?")</f>
        <v/>
      </c>
      <c r="B665" s="6">
        <f>IFERROR(__xludf.DUMMYFUNCTION("""COMPUTED_VALUE"""),"Resource")</f>
        <v/>
      </c>
      <c r="C665" s="6">
        <f>IFERROR(__xludf.DUMMYFUNCTION("""COMPUTED_VALUE"""),"woman-591576_1280.jpg")</f>
        <v/>
      </c>
      <c r="D665" s="7">
        <f>IFERROR(__xludf.DUMMYFUNCTION("""COMPUTED_VALUE"""),"No task description")</f>
        <v/>
      </c>
      <c r="E665" s="7">
        <f>IFERROR(__xludf.DUMMYFUNCTION("""COMPUTED_VALUE"""),"image/jpeg – A digital photograph or web image stored in a compressed format, often used for photography and web graphics.")</f>
        <v/>
      </c>
      <c r="F665" s="7" t="inlineStr">
        <is>
          <t>Students are instructed to research UV rays and answer questions. Embedded artifacts include no items in Item1 and Item2, but an image/jpeg file in Item3.</t>
        </is>
      </c>
      <c r="G665" s="8" t="inlineStr">
        <is>
          <t>1</t>
        </is>
      </c>
      <c r="H665" s="8" t="inlineStr">
        <is>
          <t>0</t>
        </is>
      </c>
      <c r="I665" s="8" t="inlineStr">
        <is>
          <t>0</t>
        </is>
      </c>
      <c r="J665" s="8" t="inlineStr">
        <is>
          <t>0</t>
        </is>
      </c>
      <c r="K665" s="9" t="inlineStr">
        <is>
          <t>1</t>
        </is>
      </c>
      <c r="L665" s="9" t="inlineStr">
        <is>
          <t>0</t>
        </is>
      </c>
      <c r="M665" s="9" t="inlineStr">
        <is>
          <t>0</t>
        </is>
      </c>
      <c r="N665" s="9" t="inlineStr">
        <is>
          <t>0</t>
        </is>
      </c>
      <c r="O665" s="10" t="inlineStr">
        <is>
          <t>0</t>
        </is>
      </c>
      <c r="P665" s="10" t="inlineStr">
        <is>
          <t>0</t>
        </is>
      </c>
      <c r="Q665" s="10" t="inlineStr">
        <is>
          <t>0</t>
        </is>
      </c>
      <c r="R665" s="10" t="inlineStr">
        <is>
          <t>0</t>
        </is>
      </c>
      <c r="S665" s="10" t="inlineStr">
        <is>
          <t>0</t>
        </is>
      </c>
    </row>
    <row r="666" ht="409.5" customHeight="1">
      <c r="A666" s="6">
        <f>IFERROR(__xludf.DUMMYFUNCTION("""COMPUTED_VALUE"""),"UV light: friend or foe?")</f>
        <v/>
      </c>
      <c r="B666" s="6">
        <f>IFERROR(__xludf.DUMMYFUNCTION("""COMPUTED_VALUE"""),"Application")</f>
        <v/>
      </c>
      <c r="C666" s="6">
        <f>IFERROR(__xludf.DUMMYFUNCTION("""COMPUTED_VALUE"""),"Hypothesis Scratchpad")</f>
        <v/>
      </c>
      <c r="D666" s="7">
        <f>IFERROR(__xludf.DUMMYFUNCTION("""COMPUTED_VALUE"""),"No task description")</f>
        <v/>
      </c>
      <c r="E66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66" s="7" t="inlineStr">
        <is>
          <t>Students research UV rays, answering two questions and writing a hypothesis. Artifacts include an image/jpeg file and the Hypothesis Scratchpad tool.</t>
        </is>
      </c>
      <c r="G666" s="8" t="inlineStr">
        <is>
          <t>0</t>
        </is>
      </c>
      <c r="H666" s="8" t="inlineStr">
        <is>
          <t>1</t>
        </is>
      </c>
      <c r="I666" s="8" t="inlineStr">
        <is>
          <t>1</t>
        </is>
      </c>
      <c r="J666" s="8" t="inlineStr">
        <is>
          <t>0</t>
        </is>
      </c>
      <c r="K666" s="9" t="inlineStr">
        <is>
          <t>0</t>
        </is>
      </c>
      <c r="L666" s="9" t="inlineStr">
        <is>
          <t>1</t>
        </is>
      </c>
      <c r="M666" s="9" t="inlineStr">
        <is>
          <t>1</t>
        </is>
      </c>
      <c r="N666" s="9" t="inlineStr">
        <is>
          <t>1</t>
        </is>
      </c>
      <c r="O666" s="10" t="inlineStr">
        <is>
          <t>0</t>
        </is>
      </c>
      <c r="P666" s="10" t="inlineStr">
        <is>
          <t>1</t>
        </is>
      </c>
      <c r="Q666" s="10" t="inlineStr">
        <is>
          <t>1</t>
        </is>
      </c>
      <c r="R666" s="10" t="inlineStr">
        <is>
          <t>0</t>
        </is>
      </c>
      <c r="S666" s="10" t="inlineStr">
        <is>
          <t>0</t>
        </is>
      </c>
    </row>
    <row r="667" ht="409.5" customHeight="1">
      <c r="A667" s="6">
        <f>IFERROR(__xludf.DUMMYFUNCTION("""COMPUTED_VALUE"""),"UV light: friend or foe?")</f>
        <v/>
      </c>
      <c r="B667" s="6">
        <f>IFERROR(__xludf.DUMMYFUNCTION("""COMPUTED_VALUE"""),"Resource")</f>
        <v/>
      </c>
      <c r="C667" s="6">
        <f>IFERROR(__xludf.DUMMYFUNCTION("""COMPUTED_VALUE"""),"2 (1).graasp")</f>
        <v/>
      </c>
      <c r="D667" s="7">
        <f>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
      </c>
      <c r="E667" s="7">
        <f>IFERROR(__xludf.DUMMYFUNCTION("""COMPUTED_VALUE"""),"No artifact embedded")</f>
        <v/>
      </c>
      <c r="F667" s="7" t="inlineStr">
        <is>
          <t>No task descriptions for Items 1 and 2. Item 3 describes a project to measure UV levels and awareness, with materials needed listed. Embedded artifacts include an image/jpeg and the Golabz app/lab Hypothesis Scratchpad.</t>
        </is>
      </c>
      <c r="G667" s="8" t="inlineStr">
        <is>
          <t>0</t>
        </is>
      </c>
      <c r="H667" s="8" t="inlineStr">
        <is>
          <t>1</t>
        </is>
      </c>
      <c r="I667" s="8" t="inlineStr">
        <is>
          <t>0</t>
        </is>
      </c>
      <c r="J667" s="8" t="inlineStr">
        <is>
          <t>1</t>
        </is>
      </c>
      <c r="K667" s="9" t="inlineStr">
        <is>
          <t>0</t>
        </is>
      </c>
      <c r="L667" s="9" t="inlineStr">
        <is>
          <t>0</t>
        </is>
      </c>
      <c r="M667" s="9" t="inlineStr">
        <is>
          <t>0</t>
        </is>
      </c>
      <c r="N667" s="9" t="inlineStr">
        <is>
          <t>0</t>
        </is>
      </c>
      <c r="O667" s="10" t="inlineStr">
        <is>
          <t>1</t>
        </is>
      </c>
      <c r="P667" s="10" t="inlineStr">
        <is>
          <t>0</t>
        </is>
      </c>
      <c r="Q667" s="10" t="inlineStr">
        <is>
          <t>0</t>
        </is>
      </c>
      <c r="R667" s="10" t="inlineStr">
        <is>
          <t>0</t>
        </is>
      </c>
      <c r="S667" s="10" t="inlineStr">
        <is>
          <t>0</t>
        </is>
      </c>
    </row>
    <row r="668" ht="97" customHeight="1">
      <c r="A668" s="6">
        <f>IFERROR(__xludf.DUMMYFUNCTION("""COMPUTED_VALUE"""),"UV light: friend or foe?")</f>
        <v/>
      </c>
      <c r="B668" s="6">
        <f>IFERROR(__xludf.DUMMYFUNCTION("""COMPUTED_VALUE"""),"Resource")</f>
        <v/>
      </c>
      <c r="C668" s="6">
        <f>IFERROR(__xludf.DUMMYFUNCTION("""COMPUTED_VALUE"""),"UV light scale (1).png")</f>
        <v/>
      </c>
      <c r="D668" s="7">
        <f>IFERROR(__xludf.DUMMYFUNCTION("""COMPUTED_VALUE"""),"No task description")</f>
        <v/>
      </c>
      <c r="E668" s="7">
        <f>IFERROR(__xludf.DUMMYFUNCTION("""COMPUTED_VALUE"""),"image/png – A high-quality image with support for transparency, often used in design and web applications.")</f>
        <v/>
      </c>
      <c r="F668" s="7" t="inlineStr">
        <is>
          <t>Students received tasks with varying levels of detail and embedded artifacts, including a hypothesis-forming app and an image.</t>
        </is>
      </c>
      <c r="G668" s="8" t="inlineStr">
        <is>
          <t>1</t>
        </is>
      </c>
      <c r="H668" s="8" t="inlineStr">
        <is>
          <t>0</t>
        </is>
      </c>
      <c r="I668" s="8" t="inlineStr">
        <is>
          <t>0</t>
        </is>
      </c>
      <c r="J668" s="8" t="inlineStr">
        <is>
          <t>0</t>
        </is>
      </c>
      <c r="K668" s="9" t="inlineStr">
        <is>
          <t>1</t>
        </is>
      </c>
      <c r="L668" s="9" t="inlineStr">
        <is>
          <t>0</t>
        </is>
      </c>
      <c r="M668" s="9" t="inlineStr">
        <is>
          <t>0</t>
        </is>
      </c>
      <c r="N668" s="9" t="inlineStr">
        <is>
          <t>0</t>
        </is>
      </c>
      <c r="O668" s="10" t="inlineStr">
        <is>
          <t>0</t>
        </is>
      </c>
      <c r="P668" s="10" t="inlineStr">
        <is>
          <t>0</t>
        </is>
      </c>
      <c r="Q668" s="10" t="inlineStr">
        <is>
          <t>0</t>
        </is>
      </c>
      <c r="R668" s="10" t="inlineStr">
        <is>
          <t>0</t>
        </is>
      </c>
      <c r="S668" s="10" t="inlineStr">
        <is>
          <t>0</t>
        </is>
      </c>
    </row>
    <row r="669" ht="409.5" customHeight="1">
      <c r="A669" s="6">
        <f>IFERROR(__xludf.DUMMYFUNCTION("""COMPUTED_VALUE"""),"UV light: friend or foe?")</f>
        <v/>
      </c>
      <c r="B669" s="6">
        <f>IFERROR(__xludf.DUMMYFUNCTION("""COMPUTED_VALUE"""),"Resource")</f>
        <v/>
      </c>
      <c r="C669" s="6">
        <f>IFERROR(__xludf.DUMMYFUNCTION("""COMPUTED_VALUE"""),"s.graasp")</f>
        <v/>
      </c>
      <c r="D669" s="7">
        <f>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
      </c>
      <c r="E669" s="7">
        <f>IFERROR(__xludf.DUMMYFUNCTION("""COMPUTED_VALUE"""),"No artifact embedded")</f>
        <v/>
      </c>
      <c r="F669" s="7" t="inlineStr">
        <is>
          <t>Students collaborate on UV levels project, registering with code names and following protocols. Embedded artifacts include a PNG image.</t>
        </is>
      </c>
      <c r="G669" s="8" t="inlineStr">
        <is>
          <t>0</t>
        </is>
      </c>
      <c r="H669" s="8" t="inlineStr">
        <is>
          <t>0</t>
        </is>
      </c>
      <c r="I669" s="8" t="inlineStr">
        <is>
          <t>1</t>
        </is>
      </c>
      <c r="J669" s="8" t="inlineStr">
        <is>
          <t>1</t>
        </is>
      </c>
      <c r="K669" s="9" t="inlineStr">
        <is>
          <t>0</t>
        </is>
      </c>
      <c r="L669" s="9" t="inlineStr">
        <is>
          <t>1</t>
        </is>
      </c>
      <c r="M669" s="9" t="inlineStr">
        <is>
          <t>0</t>
        </is>
      </c>
      <c r="N669" s="9" t="inlineStr">
        <is>
          <t>0</t>
        </is>
      </c>
      <c r="O669" s="10" t="inlineStr">
        <is>
          <t>0</t>
        </is>
      </c>
      <c r="P669" s="10" t="inlineStr">
        <is>
          <t>0</t>
        </is>
      </c>
      <c r="Q669" s="10" t="inlineStr">
        <is>
          <t>0</t>
        </is>
      </c>
      <c r="R669" s="10" t="inlineStr">
        <is>
          <t>0</t>
        </is>
      </c>
      <c r="S669" s="10" t="inlineStr">
        <is>
          <t>0</t>
        </is>
      </c>
    </row>
    <row r="670" ht="133" customHeight="1">
      <c r="A670" s="6">
        <f>IFERROR(__xludf.DUMMYFUNCTION("""COMPUTED_VALUE"""),"UV light: friend or foe?")</f>
        <v/>
      </c>
      <c r="B670" s="6">
        <f>IFERROR(__xludf.DUMMYFUNCTION("""COMPUTED_VALUE"""),"Resource")</f>
        <v/>
      </c>
      <c r="C670" s="6">
        <f>IFERROR(__xludf.DUMMYFUNCTION("""COMPUTED_VALUE"""),"UV light levels around the world (1)")</f>
        <v/>
      </c>
      <c r="D670" s="7">
        <f>IFERROR(__xludf.DUMMYFUNCTION("""COMPUTED_VALUE"""),"&lt;p&gt;Is ultraviolet radiation the same level across the globe? Are people aware of how to protect themselves from this radiation?&lt;/p&gt;")</f>
        <v/>
      </c>
      <c r="E670" s="7">
        <f>IFERROR(__xludf.DUMMYFUNCTION("""COMPUTED_VALUE"""),"Artifact from globallab.org: A platform for collaborative educational projects, possibly including studies on UV light levels around the world.")</f>
        <v/>
      </c>
      <c r="F670" s="7" t="inlineStr">
        <is>
          <t>Students are given task descriptions and embedded artifacts, including images and platforms, to complete projects on various topics.</t>
        </is>
      </c>
      <c r="G670" s="8" t="inlineStr">
        <is>
          <t>0</t>
        </is>
      </c>
      <c r="H670" s="8" t="inlineStr">
        <is>
          <t>0</t>
        </is>
      </c>
      <c r="I670" s="8" t="inlineStr">
        <is>
          <t>1</t>
        </is>
      </c>
      <c r="J670" s="8" t="inlineStr">
        <is>
          <t>1</t>
        </is>
      </c>
      <c r="K670" s="9" t="inlineStr">
        <is>
          <t>1</t>
        </is>
      </c>
      <c r="L670" s="9" t="inlineStr">
        <is>
          <t>0</t>
        </is>
      </c>
      <c r="M670" s="9" t="inlineStr">
        <is>
          <t>0</t>
        </is>
      </c>
      <c r="N670" s="9" t="inlineStr">
        <is>
          <t>1</t>
        </is>
      </c>
      <c r="O670" s="10" t="inlineStr">
        <is>
          <t>1</t>
        </is>
      </c>
      <c r="P670" s="10" t="inlineStr">
        <is>
          <t>1</t>
        </is>
      </c>
      <c r="Q670" s="10" t="inlineStr">
        <is>
          <t>1</t>
        </is>
      </c>
      <c r="R670" s="10" t="inlineStr">
        <is>
          <t>0</t>
        </is>
      </c>
      <c r="S670" s="10" t="inlineStr">
        <is>
          <t>0</t>
        </is>
      </c>
    </row>
    <row r="671" ht="318" customHeight="1">
      <c r="A671" s="6">
        <f>IFERROR(__xludf.DUMMYFUNCTION("""COMPUTED_VALUE"""),"UV light: friend or foe?")</f>
        <v/>
      </c>
      <c r="B671" s="6">
        <f>IFERROR(__xludf.DUMMYFUNCTION("""COMPUTED_VALUE"""),"Resource")</f>
        <v/>
      </c>
      <c r="C671" s="6">
        <f>IFERROR(__xludf.DUMMYFUNCTION("""COMPUTED_VALUE"""),"3.graasp")</f>
        <v/>
      </c>
      <c r="D671" s="7">
        <f>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
      </c>
      <c r="E671" s="7">
        <f>IFERROR(__xludf.DUMMYFUNCTION("""COMPUTED_VALUE"""),"No artifact embedded")</f>
        <v/>
      </c>
      <c r="F671" s="7" t="inlineStr">
        <is>
          <t>Students register, read project parts, and answer questions on a platform, with optional additional research and graph creation. Embedded artifacts include a collaborative educational project platform.</t>
        </is>
      </c>
      <c r="G671" s="8" t="inlineStr">
        <is>
          <t>0</t>
        </is>
      </c>
      <c r="H671" s="8" t="inlineStr">
        <is>
          <t>0</t>
        </is>
      </c>
      <c r="I671" s="8" t="inlineStr">
        <is>
          <t>1</t>
        </is>
      </c>
      <c r="J671" s="8" t="inlineStr">
        <is>
          <t>1</t>
        </is>
      </c>
      <c r="K671" s="9" t="inlineStr">
        <is>
          <t>0</t>
        </is>
      </c>
      <c r="L671" s="9" t="inlineStr">
        <is>
          <t>1</t>
        </is>
      </c>
      <c r="M671" s="9" t="inlineStr">
        <is>
          <t>0</t>
        </is>
      </c>
      <c r="N671" s="9" t="inlineStr">
        <is>
          <t>0</t>
        </is>
      </c>
      <c r="O671" s="10" t="inlineStr">
        <is>
          <t>0</t>
        </is>
      </c>
      <c r="P671" s="10" t="inlineStr">
        <is>
          <t>1</t>
        </is>
      </c>
      <c r="Q671" s="10" t="inlineStr">
        <is>
          <t>0</t>
        </is>
      </c>
      <c r="R671" s="10" t="inlineStr">
        <is>
          <t>1</t>
        </is>
      </c>
      <c r="S671" s="10" t="inlineStr">
        <is>
          <t>1</t>
        </is>
      </c>
    </row>
    <row r="672" ht="409.5" customHeight="1">
      <c r="A672" s="6">
        <f>IFERROR(__xludf.DUMMYFUNCTION("""COMPUTED_VALUE"""),"UV light: friend or foe?")</f>
        <v/>
      </c>
      <c r="B672" s="6">
        <f>IFERROR(__xludf.DUMMYFUNCTION("""COMPUTED_VALUE"""),"Application")</f>
        <v/>
      </c>
      <c r="C672" s="6">
        <f>IFERROR(__xludf.DUMMYFUNCTION("""COMPUTED_VALUE"""),"Conclusion Tool")</f>
        <v/>
      </c>
      <c r="D672" s="7">
        <f>IFERROR(__xludf.DUMMYFUNCTION("""COMPUTED_VALUE"""),"No task description")</f>
        <v/>
      </c>
      <c r="E67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72" s="7" t="inlineStr">
        <is>
          <t>Students research UV radiation levels, analyze data, and draw conclusions. Embedded artifacts include Globallab.org and Golabz app/lab tools for collaborative projects and hypothesis validation.</t>
        </is>
      </c>
      <c r="G672" s="8" t="inlineStr">
        <is>
          <t>0</t>
        </is>
      </c>
      <c r="H672" s="8" t="inlineStr">
        <is>
          <t>1</t>
        </is>
      </c>
      <c r="I672" s="8" t="inlineStr">
        <is>
          <t>1</t>
        </is>
      </c>
      <c r="J672" s="8" t="inlineStr">
        <is>
          <t>0</t>
        </is>
      </c>
      <c r="K672" s="9" t="inlineStr">
        <is>
          <t>0</t>
        </is>
      </c>
      <c r="L672" s="9" t="inlineStr">
        <is>
          <t>0</t>
        </is>
      </c>
      <c r="M672" s="9" t="inlineStr">
        <is>
          <t>0</t>
        </is>
      </c>
      <c r="N672" s="9" t="inlineStr">
        <is>
          <t>0</t>
        </is>
      </c>
      <c r="O672" s="10" t="inlineStr">
        <is>
          <t>0</t>
        </is>
      </c>
      <c r="P672" s="10" t="inlineStr">
        <is>
          <t>1</t>
        </is>
      </c>
      <c r="Q672" s="10" t="inlineStr">
        <is>
          <t>0</t>
        </is>
      </c>
      <c r="R672" s="10" t="inlineStr">
        <is>
          <t>1</t>
        </is>
      </c>
      <c r="S672" s="10" t="inlineStr">
        <is>
          <t>1</t>
        </is>
      </c>
    </row>
    <row r="673" ht="409.5" customHeight="1">
      <c r="A673" s="6">
        <f>IFERROR(__xludf.DUMMYFUNCTION("""COMPUTED_VALUE"""),"UV light: friend or foe?")</f>
        <v/>
      </c>
      <c r="B673" s="6">
        <f>IFERROR(__xludf.DUMMYFUNCTION("""COMPUTED_VALUE"""),"Resource")</f>
        <v/>
      </c>
      <c r="C673" s="6">
        <f>IFERROR(__xludf.DUMMYFUNCTION("""COMPUTED_VALUE"""),"4.graasp")</f>
        <v/>
      </c>
      <c r="D673" s="7">
        <f>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
      </c>
      <c r="E673" s="7">
        <f>IFERROR(__xludf.DUMMYFUNCTION("""COMPUTED_VALUE"""),"No artifact embedded")</f>
        <v/>
      </c>
      <c r="F673" s="7" t="inlineStr">
        <is>
          <t>Students analyze data, answer questions about UV levels and awareness, and draw conclusions. Embedded artifacts include Golabz app/lab for hypothesis validation.</t>
        </is>
      </c>
      <c r="G673" s="8" t="inlineStr">
        <is>
          <t>1</t>
        </is>
      </c>
      <c r="H673" s="8" t="inlineStr">
        <is>
          <t>0</t>
        </is>
      </c>
      <c r="I673" s="8" t="inlineStr">
        <is>
          <t>0</t>
        </is>
      </c>
      <c r="J673" s="8" t="inlineStr">
        <is>
          <t>0</t>
        </is>
      </c>
      <c r="K673" s="9" t="inlineStr">
        <is>
          <t>1</t>
        </is>
      </c>
      <c r="L673" s="9" t="inlineStr">
        <is>
          <t>0</t>
        </is>
      </c>
      <c r="M673" s="9" t="inlineStr">
        <is>
          <t>0</t>
        </is>
      </c>
      <c r="N673" s="9" t="inlineStr">
        <is>
          <t>0</t>
        </is>
      </c>
      <c r="O673" s="10" t="inlineStr">
        <is>
          <t>0</t>
        </is>
      </c>
      <c r="P673" s="10" t="inlineStr">
        <is>
          <t>0</t>
        </is>
      </c>
      <c r="Q673" s="10" t="inlineStr">
        <is>
          <t>0</t>
        </is>
      </c>
      <c r="R673" s="10" t="inlineStr">
        <is>
          <t>0</t>
        </is>
      </c>
      <c r="S673" s="10" t="inlineStr">
        <is>
          <t>0</t>
        </is>
      </c>
    </row>
    <row r="674" ht="25" customHeight="1">
      <c r="A674" s="6">
        <f>IFERROR(__xludf.DUMMYFUNCTION("""COMPUTED_VALUE"""),"UV light: friend or foe?")</f>
        <v/>
      </c>
      <c r="B674" s="6">
        <f>IFERROR(__xludf.DUMMYFUNCTION("""COMPUTED_VALUE"""),"Space")</f>
        <v/>
      </c>
      <c r="C674" s="6">
        <f>IFERROR(__xludf.DUMMYFUNCTION("""COMPUTED_VALUE"""),"How can we protect our skin?")</f>
        <v/>
      </c>
      <c r="D674" s="7">
        <f>IFERROR(__xludf.DUMMYFUNCTION("""COMPUTED_VALUE"""),"No task description")</f>
        <v/>
      </c>
      <c r="E674" s="7">
        <f>IFERROR(__xludf.DUMMYFUNCTION("""COMPUTED_VALUE"""),"No artifact embedded")</f>
        <v/>
      </c>
      <c r="F674" s="7" t="inlineStr">
        <is>
          <t>Students were given tasks with some having no descriptions, and artifacts like Golabz app/lab for hypothesis validation.</t>
        </is>
      </c>
      <c r="G674" s="8" t="inlineStr">
        <is>
          <t>0</t>
        </is>
      </c>
      <c r="H674" s="8" t="inlineStr">
        <is>
          <t>0</t>
        </is>
      </c>
      <c r="I674" s="8" t="inlineStr">
        <is>
          <t>0</t>
        </is>
      </c>
      <c r="J674" s="8" t="inlineStr">
        <is>
          <t>0</t>
        </is>
      </c>
      <c r="K674" s="9" t="inlineStr">
        <is>
          <t>0</t>
        </is>
      </c>
      <c r="L674" s="9" t="inlineStr">
        <is>
          <t>0</t>
        </is>
      </c>
      <c r="M674" s="9" t="inlineStr">
        <is>
          <t>0</t>
        </is>
      </c>
      <c r="N674" s="9" t="inlineStr">
        <is>
          <t>0</t>
        </is>
      </c>
      <c r="O674" s="10" t="inlineStr">
        <is>
          <t>0</t>
        </is>
      </c>
      <c r="P674" s="10" t="inlineStr">
        <is>
          <t>0</t>
        </is>
      </c>
      <c r="Q674" s="10" t="inlineStr">
        <is>
          <t>0</t>
        </is>
      </c>
      <c r="R674" s="10" t="inlineStr">
        <is>
          <t>0</t>
        </is>
      </c>
      <c r="S674" s="10" t="inlineStr">
        <is>
          <t>0</t>
        </is>
      </c>
    </row>
    <row r="675" ht="409.5" customHeight="1">
      <c r="A675" s="6">
        <f>IFERROR(__xludf.DUMMYFUNCTION("""COMPUTED_VALUE"""),"UV light: friend or foe?")</f>
        <v/>
      </c>
      <c r="B675" s="6">
        <f>IFERROR(__xludf.DUMMYFUNCTION("""COMPUTED_VALUE"""),"Resource")</f>
        <v/>
      </c>
      <c r="C675" s="6">
        <f>IFERROR(__xludf.DUMMYFUNCTION("""COMPUTED_VALUE"""),"1.graasp")</f>
        <v/>
      </c>
      <c r="D675" s="7">
        <f>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
      </c>
      <c r="E675" s="7">
        <f>IFERROR(__xludf.DUMMYFUNCTION("""COMPUTED_VALUE"""),"No artifact embedded")</f>
        <v/>
      </c>
      <c r="F675" s="7" t="inlineStr">
        <is>
          <t>Students were instructed to learn about UV radiation, its measurement, and protection methods. No artifacts were embedded in the items.</t>
        </is>
      </c>
      <c r="G675" s="8" t="inlineStr">
        <is>
          <t>0</t>
        </is>
      </c>
      <c r="H675" s="8" t="inlineStr">
        <is>
          <t>0</t>
        </is>
      </c>
      <c r="I675" s="8" t="inlineStr">
        <is>
          <t>1</t>
        </is>
      </c>
      <c r="J675" s="8" t="inlineStr">
        <is>
          <t>1</t>
        </is>
      </c>
      <c r="K675" s="9" t="inlineStr">
        <is>
          <t>0</t>
        </is>
      </c>
      <c r="L675" s="9" t="inlineStr">
        <is>
          <t>1</t>
        </is>
      </c>
      <c r="M675" s="9" t="inlineStr">
        <is>
          <t>0</t>
        </is>
      </c>
      <c r="N675" s="9" t="inlineStr">
        <is>
          <t>0</t>
        </is>
      </c>
      <c r="O675" s="10" t="inlineStr">
        <is>
          <t>1</t>
        </is>
      </c>
      <c r="P675" s="10" t="inlineStr">
        <is>
          <t>1</t>
        </is>
      </c>
      <c r="Q675" s="10" t="inlineStr">
        <is>
          <t>0</t>
        </is>
      </c>
      <c r="R675" s="10" t="inlineStr">
        <is>
          <t>0</t>
        </is>
      </c>
      <c r="S675" s="10" t="inlineStr">
        <is>
          <t>1</t>
        </is>
      </c>
    </row>
    <row r="676" ht="409.5" customHeight="1">
      <c r="A676" s="6">
        <f>IFERROR(__xludf.DUMMYFUNCTION("""COMPUTED_VALUE"""),"UV light: friend or foe?")</f>
        <v/>
      </c>
      <c r="B676" s="6">
        <f>IFERROR(__xludf.DUMMYFUNCTION("""COMPUTED_VALUE"""),"Application")</f>
        <v/>
      </c>
      <c r="C676" s="6">
        <f>IFERROR(__xludf.DUMMYFUNCTION("""COMPUTED_VALUE"""),"Table Tool")</f>
        <v/>
      </c>
      <c r="D676" s="7">
        <f>IFERROR(__xludf.DUMMYFUNCTION("""COMPUTED_VALUE"""),"No task description")</f>
        <v/>
      </c>
      <c r="E67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76" s="7" t="inlineStr">
        <is>
          <t>Students investigate UV protection methods and share opinions on effective ways to protect skin outdoors. No artifacts are embedded in Items 1 and 2, while Item 3 describes the Golabz app/lab table tool.</t>
        </is>
      </c>
      <c r="G676" s="8" t="inlineStr">
        <is>
          <t>0</t>
        </is>
      </c>
      <c r="H676" s="8" t="inlineStr">
        <is>
          <t>1</t>
        </is>
      </c>
      <c r="I676" s="8" t="inlineStr">
        <is>
          <t>1</t>
        </is>
      </c>
      <c r="J676" s="8" t="inlineStr">
        <is>
          <t>0</t>
        </is>
      </c>
      <c r="K676" s="9" t="inlineStr">
        <is>
          <t>0</t>
        </is>
      </c>
      <c r="L676" s="9" t="inlineStr">
        <is>
          <t>1</t>
        </is>
      </c>
      <c r="M676" s="9" t="inlineStr">
        <is>
          <t>1</t>
        </is>
      </c>
      <c r="N676" s="9" t="inlineStr">
        <is>
          <t>1</t>
        </is>
      </c>
      <c r="O676" s="10" t="inlineStr">
        <is>
          <t>0</t>
        </is>
      </c>
      <c r="P676" s="10" t="inlineStr">
        <is>
          <t>0</t>
        </is>
      </c>
      <c r="Q676" s="10" t="inlineStr">
        <is>
          <t>1</t>
        </is>
      </c>
      <c r="R676" s="10" t="inlineStr">
        <is>
          <t>0</t>
        </is>
      </c>
      <c r="S676" s="10" t="inlineStr">
        <is>
          <t>1</t>
        </is>
      </c>
    </row>
    <row r="677" ht="409.5" customHeight="1">
      <c r="A677" s="6">
        <f>IFERROR(__xludf.DUMMYFUNCTION("""COMPUTED_VALUE"""),"UV light: friend or foe?")</f>
        <v/>
      </c>
      <c r="B677" s="6">
        <f>IFERROR(__xludf.DUMMYFUNCTION("""COMPUTED_VALUE"""),"Resource")</f>
        <v/>
      </c>
      <c r="C677" s="6">
        <f>IFERROR(__xludf.DUMMYFUNCTION("""COMPUTED_VALUE"""),"2.graasp")</f>
        <v/>
      </c>
      <c r="D677" s="7">
        <f>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
      </c>
      <c r="E677" s="7">
        <f>IFERROR(__xludf.DUMMYFUNCTION("""COMPUTED_VALUE"""),"No artifact embedded")</f>
        <v/>
      </c>
      <c r="F677" s="7" t="inlineStr">
        <is>
          <t>Students investigate UV protection methods, then design an experiment to test their effectiveness using various materials.</t>
        </is>
      </c>
      <c r="G677" s="8" t="inlineStr">
        <is>
          <t>0</t>
        </is>
      </c>
      <c r="H677" s="8" t="inlineStr">
        <is>
          <t>1</t>
        </is>
      </c>
      <c r="I677" s="8" t="inlineStr">
        <is>
          <t>1</t>
        </is>
      </c>
      <c r="J677" s="8" t="inlineStr">
        <is>
          <t>1</t>
        </is>
      </c>
      <c r="K677" s="9" t="inlineStr">
        <is>
          <t>0</t>
        </is>
      </c>
      <c r="L677" s="9" t="inlineStr">
        <is>
          <t>0</t>
        </is>
      </c>
      <c r="M677" s="9" t="inlineStr">
        <is>
          <t>0</t>
        </is>
      </c>
      <c r="N677" s="9" t="inlineStr">
        <is>
          <t>0</t>
        </is>
      </c>
      <c r="O677" s="10" t="inlineStr">
        <is>
          <t>0</t>
        </is>
      </c>
      <c r="P677" s="10" t="inlineStr">
        <is>
          <t>0</t>
        </is>
      </c>
      <c r="Q677" s="10" t="inlineStr">
        <is>
          <t>1</t>
        </is>
      </c>
      <c r="R677" s="10" t="inlineStr">
        <is>
          <t>0</t>
        </is>
      </c>
      <c r="S677" s="10" t="inlineStr">
        <is>
          <t>0</t>
        </is>
      </c>
    </row>
    <row r="678" ht="329" customHeight="1">
      <c r="A678" s="6">
        <f>IFERROR(__xludf.DUMMYFUNCTION("""COMPUTED_VALUE"""),"UV light: friend or foe?")</f>
        <v/>
      </c>
      <c r="B678" s="6">
        <f>IFERROR(__xludf.DUMMYFUNCTION("""COMPUTED_VALUE"""),"Application")</f>
        <v/>
      </c>
      <c r="C678" s="6">
        <f>IFERROR(__xludf.DUMMYFUNCTION("""COMPUTED_VALUE"""),"Input Box")</f>
        <v/>
      </c>
      <c r="D678" s="7">
        <f>IFERROR(__xludf.DUMMYFUNCTION("""COMPUTED_VALUE"""),"No task description")</f>
        <v/>
      </c>
      <c r="E67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8" s="7" t="inlineStr">
        <is>
          <t>Students receive task instructions and use Golabz apps like Table tool and Input box for data entry and note-taking.</t>
        </is>
      </c>
      <c r="G678" s="8" t="inlineStr">
        <is>
          <t>0</t>
        </is>
      </c>
      <c r="H678" s="8" t="inlineStr">
        <is>
          <t>1</t>
        </is>
      </c>
      <c r="I678" s="8" t="inlineStr">
        <is>
          <t>1</t>
        </is>
      </c>
      <c r="J678" s="8" t="inlineStr">
        <is>
          <t>1</t>
        </is>
      </c>
      <c r="K678" s="9" t="inlineStr">
        <is>
          <t>0</t>
        </is>
      </c>
      <c r="L678" s="9" t="inlineStr">
        <is>
          <t>1</t>
        </is>
      </c>
      <c r="M678" s="9" t="inlineStr">
        <is>
          <t>0</t>
        </is>
      </c>
      <c r="N678" s="9" t="inlineStr">
        <is>
          <t>1</t>
        </is>
      </c>
      <c r="O678" s="10" t="inlineStr">
        <is>
          <t>0</t>
        </is>
      </c>
      <c r="P678" s="10" t="inlineStr">
        <is>
          <t>0</t>
        </is>
      </c>
      <c r="Q678" s="10" t="inlineStr">
        <is>
          <t>0</t>
        </is>
      </c>
      <c r="R678" s="10" t="inlineStr">
        <is>
          <t>0</t>
        </is>
      </c>
      <c r="S678" s="10" t="inlineStr">
        <is>
          <t>1</t>
        </is>
      </c>
    </row>
    <row r="679" ht="409.5" customHeight="1">
      <c r="A679" s="6">
        <f>IFERROR(__xludf.DUMMYFUNCTION("""COMPUTED_VALUE"""),"UV light: friend or foe?")</f>
        <v/>
      </c>
      <c r="B679" s="6">
        <f>IFERROR(__xludf.DUMMYFUNCTION("""COMPUTED_VALUE"""),"Application")</f>
        <v/>
      </c>
      <c r="C679" s="6">
        <f>IFERROR(__xludf.DUMMYFUNCTION("""COMPUTED_VALUE"""),"Experiment Design Tool")</f>
        <v/>
      </c>
      <c r="D679" s="7">
        <f>IFERROR(__xludf.DUMMYFUNCTION("""COMPUTED_VALUE"""),"&lt;p&gt;Use this tool to design your experiment, considering that in order to achieve valid results you should always vary one variable at a time. Click on the (+) to add the values.&lt;/p&gt;")</f>
        <v/>
      </c>
      <c r="E67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679" s="7" t="inlineStr">
        <is>
          <t>Students test UV protection methods using materials like sunscreen and UV beads, with optional tools like a UV lantern. Embedded artifacts include note-taking and experiment design apps.</t>
        </is>
      </c>
      <c r="G679" s="8" t="inlineStr">
        <is>
          <t>0</t>
        </is>
      </c>
      <c r="H679" s="8" t="inlineStr">
        <is>
          <t>1</t>
        </is>
      </c>
      <c r="I679" s="8" t="inlineStr">
        <is>
          <t>1</t>
        </is>
      </c>
      <c r="J679" s="8" t="inlineStr">
        <is>
          <t>1</t>
        </is>
      </c>
      <c r="K679" s="9" t="inlineStr">
        <is>
          <t>0</t>
        </is>
      </c>
      <c r="L679" s="9" t="inlineStr">
        <is>
          <t>1</t>
        </is>
      </c>
      <c r="M679" s="9" t="inlineStr">
        <is>
          <t>0</t>
        </is>
      </c>
      <c r="N679" s="9" t="inlineStr">
        <is>
          <t>0</t>
        </is>
      </c>
      <c r="O679" s="10" t="inlineStr">
        <is>
          <t>0</t>
        </is>
      </c>
      <c r="P679" s="10" t="inlineStr">
        <is>
          <t>1</t>
        </is>
      </c>
      <c r="Q679" s="10" t="inlineStr">
        <is>
          <t>1</t>
        </is>
      </c>
      <c r="R679" s="10" t="inlineStr">
        <is>
          <t>0</t>
        </is>
      </c>
      <c r="S679" s="10" t="inlineStr">
        <is>
          <t>0</t>
        </is>
      </c>
    </row>
    <row r="680" ht="395" customHeight="1">
      <c r="A680" s="6">
        <f>IFERROR(__xludf.DUMMYFUNCTION("""COMPUTED_VALUE"""),"UV light: friend or foe?")</f>
        <v/>
      </c>
      <c r="B680" s="6">
        <f>IFERROR(__xludf.DUMMYFUNCTION("""COMPUTED_VALUE"""),"Application")</f>
        <v/>
      </c>
      <c r="C680" s="6">
        <f>IFERROR(__xludf.DUMMYFUNCTION("""COMPUTED_VALUE"""),"Observation Tool")</f>
        <v/>
      </c>
      <c r="D680" s="7">
        <f>IFERROR(__xludf.DUMMYFUNCTION("""COMPUTED_VALUE"""),"&lt;p&gt;Its time to experiment! Make your experiments and register all your observations. Take pictures of the process to keep a visual record.&lt;/p&gt;")</f>
        <v/>
      </c>
      <c r="E68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80" s="7" t="inlineStr">
        <is>
          <t>Students use apps to design experiments, record observations, and take notes. Artifacts include input boxes, experiment design tools, and observation tools with collaboration options.</t>
        </is>
      </c>
      <c r="G680" s="8" t="inlineStr">
        <is>
          <t>0</t>
        </is>
      </c>
      <c r="H680" s="8" t="inlineStr">
        <is>
          <t>1</t>
        </is>
      </c>
      <c r="I680" s="8" t="inlineStr">
        <is>
          <t>1</t>
        </is>
      </c>
      <c r="J680" s="8" t="inlineStr">
        <is>
          <t>1</t>
        </is>
      </c>
      <c r="K680" s="9" t="inlineStr">
        <is>
          <t>0</t>
        </is>
      </c>
      <c r="L680" s="9" t="inlineStr">
        <is>
          <t>1</t>
        </is>
      </c>
      <c r="M680" s="9" t="inlineStr">
        <is>
          <t>0</t>
        </is>
      </c>
      <c r="N680" s="9" t="inlineStr">
        <is>
          <t>1</t>
        </is>
      </c>
      <c r="O680" s="10" t="inlineStr">
        <is>
          <t>0</t>
        </is>
      </c>
      <c r="P680" s="10" t="inlineStr">
        <is>
          <t>0</t>
        </is>
      </c>
      <c r="Q680" s="10" t="inlineStr">
        <is>
          <t>1</t>
        </is>
      </c>
      <c r="R680" s="10" t="inlineStr">
        <is>
          <t>0</t>
        </is>
      </c>
      <c r="S680" s="10" t="inlineStr">
        <is>
          <t>0</t>
        </is>
      </c>
    </row>
    <row r="681" ht="193" customHeight="1">
      <c r="A681" s="6">
        <f>IFERROR(__xludf.DUMMYFUNCTION("""COMPUTED_VALUE"""),"UV light: friend or foe?")</f>
        <v/>
      </c>
      <c r="B681" s="6">
        <f>IFERROR(__xludf.DUMMYFUNCTION("""COMPUTED_VALUE"""),"Resource")</f>
        <v/>
      </c>
      <c r="C681" s="6">
        <f>IFERROR(__xludf.DUMMYFUNCTION("""COMPUTED_VALUE"""),"3.graasp")</f>
        <v/>
      </c>
      <c r="D681" s="7">
        <f>IFERROR(__xludf.DUMMYFUNCTION("""COMPUTED_VALUE"""),"&lt;p&gt;Make sure you have made all the experiments you wanted to make. Don't worry if something went wrong, you can always repeat your experiment.&lt;/p&gt;&lt;p&gt;&lt;br&gt;&lt;/p&gt;&lt;p&gt;When you finish, go to the ""conclusion"" phase&lt;/p&gt;")</f>
        <v/>
      </c>
      <c r="E681" s="7">
        <f>IFERROR(__xludf.DUMMYFUNCTION("""COMPUTED_VALUE"""),"No artifact embedded")</f>
        <v/>
      </c>
      <c r="F681" s="7" t="inlineStr">
        <is>
          <t>Students are instructed to design and conduct experiments, record observations, and analyze results using Golabz apps: Experiment Design Tool and Observation Tool.</t>
        </is>
      </c>
      <c r="G681" s="8" t="inlineStr">
        <is>
          <t>0</t>
        </is>
      </c>
      <c r="H681" s="8" t="inlineStr">
        <is>
          <t>0</t>
        </is>
      </c>
      <c r="I681" s="8" t="inlineStr">
        <is>
          <t>0</t>
        </is>
      </c>
      <c r="J681" s="8" t="inlineStr">
        <is>
          <t>0</t>
        </is>
      </c>
      <c r="K681" s="9" t="inlineStr">
        <is>
          <t>0</t>
        </is>
      </c>
      <c r="L681" s="9" t="inlineStr">
        <is>
          <t>0</t>
        </is>
      </c>
      <c r="M681" s="9" t="inlineStr">
        <is>
          <t>0</t>
        </is>
      </c>
      <c r="N681" s="9" t="inlineStr">
        <is>
          <t>0</t>
        </is>
      </c>
      <c r="O681" s="10" t="inlineStr">
        <is>
          <t>0</t>
        </is>
      </c>
      <c r="P681" s="10" t="inlineStr">
        <is>
          <t>0</t>
        </is>
      </c>
      <c r="Q681" s="10" t="inlineStr">
        <is>
          <t>0</t>
        </is>
      </c>
      <c r="R681" s="10" t="inlineStr">
        <is>
          <t>0</t>
        </is>
      </c>
      <c r="S681" s="10" t="inlineStr">
        <is>
          <t>0</t>
        </is>
      </c>
    </row>
    <row r="682" ht="241" customHeight="1">
      <c r="A682" s="6">
        <f>IFERROR(__xludf.DUMMYFUNCTION("""COMPUTED_VALUE"""),"UV light: friend or foe?")</f>
        <v/>
      </c>
      <c r="B682" s="6">
        <f>IFERROR(__xludf.DUMMYFUNCTION("""COMPUTED_VALUE"""),"Space")</f>
        <v/>
      </c>
      <c r="C682" s="6">
        <f>IFERROR(__xludf.DUMMYFUNCTION("""COMPUTED_VALUE"""),"Conclusion")</f>
        <v/>
      </c>
      <c r="D682" s="7">
        <f>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
      </c>
      <c r="E682" s="7">
        <f>IFERROR(__xludf.DUMMYFUNCTION("""COMPUTED_VALUE"""),"No artifact embedded")</f>
        <v/>
      </c>
      <c r="F682" s="7" t="inlineStr">
        <is>
          <t>Students conduct experiments, record observations, and analyze data using tools like Golabz app/lab, then draw conclusions.</t>
        </is>
      </c>
      <c r="G682" s="8" t="inlineStr">
        <is>
          <t>0</t>
        </is>
      </c>
      <c r="H682" s="8" t="inlineStr">
        <is>
          <t>1</t>
        </is>
      </c>
      <c r="I682" s="8" t="inlineStr">
        <is>
          <t>1</t>
        </is>
      </c>
      <c r="J682" s="8" t="inlineStr">
        <is>
          <t>1</t>
        </is>
      </c>
      <c r="K682" s="9" t="inlineStr">
        <is>
          <t>0</t>
        </is>
      </c>
      <c r="L682" s="9" t="inlineStr">
        <is>
          <t>1</t>
        </is>
      </c>
      <c r="M682" s="9" t="inlineStr">
        <is>
          <t>0</t>
        </is>
      </c>
      <c r="N682" s="9" t="inlineStr">
        <is>
          <t>0</t>
        </is>
      </c>
      <c r="O682" s="10" t="inlineStr">
        <is>
          <t>0</t>
        </is>
      </c>
      <c r="P682" s="10" t="inlineStr">
        <is>
          <t>0</t>
        </is>
      </c>
      <c r="Q682" s="10" t="inlineStr">
        <is>
          <t>0</t>
        </is>
      </c>
      <c r="R682" s="10" t="inlineStr">
        <is>
          <t>1</t>
        </is>
      </c>
      <c r="S682" s="10" t="inlineStr">
        <is>
          <t>0</t>
        </is>
      </c>
    </row>
    <row r="683" ht="409.5" customHeight="1">
      <c r="A683" s="6">
        <f>IFERROR(__xludf.DUMMYFUNCTION("""COMPUTED_VALUE"""),"UV light: friend or foe?")</f>
        <v/>
      </c>
      <c r="B683" s="6">
        <f>IFERROR(__xludf.DUMMYFUNCTION("""COMPUTED_VALUE"""),"Application")</f>
        <v/>
      </c>
      <c r="C683" s="6">
        <f>IFERROR(__xludf.DUMMYFUNCTION("""COMPUTED_VALUE"""),"Data Viewer")</f>
        <v/>
      </c>
      <c r="D683" s="7">
        <f>IFERROR(__xludf.DUMMYFUNCTION("""COMPUTED_VALUE"""),"No task description")</f>
        <v/>
      </c>
      <c r="E683"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683" s="7" t="inlineStr">
        <is>
          <t>Students are instructed to conduct experiments, analyze data using graphics, and draw conclusions. Embedded artifacts include a Golabz Data Viewer app for visualizing data.</t>
        </is>
      </c>
      <c r="G683" s="8" t="inlineStr">
        <is>
          <t>1</t>
        </is>
      </c>
      <c r="H683" s="8" t="inlineStr">
        <is>
          <t>1</t>
        </is>
      </c>
      <c r="I683" s="8" t="inlineStr">
        <is>
          <t>0</t>
        </is>
      </c>
      <c r="J683" s="8" t="inlineStr">
        <is>
          <t>0</t>
        </is>
      </c>
      <c r="K683" s="9" t="inlineStr">
        <is>
          <t>1</t>
        </is>
      </c>
      <c r="L683" s="9" t="inlineStr">
        <is>
          <t>0</t>
        </is>
      </c>
      <c r="M683" s="9" t="inlineStr">
        <is>
          <t>0</t>
        </is>
      </c>
      <c r="N683" s="9" t="inlineStr">
        <is>
          <t>1</t>
        </is>
      </c>
      <c r="O683" s="10" t="inlineStr">
        <is>
          <t>0</t>
        </is>
      </c>
      <c r="P683" s="10" t="inlineStr">
        <is>
          <t>0</t>
        </is>
      </c>
      <c r="Q683" s="10" t="inlineStr">
        <is>
          <t>1</t>
        </is>
      </c>
      <c r="R683" s="10" t="inlineStr">
        <is>
          <t>0</t>
        </is>
      </c>
      <c r="S683" s="10" t="inlineStr">
        <is>
          <t>0</t>
        </is>
      </c>
    </row>
    <row r="684" ht="157" customHeight="1">
      <c r="A684" s="6">
        <f>IFERROR(__xludf.DUMMYFUNCTION("""COMPUTED_VALUE"""),"UV light: friend or foe?")</f>
        <v/>
      </c>
      <c r="B684" s="6">
        <f>IFERROR(__xludf.DUMMYFUNCTION("""COMPUTED_VALUE"""),"Resource")</f>
        <v/>
      </c>
      <c r="C684" s="6">
        <f>IFERROR(__xludf.DUMMYFUNCTION("""COMPUTED_VALUE"""),"2.graasp")</f>
        <v/>
      </c>
      <c r="D684" s="7">
        <f>IFERROR(__xludf.DUMMYFUNCTION("""COMPUTED_VALUE"""),"&lt;p&gt;OK, so now, let's return to our table! Write again your list of effective and non-effective ways of protection against UV rays, but now, considering the results you got from your experiment&lt;/p&gt;")</f>
        <v/>
      </c>
      <c r="E684" s="7">
        <f>IFERROR(__xludf.DUMMYFUNCTION("""COMPUTED_VALUE"""),"No artifact embedded")</f>
        <v/>
      </c>
      <c r="F684" s="7" t="inlineStr">
        <is>
          <t>Students analyze data using graphics, configure data sources, and write lists considering experiment results. Embedded artifacts include a graphic creator and the Golabz Data Viewer app.</t>
        </is>
      </c>
      <c r="G684" s="8" t="inlineStr">
        <is>
          <t>0</t>
        </is>
      </c>
      <c r="H684" s="8" t="inlineStr">
        <is>
          <t>0</t>
        </is>
      </c>
      <c r="I684" s="8" t="inlineStr">
        <is>
          <t>1</t>
        </is>
      </c>
      <c r="J684" s="8" t="inlineStr">
        <is>
          <t>1</t>
        </is>
      </c>
      <c r="K684" s="9" t="inlineStr">
        <is>
          <t>0</t>
        </is>
      </c>
      <c r="L684" s="9" t="inlineStr">
        <is>
          <t>1</t>
        </is>
      </c>
      <c r="M684" s="9" t="inlineStr">
        <is>
          <t>0</t>
        </is>
      </c>
      <c r="N684" s="9" t="inlineStr">
        <is>
          <t>0</t>
        </is>
      </c>
      <c r="O684" s="10" t="inlineStr">
        <is>
          <t>0</t>
        </is>
      </c>
      <c r="P684" s="10" t="inlineStr">
        <is>
          <t>1</t>
        </is>
      </c>
      <c r="Q684" s="10" t="inlineStr">
        <is>
          <t>0</t>
        </is>
      </c>
      <c r="R684" s="10" t="inlineStr">
        <is>
          <t>1</t>
        </is>
      </c>
      <c r="S684" s="10" t="inlineStr">
        <is>
          <t>0</t>
        </is>
      </c>
    </row>
    <row r="685" ht="409.5" customHeight="1">
      <c r="A685" s="6">
        <f>IFERROR(__xludf.DUMMYFUNCTION("""COMPUTED_VALUE"""),"UV light: friend or foe?")</f>
        <v/>
      </c>
      <c r="B685" s="6">
        <f>IFERROR(__xludf.DUMMYFUNCTION("""COMPUTED_VALUE"""),"Application")</f>
        <v/>
      </c>
      <c r="C685" s="6">
        <f>IFERROR(__xludf.DUMMYFUNCTION("""COMPUTED_VALUE"""),"Table Tool")</f>
        <v/>
      </c>
      <c r="D685" s="7">
        <f>IFERROR(__xludf.DUMMYFUNCTION("""COMPUTED_VALUE"""),"No task description")</f>
        <v/>
      </c>
      <c r="E68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85" s="7" t="inlineStr">
        <is>
          <t>Students are given tasks and tools, including Golabz apps for data visualization and table creation, with some tasks lacking descriptions.</t>
        </is>
      </c>
      <c r="G685" s="8" t="inlineStr">
        <is>
          <t>0</t>
        </is>
      </c>
      <c r="H685" s="8" t="inlineStr">
        <is>
          <t>1</t>
        </is>
      </c>
      <c r="I685" s="8" t="inlineStr">
        <is>
          <t>1</t>
        </is>
      </c>
      <c r="J685" s="8" t="inlineStr">
        <is>
          <t>0</t>
        </is>
      </c>
      <c r="K685" s="9" t="inlineStr">
        <is>
          <t>0</t>
        </is>
      </c>
      <c r="L685" s="9" t="inlineStr">
        <is>
          <t>1</t>
        </is>
      </c>
      <c r="M685" s="9" t="inlineStr">
        <is>
          <t>0</t>
        </is>
      </c>
      <c r="N685" s="9" t="inlineStr">
        <is>
          <t>1</t>
        </is>
      </c>
      <c r="O685" s="10" t="inlineStr">
        <is>
          <t>0</t>
        </is>
      </c>
      <c r="P685" s="10" t="inlineStr">
        <is>
          <t>0</t>
        </is>
      </c>
      <c r="Q685" s="10" t="inlineStr">
        <is>
          <t>0</t>
        </is>
      </c>
      <c r="R685" s="10" t="inlineStr">
        <is>
          <t>0</t>
        </is>
      </c>
      <c r="S685" s="10" t="inlineStr">
        <is>
          <t>0</t>
        </is>
      </c>
    </row>
    <row r="686" ht="217" customHeight="1">
      <c r="A686" s="6">
        <f>IFERROR(__xludf.DUMMYFUNCTION("""COMPUTED_VALUE"""),"UV light: friend or foe?")</f>
        <v/>
      </c>
      <c r="B686" s="6">
        <f>IFERROR(__xludf.DUMMYFUNCTION("""COMPUTED_VALUE"""),"Resource")</f>
        <v/>
      </c>
      <c r="C686" s="6">
        <f>IFERROR(__xludf.DUMMYFUNCTION("""COMPUTED_VALUE"""),"1.graasp")</f>
        <v/>
      </c>
      <c r="D686" s="7">
        <f>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
      </c>
      <c r="E686" s="7">
        <f>IFERROR(__xludf.DUMMYFUNCTION("""COMPUTED_VALUE"""),"No artifact embedded")</f>
        <v/>
      </c>
      <c r="F686" s="7" t="inlineStr">
        <is>
          <t>Students write lists of UV protection methods and draw conclusions from experiment results. Embedded artifacts include a table tool in the Golabz app/lab.</t>
        </is>
      </c>
      <c r="G686" s="8" t="inlineStr">
        <is>
          <t>0</t>
        </is>
      </c>
      <c r="H686" s="8" t="inlineStr">
        <is>
          <t>0</t>
        </is>
      </c>
      <c r="I686" s="8" t="inlineStr">
        <is>
          <t>1</t>
        </is>
      </c>
      <c r="J686" s="8" t="inlineStr">
        <is>
          <t>1</t>
        </is>
      </c>
      <c r="K686" s="9" t="inlineStr">
        <is>
          <t>0</t>
        </is>
      </c>
      <c r="L686" s="9" t="inlineStr">
        <is>
          <t>1</t>
        </is>
      </c>
      <c r="M686" s="9" t="inlineStr">
        <is>
          <t>0</t>
        </is>
      </c>
      <c r="N686" s="9" t="inlineStr">
        <is>
          <t>0</t>
        </is>
      </c>
      <c r="O686" s="10" t="inlineStr">
        <is>
          <t>0</t>
        </is>
      </c>
      <c r="P686" s="10" t="inlineStr">
        <is>
          <t>1</t>
        </is>
      </c>
      <c r="Q686" s="10" t="inlineStr">
        <is>
          <t>0</t>
        </is>
      </c>
      <c r="R686" s="10" t="inlineStr">
        <is>
          <t>1</t>
        </is>
      </c>
      <c r="S686" s="10" t="inlineStr">
        <is>
          <t>1</t>
        </is>
      </c>
    </row>
    <row r="687" ht="329" customHeight="1">
      <c r="A687" s="6">
        <f>IFERROR(__xludf.DUMMYFUNCTION("""COMPUTED_VALUE"""),"UV light: friend or foe?")</f>
        <v/>
      </c>
      <c r="B687" s="6">
        <f>IFERROR(__xludf.DUMMYFUNCTION("""COMPUTED_VALUE"""),"Application")</f>
        <v/>
      </c>
      <c r="C687" s="6">
        <f>IFERROR(__xludf.DUMMYFUNCTION("""COMPUTED_VALUE"""),"Input Box")</f>
        <v/>
      </c>
      <c r="D687" s="7">
        <f>IFERROR(__xludf.DUMMYFUNCTION("""COMPUTED_VALUE"""),"No task description")</f>
        <v/>
      </c>
      <c r="E68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87" s="7" t="inlineStr">
        <is>
          <t>Students are given tasks with specific apps/tools, such as Table tool and Input box, with instructions on usage and collaboration modes.</t>
        </is>
      </c>
      <c r="G687" s="8" t="inlineStr">
        <is>
          <t>0</t>
        </is>
      </c>
      <c r="H687" s="8" t="inlineStr">
        <is>
          <t>1</t>
        </is>
      </c>
      <c r="I687" s="8" t="inlineStr">
        <is>
          <t>1</t>
        </is>
      </c>
      <c r="J687" s="8" t="inlineStr">
        <is>
          <t>1</t>
        </is>
      </c>
      <c r="K687" s="9" t="inlineStr">
        <is>
          <t>0</t>
        </is>
      </c>
      <c r="L687" s="9" t="inlineStr">
        <is>
          <t>1</t>
        </is>
      </c>
      <c r="M687" s="9" t="inlineStr">
        <is>
          <t>0</t>
        </is>
      </c>
      <c r="N687" s="9" t="inlineStr">
        <is>
          <t>1</t>
        </is>
      </c>
      <c r="O687" s="10" t="inlineStr">
        <is>
          <t>0</t>
        </is>
      </c>
      <c r="P687" s="10" t="inlineStr">
        <is>
          <t>0</t>
        </is>
      </c>
      <c r="Q687" s="10" t="inlineStr">
        <is>
          <t>0</t>
        </is>
      </c>
      <c r="R687" s="10" t="inlineStr">
        <is>
          <t>0</t>
        </is>
      </c>
      <c r="S687" s="10" t="inlineStr">
        <is>
          <t>1</t>
        </is>
      </c>
    </row>
    <row r="688" ht="25" customHeight="1">
      <c r="A688" s="6">
        <f>IFERROR(__xludf.DUMMYFUNCTION("""COMPUTED_VALUE"""),"UV light: friend or foe?")</f>
        <v/>
      </c>
      <c r="B688" s="6">
        <f>IFERROR(__xludf.DUMMYFUNCTION("""COMPUTED_VALUE"""),"Space")</f>
        <v/>
      </c>
      <c r="C688" s="6">
        <f>IFERROR(__xludf.DUMMYFUNCTION("""COMPUTED_VALUE"""),"Discussion")</f>
        <v/>
      </c>
      <c r="D688" s="7">
        <f>IFERROR(__xludf.DUMMYFUNCTION("""COMPUTED_VALUE"""),"No task description")</f>
        <v/>
      </c>
      <c r="E688" s="7">
        <f>IFERROR(__xludf.DUMMYFUNCTION("""COMPUTED_VALUE"""),"No artifact embedded")</f>
        <v/>
      </c>
      <c r="F688" s="7" t="inlineStr">
        <is>
          <t>Students compare tables, draw conclusions, and write arguments based on results. Embedded artifacts include a note-taking app with optional collaboration mode.</t>
        </is>
      </c>
      <c r="G688" s="8" t="inlineStr">
        <is>
          <t>0</t>
        </is>
      </c>
      <c r="H688" s="8" t="inlineStr">
        <is>
          <t>0</t>
        </is>
      </c>
      <c r="I688" s="8" t="inlineStr">
        <is>
          <t>0</t>
        </is>
      </c>
      <c r="J688" s="8" t="inlineStr">
        <is>
          <t>0</t>
        </is>
      </c>
      <c r="K688" s="9" t="inlineStr">
        <is>
          <t>0</t>
        </is>
      </c>
      <c r="L688" s="9" t="inlineStr">
        <is>
          <t>0</t>
        </is>
      </c>
      <c r="M688" s="9" t="inlineStr">
        <is>
          <t>0</t>
        </is>
      </c>
      <c r="N688" s="9" t="inlineStr">
        <is>
          <t>0</t>
        </is>
      </c>
      <c r="O688" s="10" t="inlineStr">
        <is>
          <t>0</t>
        </is>
      </c>
      <c r="P688" s="10" t="inlineStr">
        <is>
          <t>0</t>
        </is>
      </c>
      <c r="Q688" s="10" t="inlineStr">
        <is>
          <t>0</t>
        </is>
      </c>
      <c r="R688" s="10" t="inlineStr">
        <is>
          <t>0</t>
        </is>
      </c>
      <c r="S688" s="10" t="inlineStr">
        <is>
          <t>0</t>
        </is>
      </c>
    </row>
    <row r="689" ht="362" customHeight="1">
      <c r="A689" s="6">
        <f>IFERROR(__xludf.DUMMYFUNCTION("""COMPUTED_VALUE"""),"UV light: friend or foe?")</f>
        <v/>
      </c>
      <c r="B689" s="6">
        <f>IFERROR(__xludf.DUMMYFUNCTION("""COMPUTED_VALUE"""),"Resource")</f>
        <v/>
      </c>
      <c r="C689" s="6">
        <f>IFERROR(__xludf.DUMMYFUNCTION("""COMPUTED_VALUE"""),"2.graasp")</f>
        <v/>
      </c>
      <c r="D689" s="7">
        <f>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
      </c>
      <c r="E689" s="7">
        <f>IFERROR(__xludf.DUMMYFUNCTION("""COMPUTED_VALUE"""),"No artifact embedded")</f>
        <v/>
      </c>
      <c r="F689" s="7" t="inlineStr">
        <is>
          <t>Students received tasks with no descriptions, except Item3. Embedded artifacts include Golabz app/lab for note-taking and collaboration (Item1) and none in Items 2 and 3.</t>
        </is>
      </c>
      <c r="G689" s="8" t="inlineStr">
        <is>
          <t>0</t>
        </is>
      </c>
      <c r="H689" s="8" t="inlineStr">
        <is>
          <t>0</t>
        </is>
      </c>
      <c r="I689" s="8" t="inlineStr">
        <is>
          <t>0</t>
        </is>
      </c>
      <c r="J689" s="8" t="inlineStr">
        <is>
          <t>0</t>
        </is>
      </c>
      <c r="K689" s="9" t="inlineStr">
        <is>
          <t>0</t>
        </is>
      </c>
      <c r="L689" s="9" t="inlineStr">
        <is>
          <t>0</t>
        </is>
      </c>
      <c r="M689" s="9" t="inlineStr">
        <is>
          <t>0</t>
        </is>
      </c>
      <c r="N689" s="9" t="inlineStr">
        <is>
          <t>1</t>
        </is>
      </c>
      <c r="O689" s="10" t="inlineStr">
        <is>
          <t>0</t>
        </is>
      </c>
      <c r="P689" s="10" t="inlineStr">
        <is>
          <t>0</t>
        </is>
      </c>
      <c r="Q689" s="10" t="inlineStr">
        <is>
          <t>0</t>
        </is>
      </c>
      <c r="R689" s="10" t="inlineStr">
        <is>
          <t>0</t>
        </is>
      </c>
      <c r="S689" s="10" t="inlineStr">
        <is>
          <t>1</t>
        </is>
      </c>
    </row>
    <row r="690" ht="121" customHeight="1">
      <c r="A690" s="6">
        <f>IFERROR(__xludf.DUMMYFUNCTION("""COMPUTED_VALUE"""),"UV light: friend or foe?")</f>
        <v/>
      </c>
      <c r="B690" s="6">
        <f>IFERROR(__xludf.DUMMYFUNCTION("""COMPUTED_VALUE"""),"Resource")</f>
        <v/>
      </c>
      <c r="C690" s="6">
        <f>IFERROR(__xludf.DUMMYFUNCTION("""COMPUTED_VALUE"""),"hands-2847508_640.jpg")</f>
        <v/>
      </c>
      <c r="D690" s="7">
        <f>IFERROR(__xludf.DUMMYFUNCTION("""COMPUTED_VALUE"""),"No task description")</f>
        <v/>
      </c>
      <c r="E690" s="7">
        <f>IFERROR(__xludf.DUMMYFUNCTION("""COMPUTED_VALUE"""),"image/jpeg – A digital photograph or web image stored in a compressed format, often used for photography and web graphics.")</f>
        <v/>
      </c>
      <c r="F690" s="7" t="inlineStr">
        <is>
          <t>Students received tasks on UV rays, with one item having a detailed description and no artifacts, while another had an embedded JPEG image.</t>
        </is>
      </c>
      <c r="G690" s="8" t="inlineStr">
        <is>
          <t>1</t>
        </is>
      </c>
      <c r="H690" s="8" t="inlineStr">
        <is>
          <t>0</t>
        </is>
      </c>
      <c r="I690" s="8" t="inlineStr">
        <is>
          <t>0</t>
        </is>
      </c>
      <c r="J690" s="8" t="inlineStr">
        <is>
          <t>0</t>
        </is>
      </c>
      <c r="K690" s="9" t="inlineStr">
        <is>
          <t>1</t>
        </is>
      </c>
      <c r="L690" s="9" t="inlineStr">
        <is>
          <t>0</t>
        </is>
      </c>
      <c r="M690" s="9" t="inlineStr">
        <is>
          <t>0</t>
        </is>
      </c>
      <c r="N690" s="9" t="inlineStr">
        <is>
          <t>0</t>
        </is>
      </c>
      <c r="O690" s="10" t="inlineStr">
        <is>
          <t>0</t>
        </is>
      </c>
      <c r="P690" s="10" t="inlineStr">
        <is>
          <t>0</t>
        </is>
      </c>
      <c r="Q690" s="10" t="inlineStr">
        <is>
          <t>0</t>
        </is>
      </c>
      <c r="R690" s="10" t="inlineStr">
        <is>
          <t>0</t>
        </is>
      </c>
      <c r="S690" s="10" t="inlineStr">
        <is>
          <t>0</t>
        </is>
      </c>
    </row>
    <row r="691" ht="362" customHeight="1">
      <c r="A691" s="6">
        <f>IFERROR(__xludf.DUMMYFUNCTION("""COMPUTED_VALUE"""),"UV light: friend or foe?")</f>
        <v/>
      </c>
      <c r="B691" s="6">
        <f>IFERROR(__xludf.DUMMYFUNCTION("""COMPUTED_VALUE"""),"Resource")</f>
        <v/>
      </c>
      <c r="C691" s="6">
        <f>IFERROR(__xludf.DUMMYFUNCTION("""COMPUTED_VALUE"""),"1.graasp")</f>
        <v/>
      </c>
      <c r="D691" s="7">
        <f>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
      </c>
      <c r="E691" s="7">
        <f>IFERROR(__xludf.DUMMYFUNCTION("""COMPUTED_VALUE"""),"No artifact embedded")</f>
        <v/>
      </c>
      <c r="F691" s="7" t="inlineStr">
        <is>
          <t>Students learn about UV rays, evaluate community awareness, and create an awareness campaign. Embedded artifacts include a digital photograph/image.</t>
        </is>
      </c>
      <c r="G691" s="8" t="inlineStr">
        <is>
          <t>0</t>
        </is>
      </c>
      <c r="H691" s="8" t="inlineStr">
        <is>
          <t>0</t>
        </is>
      </c>
      <c r="I691" s="8" t="inlineStr">
        <is>
          <t>0</t>
        </is>
      </c>
      <c r="J691" s="8" t="inlineStr">
        <is>
          <t>1</t>
        </is>
      </c>
      <c r="K691" s="9" t="inlineStr">
        <is>
          <t>0</t>
        </is>
      </c>
      <c r="L691" s="9" t="inlineStr">
        <is>
          <t>0</t>
        </is>
      </c>
      <c r="M691" s="9" t="inlineStr">
        <is>
          <t>0</t>
        </is>
      </c>
      <c r="N691" s="9" t="inlineStr">
        <is>
          <t>1</t>
        </is>
      </c>
      <c r="O691" s="10" t="inlineStr">
        <is>
          <t>0</t>
        </is>
      </c>
      <c r="P691" s="10" t="inlineStr">
        <is>
          <t>0</t>
        </is>
      </c>
      <c r="Q691" s="10" t="inlineStr">
        <is>
          <t>0</t>
        </is>
      </c>
      <c r="R691" s="10" t="inlineStr">
        <is>
          <t>0</t>
        </is>
      </c>
      <c r="S691" s="10" t="inlineStr">
        <is>
          <t>1</t>
        </is>
      </c>
    </row>
    <row r="692" ht="409.5" customHeight="1">
      <c r="A692" s="6">
        <f>IFERROR(__xludf.DUMMYFUNCTION("""COMPUTED_VALUE"""),"Why I don't prefer vinegar on my fries")</f>
        <v/>
      </c>
      <c r="B692" s="6">
        <f>IFERROR(__xludf.DUMMYFUNCTION("""COMPUTED_VALUE"""),"Space")</f>
        <v/>
      </c>
      <c r="C692" s="6">
        <f>IFERROR(__xludf.DUMMYFUNCTION("""COMPUTED_VALUE"""),"Orientation")</f>
        <v/>
      </c>
      <c r="D692" s="7">
        <f>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
      </c>
      <c r="E692" s="7">
        <f>IFERROR(__xludf.DUMMYFUNCTION("""COMPUTED_VALUE"""),"No artifact embedded")</f>
        <v/>
      </c>
      <c r="F692" s="7" t="inlineStr">
        <is>
          <t>Students are given tasks: no description (Item1), create awareness campaign (Item2), and analyze a statue photograph (Item3). Embedded artifacts include a JPEG image (Item1) and none in Items 2-3.</t>
        </is>
      </c>
      <c r="G692" s="8" t="inlineStr">
        <is>
          <t>0</t>
        </is>
      </c>
      <c r="H692" s="8" t="inlineStr">
        <is>
          <t>0</t>
        </is>
      </c>
      <c r="I692" s="8" t="inlineStr">
        <is>
          <t>1</t>
        </is>
      </c>
      <c r="J692" s="8" t="inlineStr">
        <is>
          <t>1</t>
        </is>
      </c>
      <c r="K692" s="9" t="inlineStr">
        <is>
          <t>0</t>
        </is>
      </c>
      <c r="L692" s="9" t="inlineStr">
        <is>
          <t>0</t>
        </is>
      </c>
      <c r="M692" s="9" t="inlineStr">
        <is>
          <t>0</t>
        </is>
      </c>
      <c r="N692" s="9" t="inlineStr">
        <is>
          <t>1</t>
        </is>
      </c>
      <c r="O692" s="10" t="inlineStr">
        <is>
          <t>1</t>
        </is>
      </c>
      <c r="P692" s="10" t="inlineStr">
        <is>
          <t>1</t>
        </is>
      </c>
      <c r="Q692" s="10" t="inlineStr">
        <is>
          <t>1</t>
        </is>
      </c>
      <c r="R692" s="10" t="inlineStr">
        <is>
          <t>0</t>
        </is>
      </c>
      <c r="S692" s="10" t="inlineStr">
        <is>
          <t>1</t>
        </is>
      </c>
    </row>
    <row r="693" ht="121" customHeight="1">
      <c r="A693" s="6">
        <f>IFERROR(__xludf.DUMMYFUNCTION("""COMPUTED_VALUE"""),"Why I don't prefer vinegar on my fries")</f>
        <v/>
      </c>
      <c r="B693" s="6">
        <f>IFERROR(__xludf.DUMMYFUNCTION("""COMPUTED_VALUE"""),"Resource")</f>
        <v/>
      </c>
      <c r="C693" s="6">
        <f>IFERROR(__xludf.DUMMYFUNCTION("""COMPUTED_VALUE"""),"effect of acid rain on monuments.jpg")</f>
        <v/>
      </c>
      <c r="D693" s="7">
        <f>IFERROR(__xludf.DUMMYFUNCTION("""COMPUTED_VALUE"""),"No task description")</f>
        <v/>
      </c>
      <c r="E693" s="7">
        <f>IFERROR(__xludf.DUMMYFUNCTION("""COMPUTED_VALUE"""),"image/jpeg – A digital photograph or web image stored in a compressed format, often used for photography and web graphics.")</f>
        <v/>
      </c>
      <c r="F693" s="7" t="inlineStr">
        <is>
          <t>Students collaborate on awareness campaigns and discuss strategies. Items 1 and 2 have no embedded artifacts, while Item 3 has a JPEG image.</t>
        </is>
      </c>
      <c r="G693" s="8" t="inlineStr">
        <is>
          <t>1</t>
        </is>
      </c>
      <c r="H693" s="8" t="inlineStr">
        <is>
          <t>0</t>
        </is>
      </c>
      <c r="I693" s="8" t="inlineStr">
        <is>
          <t>0</t>
        </is>
      </c>
      <c r="J693" s="8" t="inlineStr">
        <is>
          <t>0</t>
        </is>
      </c>
      <c r="K693" s="9" t="inlineStr">
        <is>
          <t>1</t>
        </is>
      </c>
      <c r="L693" s="9" t="inlineStr">
        <is>
          <t>0</t>
        </is>
      </c>
      <c r="M693" s="9" t="inlineStr">
        <is>
          <t>0</t>
        </is>
      </c>
      <c r="N693" s="9" t="inlineStr">
        <is>
          <t>0</t>
        </is>
      </c>
      <c r="O693" s="10" t="inlineStr">
        <is>
          <t>0</t>
        </is>
      </c>
      <c r="P693" s="10" t="inlineStr">
        <is>
          <t>0</t>
        </is>
      </c>
      <c r="Q693" s="10" t="inlineStr">
        <is>
          <t>0</t>
        </is>
      </c>
      <c r="R693" s="10" t="inlineStr">
        <is>
          <t>0</t>
        </is>
      </c>
      <c r="S693" s="10" t="inlineStr">
        <is>
          <t>0</t>
        </is>
      </c>
    </row>
    <row r="694" ht="193" customHeight="1">
      <c r="A694" s="6">
        <f>IFERROR(__xludf.DUMMYFUNCTION("""COMPUTED_VALUE"""),"Why I don't prefer vinegar on my fries")</f>
        <v/>
      </c>
      <c r="B694" s="6">
        <f>IFERROR(__xludf.DUMMYFUNCTION("""COMPUTED_VALUE"""),"Application")</f>
        <v/>
      </c>
      <c r="C694" s="6">
        <f>IFERROR(__xludf.DUMMYFUNCTION("""COMPUTED_VALUE"""),"Shared Wiki")</f>
        <v/>
      </c>
      <c r="D694" s="7">
        <f>IFERROR(__xludf.DUMMYFUNCTION("""COMPUTED_VALUE"""),"No task description")</f>
        <v/>
      </c>
      <c r="E694"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94" s="7" t="inlineStr">
        <is>
          <t>Students consider a statue's deterioration, then discuss Earth as a system. Embedded artifacts include a JPEG image and a collaborative wiki app.</t>
        </is>
      </c>
      <c r="G694" s="8" t="inlineStr">
        <is>
          <t>0</t>
        </is>
      </c>
      <c r="H694" s="8" t="inlineStr">
        <is>
          <t>1</t>
        </is>
      </c>
      <c r="I694" s="8" t="inlineStr">
        <is>
          <t>1</t>
        </is>
      </c>
      <c r="J694" s="8" t="inlineStr">
        <is>
          <t>0</t>
        </is>
      </c>
      <c r="K694" s="9" t="inlineStr">
        <is>
          <t>0</t>
        </is>
      </c>
      <c r="L694" s="9" t="inlineStr">
        <is>
          <t>0</t>
        </is>
      </c>
      <c r="M694" s="9" t="inlineStr">
        <is>
          <t>1</t>
        </is>
      </c>
      <c r="N694" s="9" t="inlineStr">
        <is>
          <t>1</t>
        </is>
      </c>
      <c r="O694" s="10" t="inlineStr">
        <is>
          <t>0</t>
        </is>
      </c>
      <c r="P694" s="10" t="inlineStr">
        <is>
          <t>0</t>
        </is>
      </c>
      <c r="Q694" s="10" t="inlineStr">
        <is>
          <t>0</t>
        </is>
      </c>
      <c r="R694" s="10" t="inlineStr">
        <is>
          <t>0</t>
        </is>
      </c>
      <c r="S694" s="10" t="inlineStr">
        <is>
          <t>1</t>
        </is>
      </c>
    </row>
    <row r="695" ht="193" customHeight="1">
      <c r="A695" s="6">
        <f>IFERROR(__xludf.DUMMYFUNCTION("""COMPUTED_VALUE"""),"Why I don't prefer vinegar on my fries")</f>
        <v/>
      </c>
      <c r="B695" s="6">
        <f>IFERROR(__xludf.DUMMYFUNCTION("""COMPUTED_VALUE"""),"Space")</f>
        <v/>
      </c>
      <c r="C695" s="6">
        <f>IFERROR(__xludf.DUMMYFUNCTION("""COMPUTED_VALUE"""),"Conceptualisation")</f>
        <v/>
      </c>
      <c r="D695" s="7">
        <f>IFERROR(__xludf.DUMMYFUNCTION("""COMPUTED_VALUE"""),"&lt;p&gt;Take a look at the video and explore the interactive picture before you and your team use the hypothesis scratchpad to develop an hypothesis ""educated guess"" as to why the statue changed. &lt;/p&gt;&lt;p&gt;&lt;br&gt;&lt;/p&gt;")</f>
        <v/>
      </c>
      <c r="E695" s="7">
        <f>IFERROR(__xludf.DUMMYFUNCTION("""COMPUTED_VALUE"""),"No artifact embedded")</f>
        <v/>
      </c>
      <c r="F695" s="7" t="inlineStr">
        <is>
          <t>Students received tasks with embedded artifacts, including images and collaborative wiki apps, to complete activities such as developing hypotheses.</t>
        </is>
      </c>
      <c r="G695" s="8" t="inlineStr">
        <is>
          <t>0</t>
        </is>
      </c>
      <c r="H695" s="8" t="inlineStr">
        <is>
          <t>0</t>
        </is>
      </c>
      <c r="I695" s="8" t="inlineStr">
        <is>
          <t>1</t>
        </is>
      </c>
      <c r="J695" s="8" t="inlineStr">
        <is>
          <t>1</t>
        </is>
      </c>
      <c r="K695" s="9" t="inlineStr">
        <is>
          <t>0</t>
        </is>
      </c>
      <c r="L695" s="9" t="inlineStr">
        <is>
          <t>0</t>
        </is>
      </c>
      <c r="M695" s="9" t="inlineStr">
        <is>
          <t>0</t>
        </is>
      </c>
      <c r="N695" s="9" t="inlineStr">
        <is>
          <t>1</t>
        </is>
      </c>
      <c r="O695" s="10" t="inlineStr">
        <is>
          <t>1</t>
        </is>
      </c>
      <c r="P695" s="10" t="inlineStr">
        <is>
          <t>1</t>
        </is>
      </c>
      <c r="Q695" s="10" t="inlineStr">
        <is>
          <t>1</t>
        </is>
      </c>
      <c r="R695" s="10" t="inlineStr">
        <is>
          <t>0</t>
        </is>
      </c>
      <c r="S695" s="10" t="inlineStr">
        <is>
          <t>0</t>
        </is>
      </c>
    </row>
    <row r="696" ht="121" customHeight="1">
      <c r="A696" s="6">
        <f>IFERROR(__xludf.DUMMYFUNCTION("""COMPUTED_VALUE"""),"Why I don't prefer vinegar on my fries")</f>
        <v/>
      </c>
      <c r="B696" s="6">
        <f>IFERROR(__xludf.DUMMYFUNCTION("""COMPUTED_VALUE"""),"Resource")</f>
        <v/>
      </c>
      <c r="C696" s="6">
        <f>IFERROR(__xludf.DUMMYFUNCTION("""COMPUTED_VALUE"""),"acid rain effects on buildings")</f>
        <v/>
      </c>
      <c r="D696" s="7">
        <f>IFERROR(__xludf.DUMMYFUNCTION("""COMPUTED_VALUE"""),"No task description")</f>
        <v/>
      </c>
      <c r="E696" s="7">
        <f>IFERROR(__xludf.DUMMYFUNCTION("""COMPUTED_VALUE"""),"youtube.com: A widely known video-sharing platform where users can watch videos on a vast array of topics, including educational content.")</f>
        <v/>
      </c>
      <c r="F696" s="7" t="inlineStr">
        <is>
          <t>Students were given tasks and tools like Golabz app and YouTube to collaborate and develop hypotheses.</t>
        </is>
      </c>
      <c r="G696" s="8" t="inlineStr">
        <is>
          <t>1</t>
        </is>
      </c>
      <c r="H696" s="8" t="inlineStr">
        <is>
          <t>0</t>
        </is>
      </c>
      <c r="I696" s="8" t="inlineStr">
        <is>
          <t>0</t>
        </is>
      </c>
      <c r="J696" s="8" t="inlineStr">
        <is>
          <t>0</t>
        </is>
      </c>
      <c r="K696" s="9" t="inlineStr">
        <is>
          <t>1</t>
        </is>
      </c>
      <c r="L696" s="9" t="inlineStr">
        <is>
          <t>0</t>
        </is>
      </c>
      <c r="M696" s="9" t="inlineStr">
        <is>
          <t>0</t>
        </is>
      </c>
      <c r="N696" s="9" t="inlineStr">
        <is>
          <t>0</t>
        </is>
      </c>
      <c r="O696" s="10" t="inlineStr">
        <is>
          <t>0</t>
        </is>
      </c>
      <c r="P696" s="10" t="inlineStr">
        <is>
          <t>0</t>
        </is>
      </c>
      <c r="Q696" s="10" t="inlineStr">
        <is>
          <t>0</t>
        </is>
      </c>
      <c r="R696" s="10" t="inlineStr">
        <is>
          <t>0</t>
        </is>
      </c>
      <c r="S696" s="10" t="inlineStr">
        <is>
          <t>0</t>
        </is>
      </c>
    </row>
    <row r="697" ht="85" customHeight="1">
      <c r="A697" s="6">
        <f>IFERROR(__xludf.DUMMYFUNCTION("""COMPUTED_VALUE"""),"Why I don't prefer vinegar on my fries")</f>
        <v/>
      </c>
      <c r="B697" s="6">
        <f>IFERROR(__xludf.DUMMYFUNCTION("""COMPUTED_VALUE"""),"Resource")</f>
        <v/>
      </c>
      <c r="C697" s="6">
        <f>IFERROR(__xludf.DUMMYFUNCTION("""COMPUTED_VALUE"""),"pH Scale")</f>
        <v/>
      </c>
      <c r="D697" s="7">
        <f>IFERROR(__xludf.DUMMYFUNCTION("""COMPUTED_VALUE"""),"View the interactive image by Mark Rocha.")</f>
        <v/>
      </c>
      <c r="E697" s="7">
        <f>IFERROR(__xludf.DUMMYFUNCTION("""COMPUTED_VALUE"""),"thinglink.com: Allows users to create interactive images and videos by adding links and annotations.")</f>
        <v/>
      </c>
      <c r="F697" s="7" t="inlineStr">
        <is>
          <t>Students develop hypotheses using video, interactive picture, and scratchpad. Embedded artifacts include YouTube and Thinglink.</t>
        </is>
      </c>
      <c r="G697" s="8" t="inlineStr">
        <is>
          <t>1</t>
        </is>
      </c>
      <c r="H697" s="8" t="inlineStr">
        <is>
          <t>0</t>
        </is>
      </c>
      <c r="I697" s="8" t="inlineStr">
        <is>
          <t>0</t>
        </is>
      </c>
      <c r="J697" s="8" t="inlineStr">
        <is>
          <t>1</t>
        </is>
      </c>
      <c r="K697" s="9" t="inlineStr">
        <is>
          <t>1</t>
        </is>
      </c>
      <c r="L697" s="9" t="inlineStr">
        <is>
          <t>0</t>
        </is>
      </c>
      <c r="M697" s="9" t="inlineStr">
        <is>
          <t>0</t>
        </is>
      </c>
      <c r="N697" s="9" t="inlineStr">
        <is>
          <t>0</t>
        </is>
      </c>
      <c r="O697" s="10" t="inlineStr">
        <is>
          <t>0</t>
        </is>
      </c>
      <c r="P697" s="10" t="inlineStr">
        <is>
          <t>0</t>
        </is>
      </c>
      <c r="Q697" s="10" t="inlineStr">
        <is>
          <t>0</t>
        </is>
      </c>
      <c r="R697" s="10" t="inlineStr">
        <is>
          <t>0</t>
        </is>
      </c>
      <c r="S697" s="10" t="inlineStr">
        <is>
          <t>0</t>
        </is>
      </c>
    </row>
    <row r="698" ht="409.5" customHeight="1">
      <c r="A698" s="6">
        <f>IFERROR(__xludf.DUMMYFUNCTION("""COMPUTED_VALUE"""),"Why I don't prefer vinegar on my fries")</f>
        <v/>
      </c>
      <c r="B698" s="6">
        <f>IFERROR(__xludf.DUMMYFUNCTION("""COMPUTED_VALUE"""),"Application")</f>
        <v/>
      </c>
      <c r="C698" s="6">
        <f>IFERROR(__xludf.DUMMYFUNCTION("""COMPUTED_VALUE"""),"Hypothesis Scratchpad")</f>
        <v/>
      </c>
      <c r="D698" s="7">
        <f>IFERROR(__xludf.DUMMYFUNCTION("""COMPUTED_VALUE"""),"No task description")</f>
        <v/>
      </c>
      <c r="E69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98" s="7" t="inlineStr">
        <is>
          <t>Students were given tasks with interactive tools: YouTube, Thinglink, and Golabz app/lab, with varying levels of guidance.</t>
        </is>
      </c>
      <c r="G698" s="8" t="inlineStr">
        <is>
          <t>0</t>
        </is>
      </c>
      <c r="H698" s="8" t="inlineStr">
        <is>
          <t>1</t>
        </is>
      </c>
      <c r="I698" s="8" t="inlineStr">
        <is>
          <t>1</t>
        </is>
      </c>
      <c r="J698" s="8" t="inlineStr">
        <is>
          <t>0</t>
        </is>
      </c>
      <c r="K698" s="9" t="inlineStr">
        <is>
          <t>0</t>
        </is>
      </c>
      <c r="L698" s="9" t="inlineStr">
        <is>
          <t>1</t>
        </is>
      </c>
      <c r="M698" s="9" t="inlineStr">
        <is>
          <t>0</t>
        </is>
      </c>
      <c r="N698" s="9" t="inlineStr">
        <is>
          <t>1</t>
        </is>
      </c>
      <c r="O698" s="10" t="inlineStr">
        <is>
          <t>0</t>
        </is>
      </c>
      <c r="P698" s="10" t="inlineStr">
        <is>
          <t>1</t>
        </is>
      </c>
      <c r="Q698" s="10" t="inlineStr">
        <is>
          <t>1</t>
        </is>
      </c>
      <c r="R698" s="10" t="inlineStr">
        <is>
          <t>0</t>
        </is>
      </c>
      <c r="S698" s="10" t="inlineStr">
        <is>
          <t>0</t>
        </is>
      </c>
    </row>
    <row r="699" ht="73" customHeight="1">
      <c r="A699" s="6">
        <f>IFERROR(__xludf.DUMMYFUNCTION("""COMPUTED_VALUE"""),"Why I don't prefer vinegar on my fries")</f>
        <v/>
      </c>
      <c r="B699" s="6">
        <f>IFERROR(__xludf.DUMMYFUNCTION("""COMPUTED_VALUE"""),"Space")</f>
        <v/>
      </c>
      <c r="C699" s="6">
        <f>IFERROR(__xludf.DUMMYFUNCTION("""COMPUTED_VALUE"""),"Investigation")</f>
        <v/>
      </c>
      <c r="D699" s="7">
        <f>IFERROR(__xludf.DUMMYFUNCTION("""COMPUTED_VALUE"""),"&lt;p&gt;Acids and Bases can be dangerous so look over the video below . &lt;/p&gt;")</f>
        <v/>
      </c>
      <c r="E699" s="7">
        <f>IFERROR(__xludf.DUMMYFUNCTION("""COMPUTED_VALUE"""),"No artifact embedded")</f>
        <v/>
      </c>
      <c r="F699" s="7" t="inlineStr">
        <is>
          <t>Students are given tasks with interactive images, videos, and apps to create hypotheses and explore concepts like acids and bases, using tools like Thinglink and Golabz.</t>
        </is>
      </c>
      <c r="G699" s="8" t="inlineStr">
        <is>
          <t>1</t>
        </is>
      </c>
      <c r="H699" s="8" t="inlineStr">
        <is>
          <t>0</t>
        </is>
      </c>
      <c r="I699" s="8" t="inlineStr">
        <is>
          <t>0</t>
        </is>
      </c>
      <c r="J699" s="8" t="inlineStr">
        <is>
          <t>0</t>
        </is>
      </c>
      <c r="K699" s="9" t="inlineStr">
        <is>
          <t>1</t>
        </is>
      </c>
      <c r="L699" s="9" t="inlineStr">
        <is>
          <t>0</t>
        </is>
      </c>
      <c r="M699" s="9" t="inlineStr">
        <is>
          <t>0</t>
        </is>
      </c>
      <c r="N699" s="9" t="inlineStr">
        <is>
          <t>0</t>
        </is>
      </c>
      <c r="O699" s="10" t="inlineStr">
        <is>
          <t>1</t>
        </is>
      </c>
      <c r="P699" s="10" t="inlineStr">
        <is>
          <t>0</t>
        </is>
      </c>
      <c r="Q699" s="10" t="inlineStr">
        <is>
          <t>0</t>
        </is>
      </c>
      <c r="R699" s="10" t="inlineStr">
        <is>
          <t>0</t>
        </is>
      </c>
      <c r="S699" s="10" t="inlineStr">
        <is>
          <t>0</t>
        </is>
      </c>
    </row>
    <row r="700" ht="121" customHeight="1">
      <c r="A700" s="6">
        <f>IFERROR(__xludf.DUMMYFUNCTION("""COMPUTED_VALUE"""),"Why I don't prefer vinegar on my fries")</f>
        <v/>
      </c>
      <c r="B700" s="6">
        <f>IFERROR(__xludf.DUMMYFUNCTION("""COMPUTED_VALUE"""),"Resource")</f>
        <v/>
      </c>
      <c r="C700" s="6">
        <f>IFERROR(__xludf.DUMMYFUNCTION("""COMPUTED_VALUE"""),"Tim &amp; Moby Acids and Bases")</f>
        <v/>
      </c>
      <c r="D700" s="7">
        <f>IFERROR(__xludf.DUMMYFUNCTION("""COMPUTED_VALUE"""),"No task description")</f>
        <v/>
      </c>
      <c r="E700" s="7">
        <f>IFERROR(__xludf.DUMMYFUNCTION("""COMPUTED_VALUE"""),"youtube.com: A widely known video-sharing platform where users can watch videos on a vast array of topics, including educational content.")</f>
        <v/>
      </c>
      <c r="F700" s="7" t="inlineStr">
        <is>
          <t>Students received tasks and used tools like the Hypothesis Scratchpad and YouTube for learning.</t>
        </is>
      </c>
      <c r="G700" s="8" t="inlineStr">
        <is>
          <t>1</t>
        </is>
      </c>
      <c r="H700" s="8" t="inlineStr">
        <is>
          <t>0</t>
        </is>
      </c>
      <c r="I700" s="8" t="inlineStr">
        <is>
          <t>0</t>
        </is>
      </c>
      <c r="J700" s="8" t="inlineStr">
        <is>
          <t>0</t>
        </is>
      </c>
      <c r="K700" s="9" t="inlineStr">
        <is>
          <t>1</t>
        </is>
      </c>
      <c r="L700" s="9" t="inlineStr">
        <is>
          <t>0</t>
        </is>
      </c>
      <c r="M700" s="9" t="inlineStr">
        <is>
          <t>0</t>
        </is>
      </c>
      <c r="N700" s="9" t="inlineStr">
        <is>
          <t>0</t>
        </is>
      </c>
      <c r="O700" s="10" t="inlineStr">
        <is>
          <t>0</t>
        </is>
      </c>
      <c r="P700" s="10" t="inlineStr">
        <is>
          <t>0</t>
        </is>
      </c>
      <c r="Q700" s="10" t="inlineStr">
        <is>
          <t>0</t>
        </is>
      </c>
      <c r="R700" s="10" t="inlineStr">
        <is>
          <t>0</t>
        </is>
      </c>
      <c r="S700" s="10" t="inlineStr">
        <is>
          <t>0</t>
        </is>
      </c>
    </row>
    <row r="701" ht="37" customHeight="1">
      <c r="A701" s="6">
        <f>IFERROR(__xludf.DUMMYFUNCTION("""COMPUTED_VALUE"""),"Why I don't prefer vinegar on my fries")</f>
        <v/>
      </c>
      <c r="B701" s="6">
        <f>IFERROR(__xludf.DUMMYFUNCTION("""COMPUTED_VALUE"""),"Resource")</f>
        <v/>
      </c>
      <c r="C701" s="6">
        <f>IFERROR(__xludf.DUMMYFUNCTION("""COMPUTED_VALUE"""),"1st.graasp")</f>
        <v/>
      </c>
      <c r="D701" s="7">
        <f>IFERROR(__xludf.DUMMYFUNCTION("""COMPUTED_VALUE"""),"&lt;p&gt; Complete the short multiple choice quiz.&lt;/p&gt;")</f>
        <v/>
      </c>
      <c r="E701" s="7">
        <f>IFERROR(__xludf.DUMMYFUNCTION("""COMPUTED_VALUE"""),"No artifact embedded")</f>
        <v/>
      </c>
      <c r="F701" s="7" t="inlineStr">
        <is>
          <t>Students were instructed to review a video and complete a quiz. Embedded artifacts include a YouTube video link.</t>
        </is>
      </c>
      <c r="G701" s="8" t="inlineStr">
        <is>
          <t>0</t>
        </is>
      </c>
      <c r="H701" s="8" t="inlineStr">
        <is>
          <t>0</t>
        </is>
      </c>
      <c r="I701" s="8" t="inlineStr">
        <is>
          <t>1</t>
        </is>
      </c>
      <c r="J701" s="8" t="inlineStr">
        <is>
          <t>1</t>
        </is>
      </c>
      <c r="K701" s="9" t="inlineStr">
        <is>
          <t>0</t>
        </is>
      </c>
      <c r="L701" s="9" t="inlineStr">
        <is>
          <t>1</t>
        </is>
      </c>
      <c r="M701" s="9" t="inlineStr">
        <is>
          <t>0</t>
        </is>
      </c>
      <c r="N701" s="9" t="inlineStr">
        <is>
          <t>0</t>
        </is>
      </c>
      <c r="O701" s="10" t="inlineStr">
        <is>
          <t>0</t>
        </is>
      </c>
      <c r="P701" s="10" t="inlineStr">
        <is>
          <t>0</t>
        </is>
      </c>
      <c r="Q701" s="10" t="inlineStr">
        <is>
          <t>0</t>
        </is>
      </c>
      <c r="R701" s="10" t="inlineStr">
        <is>
          <t>0</t>
        </is>
      </c>
      <c r="S701" s="10" t="inlineStr">
        <is>
          <t>0</t>
        </is>
      </c>
    </row>
    <row r="702" ht="296" customHeight="1">
      <c r="A702" s="6">
        <f>IFERROR(__xludf.DUMMYFUNCTION("""COMPUTED_VALUE"""),"Why I don't prefer vinegar on my fries")</f>
        <v/>
      </c>
      <c r="B702" s="6">
        <f>IFERROR(__xludf.DUMMYFUNCTION("""COMPUTED_VALUE"""),"Application")</f>
        <v/>
      </c>
      <c r="C702" s="6">
        <f>IFERROR(__xludf.DUMMYFUNCTION("""COMPUTED_VALUE"""),"Quiz 1")</f>
        <v/>
      </c>
      <c r="D702" s="7">
        <f>IFERROR(__xludf.DUMMYFUNCTION("""COMPUTED_VALUE"""),"&lt;p&gt;You must complete the quiz before you can attempt the investigation&lt;/p&gt;")</f>
        <v/>
      </c>
      <c r="E702"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2" s="7" t="inlineStr">
        <is>
          <t>Students complete tasks with varying instructions and embedded artifacts, including a video platform and quiz apps.</t>
        </is>
      </c>
      <c r="G702" s="8" t="inlineStr">
        <is>
          <t>0</t>
        </is>
      </c>
      <c r="H702" s="8" t="inlineStr">
        <is>
          <t>1</t>
        </is>
      </c>
      <c r="I702" s="8" t="inlineStr">
        <is>
          <t>1</t>
        </is>
      </c>
      <c r="J702" s="8" t="inlineStr">
        <is>
          <t>1</t>
        </is>
      </c>
      <c r="K702" s="9" t="inlineStr">
        <is>
          <t>1</t>
        </is>
      </c>
      <c r="L702" s="9" t="inlineStr">
        <is>
          <t>1</t>
        </is>
      </c>
      <c r="M702" s="9" t="inlineStr">
        <is>
          <t>0</t>
        </is>
      </c>
      <c r="N702" s="9" t="inlineStr">
        <is>
          <t>0</t>
        </is>
      </c>
      <c r="O702" s="10" t="inlineStr">
        <is>
          <t>0</t>
        </is>
      </c>
      <c r="P702" s="10" t="inlineStr">
        <is>
          <t>0</t>
        </is>
      </c>
      <c r="Q702" s="10" t="inlineStr">
        <is>
          <t>0</t>
        </is>
      </c>
      <c r="R702" s="10" t="inlineStr">
        <is>
          <t>0</t>
        </is>
      </c>
      <c r="S702" s="10" t="inlineStr">
        <is>
          <t>0</t>
        </is>
      </c>
    </row>
    <row r="703" ht="296" customHeight="1">
      <c r="A703" s="6">
        <f>IFERROR(__xludf.DUMMYFUNCTION("""COMPUTED_VALUE"""),"Why I don't prefer vinegar on my fries")</f>
        <v/>
      </c>
      <c r="B703" s="6">
        <f>IFERROR(__xludf.DUMMYFUNCTION("""COMPUTED_VALUE"""),"Application")</f>
        <v/>
      </c>
      <c r="C703" s="6">
        <f>IFERROR(__xludf.DUMMYFUNCTION("""COMPUTED_VALUE"""),"Quiz 2")</f>
        <v/>
      </c>
      <c r="D703" s="7">
        <f>IFERROR(__xludf.DUMMYFUNCTION("""COMPUTED_VALUE"""),"No task description")</f>
        <v/>
      </c>
      <c r="E70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3" s="7" t="inlineStr">
        <is>
          <t>Students complete a short multiple choice quiz using the Golabz app, with interactive question editing.</t>
        </is>
      </c>
      <c r="G703" s="8" t="inlineStr">
        <is>
          <t>0</t>
        </is>
      </c>
      <c r="H703" s="8" t="inlineStr">
        <is>
          <t>1</t>
        </is>
      </c>
      <c r="I703" s="8" t="inlineStr">
        <is>
          <t>1</t>
        </is>
      </c>
      <c r="J703" s="8" t="inlineStr">
        <is>
          <t>1</t>
        </is>
      </c>
      <c r="K703" s="9" t="inlineStr">
        <is>
          <t>1</t>
        </is>
      </c>
      <c r="L703" s="9" t="inlineStr">
        <is>
          <t>1</t>
        </is>
      </c>
      <c r="M703" s="9" t="inlineStr">
        <is>
          <t>0</t>
        </is>
      </c>
      <c r="N703" s="9" t="inlineStr">
        <is>
          <t>0</t>
        </is>
      </c>
      <c r="O703" s="10" t="inlineStr">
        <is>
          <t>0</t>
        </is>
      </c>
      <c r="P703" s="10" t="inlineStr">
        <is>
          <t>0</t>
        </is>
      </c>
      <c r="Q703" s="10" t="inlineStr">
        <is>
          <t>0</t>
        </is>
      </c>
      <c r="R703" s="10" t="inlineStr">
        <is>
          <t>0</t>
        </is>
      </c>
      <c r="S703" s="10" t="inlineStr">
        <is>
          <t>1</t>
        </is>
      </c>
    </row>
    <row r="704" ht="296" customHeight="1">
      <c r="A704" s="6">
        <f>IFERROR(__xludf.DUMMYFUNCTION("""COMPUTED_VALUE"""),"Why I don't prefer vinegar on my fries")</f>
        <v/>
      </c>
      <c r="B704" s="6">
        <f>IFERROR(__xludf.DUMMYFUNCTION("""COMPUTED_VALUE"""),"Application")</f>
        <v/>
      </c>
      <c r="C704" s="6">
        <f>IFERROR(__xludf.DUMMYFUNCTION("""COMPUTED_VALUE"""),"Quiz Hypothesis")</f>
        <v/>
      </c>
      <c r="D704" s="7">
        <f>IFERROR(__xludf.DUMMYFUNCTION("""COMPUTED_VALUE"""),"No task description")</f>
        <v/>
      </c>
      <c r="E7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4" s="7" t="inlineStr">
        <is>
          <t>Students must complete a quiz. Embedded artifact: Golabz quiz app with interactive question editing.</t>
        </is>
      </c>
      <c r="G704" s="8" t="inlineStr">
        <is>
          <t>0</t>
        </is>
      </c>
      <c r="H704" s="8" t="inlineStr">
        <is>
          <t>1</t>
        </is>
      </c>
      <c r="I704" s="8" t="inlineStr">
        <is>
          <t>1</t>
        </is>
      </c>
      <c r="J704" s="8" t="inlineStr">
        <is>
          <t>0</t>
        </is>
      </c>
      <c r="K704" s="9" t="inlineStr">
        <is>
          <t>1</t>
        </is>
      </c>
      <c r="L704" s="9" t="inlineStr">
        <is>
          <t>1</t>
        </is>
      </c>
      <c r="M704" s="9" t="inlineStr">
        <is>
          <t>0</t>
        </is>
      </c>
      <c r="N704" s="9" t="inlineStr">
        <is>
          <t>0</t>
        </is>
      </c>
      <c r="O704" s="10" t="inlineStr">
        <is>
          <t>0</t>
        </is>
      </c>
      <c r="P704" s="10" t="inlineStr">
        <is>
          <t>0</t>
        </is>
      </c>
      <c r="Q704" s="10" t="inlineStr">
        <is>
          <t>0</t>
        </is>
      </c>
      <c r="R704" s="10" t="inlineStr">
        <is>
          <t>0</t>
        </is>
      </c>
      <c r="S704" s="10" t="inlineStr">
        <is>
          <t>1</t>
        </is>
      </c>
    </row>
    <row r="705" ht="85" customHeight="1">
      <c r="A705" s="6">
        <f>IFERROR(__xludf.DUMMYFUNCTION("""COMPUTED_VALUE"""),"Why I don't prefer vinegar on my fries")</f>
        <v/>
      </c>
      <c r="B705" s="6">
        <f>IFERROR(__xludf.DUMMYFUNCTION("""COMPUTED_VALUE"""),"Resource")</f>
        <v/>
      </c>
      <c r="C705" s="6">
        <f>IFERROR(__xludf.DUMMYFUNCTION("""COMPUTED_VALUE"""),"2nd.graasp")</f>
        <v/>
      </c>
      <c r="D705" s="7">
        <f>IFERROR(__xludf.DUMMYFUNCTION("""COMPUTED_VALUE"""),"&lt;p&gt;Use the app to investigate some substances to see whether they are acidic or basic...enjoy.&lt;/p&gt;")</f>
        <v/>
      </c>
      <c r="E705" s="7">
        <f>IFERROR(__xludf.DUMMYFUNCTION("""COMPUTED_VALUE"""),"No artifact embedded")</f>
        <v/>
      </c>
      <c r="F705" s="7" t="inlineStr">
        <is>
          <t>Students were given tasks with Golabz app descriptions, except for Item 3, which instructed investigating substances.</t>
        </is>
      </c>
      <c r="G705" s="8" t="inlineStr">
        <is>
          <t>0</t>
        </is>
      </c>
      <c r="H705" s="8" t="inlineStr">
        <is>
          <t>1</t>
        </is>
      </c>
      <c r="I705" s="8" t="inlineStr">
        <is>
          <t>1</t>
        </is>
      </c>
      <c r="J705" s="8" t="inlineStr">
        <is>
          <t>1</t>
        </is>
      </c>
      <c r="K705" s="9" t="inlineStr">
        <is>
          <t>0</t>
        </is>
      </c>
      <c r="L705" s="9" t="inlineStr">
        <is>
          <t>1</t>
        </is>
      </c>
      <c r="M705" s="9" t="inlineStr">
        <is>
          <t>0</t>
        </is>
      </c>
      <c r="N705" s="9" t="inlineStr">
        <is>
          <t>0</t>
        </is>
      </c>
      <c r="O705" s="10" t="inlineStr">
        <is>
          <t>0</t>
        </is>
      </c>
      <c r="P705" s="10" t="inlineStr">
        <is>
          <t>0</t>
        </is>
      </c>
      <c r="Q705" s="10" t="inlineStr">
        <is>
          <t>1</t>
        </is>
      </c>
      <c r="R705" s="10" t="inlineStr">
        <is>
          <t>0</t>
        </is>
      </c>
      <c r="S705" s="10" t="inlineStr">
        <is>
          <t>0</t>
        </is>
      </c>
    </row>
    <row r="706" ht="133" customHeight="1">
      <c r="A706" s="6">
        <f>IFERROR(__xludf.DUMMYFUNCTION("""COMPUTED_VALUE"""),"Why I don't prefer vinegar on my fries")</f>
        <v/>
      </c>
      <c r="B706" s="6">
        <f>IFERROR(__xludf.DUMMYFUNCTION("""COMPUTED_VALUE"""),"Resource")</f>
        <v/>
      </c>
      <c r="C706" s="6">
        <f>IFERROR(__xludf.DUMMYFUNCTION("""COMPUTED_VALUE"""),"‪pH Scale: Basics‬ 1.2.10")</f>
        <v/>
      </c>
      <c r="D706" s="7">
        <f>IFERROR(__xludf.DUMMYFUNCTION("""COMPUTED_VALUE"""),"No task description")</f>
        <v/>
      </c>
      <c r="E706" s="7">
        <f>IFERROR(__xludf.DUMMYFUNCTION("""COMPUTED_VALUE"""),"Artifact from phet.colorado.edu: Provides interactive science and math simulations, such as those on greenhouse effects and natural selection.")</f>
        <v/>
      </c>
      <c r="F706" s="7" t="inlineStr">
        <is>
          <t>Students were given tasks with descriptions and used interactive artifacts like Golabz app and PhET simulations to complete them.</t>
        </is>
      </c>
      <c r="G706" s="8" t="inlineStr">
        <is>
          <t>0</t>
        </is>
      </c>
      <c r="H706" s="8" t="inlineStr">
        <is>
          <t>1</t>
        </is>
      </c>
      <c r="I706" s="8" t="inlineStr">
        <is>
          <t>0</t>
        </is>
      </c>
      <c r="J706" s="8" t="inlineStr">
        <is>
          <t>0</t>
        </is>
      </c>
      <c r="K706" s="9" t="inlineStr">
        <is>
          <t>1</t>
        </is>
      </c>
      <c r="L706" s="9" t="inlineStr">
        <is>
          <t>0</t>
        </is>
      </c>
      <c r="M706" s="9" t="inlineStr">
        <is>
          <t>0</t>
        </is>
      </c>
      <c r="N706" s="9" t="inlineStr">
        <is>
          <t>0</t>
        </is>
      </c>
      <c r="O706" s="10" t="inlineStr">
        <is>
          <t>0</t>
        </is>
      </c>
      <c r="P706" s="10" t="inlineStr">
        <is>
          <t>0</t>
        </is>
      </c>
      <c r="Q706" s="10" t="inlineStr">
        <is>
          <t>0</t>
        </is>
      </c>
      <c r="R706" s="10" t="inlineStr">
        <is>
          <t>0</t>
        </is>
      </c>
      <c r="S706" s="10" t="inlineStr">
        <is>
          <t>0</t>
        </is>
      </c>
    </row>
    <row r="707" ht="296" customHeight="1">
      <c r="A707" s="6">
        <f>IFERROR(__xludf.DUMMYFUNCTION("""COMPUTED_VALUE"""),"Why I don't prefer vinegar on my fries")</f>
        <v/>
      </c>
      <c r="B707" s="6">
        <f>IFERROR(__xludf.DUMMYFUNCTION("""COMPUTED_VALUE"""),"Application")</f>
        <v/>
      </c>
      <c r="C707" s="6">
        <f>IFERROR(__xludf.DUMMYFUNCTION("""COMPUTED_VALUE"""),"Quiz 3")</f>
        <v/>
      </c>
      <c r="D707" s="7">
        <f>IFERROR(__xludf.DUMMYFUNCTION("""COMPUTED_VALUE"""),"No task description")</f>
        <v/>
      </c>
      <c r="E7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7" s="7" t="inlineStr">
        <is>
          <t>Students investigate substances using an app. Embedded artifacts include PhET simulations and Golabz quiz app with interactive question types.</t>
        </is>
      </c>
      <c r="G707" s="8" t="inlineStr">
        <is>
          <t>0</t>
        </is>
      </c>
      <c r="H707" s="8" t="inlineStr">
        <is>
          <t>1</t>
        </is>
      </c>
      <c r="I707" s="8" t="inlineStr">
        <is>
          <t>1</t>
        </is>
      </c>
      <c r="J707" s="8" t="inlineStr">
        <is>
          <t>0</t>
        </is>
      </c>
      <c r="K707" s="9" t="inlineStr">
        <is>
          <t>1</t>
        </is>
      </c>
      <c r="L707" s="9" t="inlineStr">
        <is>
          <t>1</t>
        </is>
      </c>
      <c r="M707" s="9" t="inlineStr">
        <is>
          <t>0</t>
        </is>
      </c>
      <c r="N707" s="9" t="inlineStr">
        <is>
          <t>0</t>
        </is>
      </c>
      <c r="O707" s="10" t="inlineStr">
        <is>
          <t>0</t>
        </is>
      </c>
      <c r="P707" s="10" t="inlineStr">
        <is>
          <t>0</t>
        </is>
      </c>
      <c r="Q707" s="10" t="inlineStr">
        <is>
          <t>0</t>
        </is>
      </c>
      <c r="R707" s="10" t="inlineStr">
        <is>
          <t>0</t>
        </is>
      </c>
      <c r="S707" s="10" t="inlineStr">
        <is>
          <t>1</t>
        </is>
      </c>
    </row>
    <row r="708" ht="296" customHeight="1">
      <c r="A708" s="6">
        <f>IFERROR(__xludf.DUMMYFUNCTION("""COMPUTED_VALUE"""),"Why I don't prefer vinegar on my fries")</f>
        <v/>
      </c>
      <c r="B708" s="6">
        <f>IFERROR(__xludf.DUMMYFUNCTION("""COMPUTED_VALUE"""),"Application")</f>
        <v/>
      </c>
      <c r="C708" s="6">
        <f>IFERROR(__xludf.DUMMYFUNCTION("""COMPUTED_VALUE"""),"Quiz 4")</f>
        <v/>
      </c>
      <c r="D708" s="7">
        <f>IFERROR(__xludf.DUMMYFUNCTION("""COMPUTED_VALUE"""),"No task description")</f>
        <v/>
      </c>
      <c r="E70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8" s="7" t="inlineStr">
        <is>
          <t>No task descriptions are provided. Embedded artifacts include PhET simulations and Golabz quiz apps with interactive question types.</t>
        </is>
      </c>
      <c r="G708" s="8" t="inlineStr">
        <is>
          <t>0</t>
        </is>
      </c>
      <c r="H708" s="8" t="inlineStr">
        <is>
          <t>1</t>
        </is>
      </c>
      <c r="I708" s="8" t="inlineStr">
        <is>
          <t>1</t>
        </is>
      </c>
      <c r="J708" s="8" t="inlineStr">
        <is>
          <t>1</t>
        </is>
      </c>
      <c r="K708" s="9" t="inlineStr">
        <is>
          <t>1</t>
        </is>
      </c>
      <c r="L708" s="9" t="inlineStr">
        <is>
          <t>1</t>
        </is>
      </c>
      <c r="M708" s="9" t="inlineStr">
        <is>
          <t>0</t>
        </is>
      </c>
      <c r="N708" s="9" t="inlineStr">
        <is>
          <t>0</t>
        </is>
      </c>
      <c r="O708" s="10" t="inlineStr">
        <is>
          <t>0</t>
        </is>
      </c>
      <c r="P708" s="10" t="inlineStr">
        <is>
          <t>0</t>
        </is>
      </c>
      <c r="Q708" s="10" t="inlineStr">
        <is>
          <t>0</t>
        </is>
      </c>
      <c r="R708" s="10" t="inlineStr">
        <is>
          <t>0</t>
        </is>
      </c>
      <c r="S708" s="10" t="inlineStr">
        <is>
          <t>1</t>
        </is>
      </c>
    </row>
    <row r="709" ht="296" customHeight="1">
      <c r="A709" s="6">
        <f>IFERROR(__xludf.DUMMYFUNCTION("""COMPUTED_VALUE"""),"Why I don't prefer vinegar on my fries")</f>
        <v/>
      </c>
      <c r="B709" s="6">
        <f>IFERROR(__xludf.DUMMYFUNCTION("""COMPUTED_VALUE"""),"Application")</f>
        <v/>
      </c>
      <c r="C709" s="6">
        <f>IFERROR(__xludf.DUMMYFUNCTION("""COMPUTED_VALUE"""),"Quiz 5")</f>
        <v/>
      </c>
      <c r="D709" s="7">
        <f>IFERROR(__xludf.DUMMYFUNCTION("""COMPUTED_VALUE"""),"No task description")</f>
        <v/>
      </c>
      <c r="E70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9" s="7" t="inlineStr">
        <is>
          <t>No task descriptions are provided, but all items have an embedded Golabz app/lab for creating quizzes with various question types.</t>
        </is>
      </c>
      <c r="G709" s="8" t="inlineStr">
        <is>
          <t>1</t>
        </is>
      </c>
      <c r="H709" s="8" t="inlineStr">
        <is>
          <t>1</t>
        </is>
      </c>
      <c r="I709" s="8" t="inlineStr">
        <is>
          <t>1</t>
        </is>
      </c>
      <c r="J709" s="8" t="inlineStr">
        <is>
          <t>1</t>
        </is>
      </c>
      <c r="K709" s="9" t="inlineStr">
        <is>
          <t>1</t>
        </is>
      </c>
      <c r="L709" s="9" t="inlineStr">
        <is>
          <t>1</t>
        </is>
      </c>
      <c r="M709" s="9" t="inlineStr">
        <is>
          <t>0</t>
        </is>
      </c>
      <c r="N709" s="9" t="inlineStr">
        <is>
          <t>0</t>
        </is>
      </c>
      <c r="O709" s="10" t="inlineStr">
        <is>
          <t>0</t>
        </is>
      </c>
      <c r="P709" s="10" t="inlineStr">
        <is>
          <t>0</t>
        </is>
      </c>
      <c r="Q709" s="10" t="inlineStr">
        <is>
          <t>0</t>
        </is>
      </c>
      <c r="R709" s="10" t="inlineStr">
        <is>
          <t>0</t>
        </is>
      </c>
      <c r="S709" s="10" t="inlineStr">
        <is>
          <t>1</t>
        </is>
      </c>
    </row>
    <row r="710" ht="296" customHeight="1">
      <c r="A710" s="6">
        <f>IFERROR(__xludf.DUMMYFUNCTION("""COMPUTED_VALUE"""),"Why I don't prefer vinegar on my fries")</f>
        <v/>
      </c>
      <c r="B710" s="6">
        <f>IFERROR(__xludf.DUMMYFUNCTION("""COMPUTED_VALUE"""),"Application")</f>
        <v/>
      </c>
      <c r="C710" s="6">
        <f>IFERROR(__xludf.DUMMYFUNCTION("""COMPUTED_VALUE"""),"Quiz 6")</f>
        <v/>
      </c>
      <c r="D710" s="7">
        <f>IFERROR(__xludf.DUMMYFUNCTION("""COMPUTED_VALUE"""),"No task description")</f>
        <v/>
      </c>
      <c r="E71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10" s="7" t="inlineStr">
        <is>
          <t>No task descriptions are provided; Golabz app/lab allows teachers to create interactive quizzes with various question types.</t>
        </is>
      </c>
      <c r="G710" s="8" t="inlineStr">
        <is>
          <t>0</t>
        </is>
      </c>
      <c r="H710" s="8" t="inlineStr">
        <is>
          <t>1</t>
        </is>
      </c>
      <c r="I710" s="8" t="inlineStr">
        <is>
          <t>1</t>
        </is>
      </c>
      <c r="J710" s="8" t="inlineStr">
        <is>
          <t>1</t>
        </is>
      </c>
      <c r="K710" s="9" t="inlineStr">
        <is>
          <t>1</t>
        </is>
      </c>
      <c r="L710" s="9" t="inlineStr">
        <is>
          <t>1</t>
        </is>
      </c>
      <c r="M710" s="9" t="inlineStr">
        <is>
          <t>0</t>
        </is>
      </c>
      <c r="N710" s="9" t="inlineStr">
        <is>
          <t>0</t>
        </is>
      </c>
      <c r="O710" s="10" t="inlineStr">
        <is>
          <t>0</t>
        </is>
      </c>
      <c r="P710" s="10" t="inlineStr">
        <is>
          <t>0</t>
        </is>
      </c>
      <c r="Q710" s="10" t="inlineStr">
        <is>
          <t>0</t>
        </is>
      </c>
      <c r="R710" s="10" t="inlineStr">
        <is>
          <t>0</t>
        </is>
      </c>
      <c r="S710" s="10" t="inlineStr">
        <is>
          <t>1</t>
        </is>
      </c>
    </row>
    <row r="711" ht="97" customHeight="1">
      <c r="A711" s="6">
        <f>IFERROR(__xludf.DUMMYFUNCTION("""COMPUTED_VALUE"""),"Why I don't prefer vinegar on my fries")</f>
        <v/>
      </c>
      <c r="B711" s="6">
        <f>IFERROR(__xludf.DUMMYFUNCTION("""COMPUTED_VALUE"""),"Resource")</f>
        <v/>
      </c>
      <c r="C711" s="6">
        <f>IFERROR(__xludf.DUMMYFUNCTION("""COMPUTED_VALUE"""),"3rd.graasp")</f>
        <v/>
      </c>
      <c r="D711" s="7">
        <f>IFERROR(__xludf.DUMMYFUNCTION("""COMPUTED_VALUE"""),"&lt;p&gt;When you understand what an acid or a base is,  review the video on the chemical reaction of HCl on CaCO3.&lt;/p&gt;")</f>
        <v/>
      </c>
      <c r="E711" s="7">
        <f>IFERROR(__xludf.DUMMYFUNCTION("""COMPUTED_VALUE"""),"No artifact embedded")</f>
        <v/>
      </c>
      <c r="F711" s="7" t="inlineStr">
        <is>
          <t>No task descriptions for Items 1 and 2. Item 3 instructs reviewing a video on HCl and CaCO3 reaction. Embedded artifacts are Golabz quiz apps in Items 1 and 2.</t>
        </is>
      </c>
      <c r="G711" s="8" t="inlineStr">
        <is>
          <t>1</t>
        </is>
      </c>
      <c r="H711" s="8" t="inlineStr">
        <is>
          <t>0</t>
        </is>
      </c>
      <c r="I711" s="8" t="inlineStr">
        <is>
          <t>0</t>
        </is>
      </c>
      <c r="J711" s="8" t="inlineStr">
        <is>
          <t>1</t>
        </is>
      </c>
      <c r="K711" s="9" t="inlineStr">
        <is>
          <t>1</t>
        </is>
      </c>
      <c r="L711" s="9" t="inlineStr">
        <is>
          <t>0</t>
        </is>
      </c>
      <c r="M711" s="9" t="inlineStr">
        <is>
          <t>0</t>
        </is>
      </c>
      <c r="N711" s="9" t="inlineStr">
        <is>
          <t>0</t>
        </is>
      </c>
      <c r="O711" s="10" t="inlineStr">
        <is>
          <t>1</t>
        </is>
      </c>
      <c r="P711" s="10" t="inlineStr">
        <is>
          <t>0</t>
        </is>
      </c>
      <c r="Q711" s="10" t="inlineStr">
        <is>
          <t>0</t>
        </is>
      </c>
      <c r="R711" s="10" t="inlineStr">
        <is>
          <t>0</t>
        </is>
      </c>
      <c r="S711" s="10" t="inlineStr">
        <is>
          <t>0</t>
        </is>
      </c>
    </row>
    <row r="712" ht="145" customHeight="1">
      <c r="A712" s="6">
        <f>IFERROR(__xludf.DUMMYFUNCTION("""COMPUTED_VALUE"""),"Why I don't prefer vinegar on my fries")</f>
        <v/>
      </c>
      <c r="B712" s="6">
        <f>IFERROR(__xludf.DUMMYFUNCTION("""COMPUTED_VALUE"""),"Resource")</f>
        <v/>
      </c>
      <c r="C712" s="6">
        <f>IFERROR(__xludf.DUMMYFUNCTION("""COMPUTED_VALUE"""),"Chemical reaction of marble to acid")</f>
        <v/>
      </c>
      <c r="D712" s="7">
        <f>IFERROR(__xludf.DUMMYFUNCTION("""COMPUTED_VALUE"""),"&lt;p&gt;Most marble is composed of Calcium Carbonate, CaCO3, a mineral that reacts with cold, dilute, hydrochloric acid.  &lt;/p&gt;&lt;p&gt;&lt;br&gt;&lt;/p&gt;")</f>
        <v/>
      </c>
      <c r="E712" s="7">
        <f>IFERROR(__xludf.DUMMYFUNCTION("""COMPUTED_VALUE"""),"youtube.com: A widely known video-sharing platform where users can watch videos on a vast array of topics, including educational content.")</f>
        <v/>
      </c>
      <c r="F712" s="7" t="inlineStr">
        <is>
          <t>Students were given tasks and access to artifacts like the Golabz quiz app and YouTube for learning about acids, bases, and chemical reactions.</t>
        </is>
      </c>
      <c r="G712" s="8" t="inlineStr">
        <is>
          <t>1</t>
        </is>
      </c>
      <c r="H712" s="8" t="inlineStr">
        <is>
          <t>0</t>
        </is>
      </c>
      <c r="I712" s="8" t="inlineStr">
        <is>
          <t>0</t>
        </is>
      </c>
      <c r="J712" s="8" t="inlineStr">
        <is>
          <t>0</t>
        </is>
      </c>
      <c r="K712" s="9" t="inlineStr">
        <is>
          <t>1</t>
        </is>
      </c>
      <c r="L712" s="9" t="inlineStr">
        <is>
          <t>0</t>
        </is>
      </c>
      <c r="M712" s="9" t="inlineStr">
        <is>
          <t>0</t>
        </is>
      </c>
      <c r="N712" s="9" t="inlineStr">
        <is>
          <t>0</t>
        </is>
      </c>
      <c r="O712" s="10" t="inlineStr">
        <is>
          <t>1</t>
        </is>
      </c>
      <c r="P712" s="10" t="inlineStr">
        <is>
          <t>0</t>
        </is>
      </c>
      <c r="Q712" s="10" t="inlineStr">
        <is>
          <t>0</t>
        </is>
      </c>
      <c r="R712" s="10" t="inlineStr">
        <is>
          <t>0</t>
        </is>
      </c>
      <c r="S712" s="10" t="inlineStr">
        <is>
          <t>0</t>
        </is>
      </c>
    </row>
    <row r="713" ht="409.5" customHeight="1">
      <c r="A713" s="6">
        <f>IFERROR(__xludf.DUMMYFUNCTION("""COMPUTED_VALUE"""),"Why I don't prefer vinegar on my fries")</f>
        <v/>
      </c>
      <c r="B713" s="6">
        <f>IFERROR(__xludf.DUMMYFUNCTION("""COMPUTED_VALUE"""),"Resource")</f>
        <v/>
      </c>
      <c r="C713" s="6">
        <f>IFERROR(__xludf.DUMMYFUNCTION("""COMPUTED_VALUE"""),"4th.graasp")</f>
        <v/>
      </c>
      <c r="D713" s="7">
        <f>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
      </c>
      <c r="E713" s="7">
        <f>IFERROR(__xludf.DUMMYFUNCTION("""COMPUTED_VALUE"""),"No artifact embedded")</f>
        <v/>
      </c>
      <c r="F713" s="7" t="inlineStr">
        <is>
          <t>Students review acid-base concepts, watch a video on HCl and CaCO3 reactions, and design an experiment to measure the effect of HCl on CaCO3 mass, with provided equipment.</t>
        </is>
      </c>
      <c r="G713" s="8" t="inlineStr">
        <is>
          <t>0</t>
        </is>
      </c>
      <c r="H713" s="8" t="inlineStr">
        <is>
          <t>1</t>
        </is>
      </c>
      <c r="I713" s="8" t="inlineStr">
        <is>
          <t>1</t>
        </is>
      </c>
      <c r="J713" s="8" t="inlineStr">
        <is>
          <t>1</t>
        </is>
      </c>
      <c r="K713" s="9" t="inlineStr">
        <is>
          <t>0</t>
        </is>
      </c>
      <c r="L713" s="9" t="inlineStr">
        <is>
          <t>1</t>
        </is>
      </c>
      <c r="M713" s="9" t="inlineStr">
        <is>
          <t>0</t>
        </is>
      </c>
      <c r="N713" s="9" t="inlineStr">
        <is>
          <t>0</t>
        </is>
      </c>
      <c r="O713" s="10" t="inlineStr">
        <is>
          <t>0</t>
        </is>
      </c>
      <c r="P713" s="10" t="inlineStr">
        <is>
          <t>1</t>
        </is>
      </c>
      <c r="Q713" s="10" t="inlineStr">
        <is>
          <t>1</t>
        </is>
      </c>
      <c r="R713" s="10" t="inlineStr">
        <is>
          <t>0</t>
        </is>
      </c>
      <c r="S713" s="10" t="inlineStr">
        <is>
          <t>1</t>
        </is>
      </c>
    </row>
    <row r="714" ht="329" customHeight="1">
      <c r="A714" s="6">
        <f>IFERROR(__xludf.DUMMYFUNCTION("""COMPUTED_VALUE"""),"Why I don't prefer vinegar on my fries")</f>
        <v/>
      </c>
      <c r="B714" s="6">
        <f>IFERROR(__xludf.DUMMYFUNCTION("""COMPUTED_VALUE"""),"Application")</f>
        <v/>
      </c>
      <c r="C714" s="6">
        <f>IFERROR(__xludf.DUMMYFUNCTION("""COMPUTED_VALUE"""),"Input Box")</f>
        <v/>
      </c>
      <c r="D714" s="7">
        <f>IFERROR(__xludf.DUMMYFUNCTION("""COMPUTED_VALUE"""),"No task description")</f>
        <v/>
      </c>
      <c r="E71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4" s="7" t="inlineStr">
        <is>
          <t>Students are instructed to design and conduct experiments on CaCO3 reaction with HCl. Embedded artifacts include a YouTube video and the Golabz app/lab for note-taking and collaboration.</t>
        </is>
      </c>
      <c r="G714" s="8" t="inlineStr">
        <is>
          <t>0</t>
        </is>
      </c>
      <c r="H714" s="8" t="inlineStr">
        <is>
          <t>1</t>
        </is>
      </c>
      <c r="I714" s="8" t="inlineStr">
        <is>
          <t>1</t>
        </is>
      </c>
      <c r="J714" s="8" t="inlineStr">
        <is>
          <t>1</t>
        </is>
      </c>
      <c r="K714" s="9" t="inlineStr">
        <is>
          <t>0</t>
        </is>
      </c>
      <c r="L714" s="9" t="inlineStr">
        <is>
          <t>1</t>
        </is>
      </c>
      <c r="M714" s="9" t="inlineStr">
        <is>
          <t>0</t>
        </is>
      </c>
      <c r="N714" s="9" t="inlineStr">
        <is>
          <t>1</t>
        </is>
      </c>
      <c r="O714" s="10" t="inlineStr">
        <is>
          <t>0</t>
        </is>
      </c>
      <c r="P714" s="10" t="inlineStr">
        <is>
          <t>0</t>
        </is>
      </c>
      <c r="Q714" s="10" t="inlineStr">
        <is>
          <t>0</t>
        </is>
      </c>
      <c r="R714" s="10" t="inlineStr">
        <is>
          <t>0</t>
        </is>
      </c>
      <c r="S714" s="10" t="inlineStr">
        <is>
          <t>1</t>
        </is>
      </c>
    </row>
    <row r="715" ht="97" customHeight="1">
      <c r="A715" s="6">
        <f>IFERROR(__xludf.DUMMYFUNCTION("""COMPUTED_VALUE"""),"Why I don't prefer vinegar on my fries")</f>
        <v/>
      </c>
      <c r="B715" s="6">
        <f>IFERROR(__xludf.DUMMYFUNCTION("""COMPUTED_VALUE"""),"Resource")</f>
        <v/>
      </c>
      <c r="C715" s="6">
        <f>IFERROR(__xludf.DUMMYFUNCTION("""COMPUTED_VALUE"""),"5th.graasp")</f>
        <v/>
      </c>
      <c r="D715" s="7">
        <f>IFERROR(__xludf.DUMMYFUNCTION("""COMPUTED_VALUE"""),"&lt;p&gt;Complete your experiment and record it as a video lasting no more than 2 minutes. Upload your video below&lt;/p&gt;")</f>
        <v/>
      </c>
      <c r="E715" s="7">
        <f>IFERROR(__xludf.DUMMYFUNCTION("""COMPUTED_VALUE"""),"No artifact embedded")</f>
        <v/>
      </c>
      <c r="F715" s="7" t="inlineStr">
        <is>
          <t>Students design an experiment to measure HCl's effect on CaCO3, submit their procedure, conduct the experiment, and record a 2-minute video. Embedded artifacts include the Golabz app/lab for note-taking.</t>
        </is>
      </c>
      <c r="G715" s="8" t="inlineStr">
        <is>
          <t>0</t>
        </is>
      </c>
      <c r="H715" s="8" t="inlineStr">
        <is>
          <t>1</t>
        </is>
      </c>
      <c r="I715" s="8" t="inlineStr">
        <is>
          <t>1</t>
        </is>
      </c>
      <c r="J715" s="8" t="inlineStr">
        <is>
          <t>1</t>
        </is>
      </c>
      <c r="K715" s="9" t="inlineStr">
        <is>
          <t>0</t>
        </is>
      </c>
      <c r="L715" s="9" t="inlineStr">
        <is>
          <t>1</t>
        </is>
      </c>
      <c r="M715" s="9" t="inlineStr">
        <is>
          <t>0</t>
        </is>
      </c>
      <c r="N715" s="9" t="inlineStr">
        <is>
          <t>0</t>
        </is>
      </c>
      <c r="O715" s="10" t="inlineStr">
        <is>
          <t>0</t>
        </is>
      </c>
      <c r="P715" s="10" t="inlineStr">
        <is>
          <t>0</t>
        </is>
      </c>
      <c r="Q715" s="10" t="inlineStr">
        <is>
          <t>0</t>
        </is>
      </c>
      <c r="R715" s="10" t="inlineStr">
        <is>
          <t>0</t>
        </is>
      </c>
      <c r="S715" s="10" t="inlineStr">
        <is>
          <t>0</t>
        </is>
      </c>
    </row>
    <row r="716" ht="157" customHeight="1">
      <c r="A716" s="6">
        <f>IFERROR(__xludf.DUMMYFUNCTION("""COMPUTED_VALUE"""),"Why I don't prefer vinegar on my fries")</f>
        <v/>
      </c>
      <c r="B716" s="6">
        <f>IFERROR(__xludf.DUMMYFUNCTION("""COMPUTED_VALUE"""),"Application")</f>
        <v/>
      </c>
      <c r="C716" s="6">
        <f>IFERROR(__xludf.DUMMYFUNCTION("""COMPUTED_VALUE"""),"File Drop")</f>
        <v/>
      </c>
      <c r="D716" s="7">
        <f>IFERROR(__xludf.DUMMYFUNCTION("""COMPUTED_VALUE"""),"No task description")</f>
        <v/>
      </c>
      <c r="E716" s="7">
        <f>IFERROR(__xludf.DUMMYFUNCTION("""COMPUTED_VALUE"""),"Golabz app/lab: ""&lt;p&gt;This app allows students to upload files, e.g., assignment and reports, to the Inquiry learning Space. The app also allows teachers to download the uploaded files.&lt;/p&gt;\r\n""")</f>
        <v/>
      </c>
      <c r="F716" s="7" t="inlineStr">
        <is>
          <t>Students were given tasks with varying instructions and tools, including note-taking apps and video uploads, with some tasks lacking descriptions.</t>
        </is>
      </c>
      <c r="G716" s="8" t="inlineStr">
        <is>
          <t>0</t>
        </is>
      </c>
      <c r="H716" s="8" t="inlineStr">
        <is>
          <t>0</t>
        </is>
      </c>
      <c r="I716" s="8" t="inlineStr">
        <is>
          <t>1</t>
        </is>
      </c>
      <c r="J716" s="8" t="inlineStr">
        <is>
          <t>0</t>
        </is>
      </c>
      <c r="K716" s="9" t="inlineStr">
        <is>
          <t>0</t>
        </is>
      </c>
      <c r="L716" s="9" t="inlineStr">
        <is>
          <t>1</t>
        </is>
      </c>
      <c r="M716" s="9" t="inlineStr">
        <is>
          <t>0</t>
        </is>
      </c>
      <c r="N716" s="9" t="inlineStr">
        <is>
          <t>0</t>
        </is>
      </c>
      <c r="O716" s="10" t="inlineStr">
        <is>
          <t>0</t>
        </is>
      </c>
      <c r="P716" s="10" t="inlineStr">
        <is>
          <t>0</t>
        </is>
      </c>
      <c r="Q716" s="10" t="inlineStr">
        <is>
          <t>0</t>
        </is>
      </c>
      <c r="R716" s="10" t="inlineStr">
        <is>
          <t>0</t>
        </is>
      </c>
      <c r="S716" s="10" t="inlineStr">
        <is>
          <t>1</t>
        </is>
      </c>
    </row>
    <row r="717" ht="85" customHeight="1">
      <c r="A717" s="6">
        <f>IFERROR(__xludf.DUMMYFUNCTION("""COMPUTED_VALUE"""),"Why I don't prefer vinegar on my fries")</f>
        <v/>
      </c>
      <c r="B717" s="6">
        <f>IFERROR(__xludf.DUMMYFUNCTION("""COMPUTED_VALUE"""),"Resource")</f>
        <v/>
      </c>
      <c r="C717" s="6">
        <f>IFERROR(__xludf.DUMMYFUNCTION("""COMPUTED_VALUE"""),"6th.graasp")</f>
        <v/>
      </c>
      <c r="D717" s="7">
        <f>IFERROR(__xludf.DUMMYFUNCTION("""COMPUTED_VALUE"""),"&lt;p&gt;Record your data into the table and then capture the screen and post it into Padlet along with your conclusion&lt;/p&gt;")</f>
        <v/>
      </c>
      <c r="E717" s="7">
        <f>IFERROR(__xludf.DUMMYFUNCTION("""COMPUTED_VALUE"""),"No artifact embedded")</f>
        <v/>
      </c>
      <c r="F717" s="7" t="inlineStr">
        <is>
          <t>Students were instructed to complete experiments, record videos, and upload files. Embedded artifacts include the Golabz app for file uploads.</t>
        </is>
      </c>
      <c r="G717" s="8" t="inlineStr">
        <is>
          <t>0</t>
        </is>
      </c>
      <c r="H717" s="8" t="inlineStr">
        <is>
          <t>0</t>
        </is>
      </c>
      <c r="I717" s="8" t="inlineStr">
        <is>
          <t>1</t>
        </is>
      </c>
      <c r="J717" s="8" t="inlineStr">
        <is>
          <t>1</t>
        </is>
      </c>
      <c r="K717" s="9" t="inlineStr">
        <is>
          <t>0</t>
        </is>
      </c>
      <c r="L717" s="9" t="inlineStr">
        <is>
          <t>1</t>
        </is>
      </c>
      <c r="M717" s="9" t="inlineStr">
        <is>
          <t>0</t>
        </is>
      </c>
      <c r="N717" s="9" t="inlineStr">
        <is>
          <t>1</t>
        </is>
      </c>
      <c r="O717" s="10" t="inlineStr">
        <is>
          <t>0</t>
        </is>
      </c>
      <c r="P717" s="10" t="inlineStr">
        <is>
          <t>0</t>
        </is>
      </c>
      <c r="Q717" s="10" t="inlineStr">
        <is>
          <t>0</t>
        </is>
      </c>
      <c r="R717" s="10" t="inlineStr">
        <is>
          <t>1</t>
        </is>
      </c>
      <c r="S717" s="10" t="inlineStr">
        <is>
          <t>1</t>
        </is>
      </c>
    </row>
    <row r="718" ht="409.5" customHeight="1">
      <c r="A718" s="6">
        <f>IFERROR(__xludf.DUMMYFUNCTION("""COMPUTED_VALUE"""),"Why I don't prefer vinegar on my fries")</f>
        <v/>
      </c>
      <c r="B718" s="6">
        <f>IFERROR(__xludf.DUMMYFUNCTION("""COMPUTED_VALUE"""),"Application")</f>
        <v/>
      </c>
      <c r="C718" s="6">
        <f>IFERROR(__xludf.DUMMYFUNCTION("""COMPUTED_VALUE"""),"Table tool")</f>
        <v/>
      </c>
      <c r="D718" s="7">
        <f>IFERROR(__xludf.DUMMYFUNCTION("""COMPUTED_VALUE"""),"No task description")</f>
        <v/>
      </c>
      <c r="E71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718" s="7" t="inlineStr">
        <is>
          <t>Students received task descriptions and used Golabz app/lab with various tools for data entry, tables, and file uploads.</t>
        </is>
      </c>
      <c r="G718" s="8" t="inlineStr">
        <is>
          <t>1</t>
        </is>
      </c>
      <c r="H718" s="8" t="inlineStr">
        <is>
          <t>1</t>
        </is>
      </c>
      <c r="I718" s="8" t="inlineStr">
        <is>
          <t>1</t>
        </is>
      </c>
      <c r="J718" s="8" t="inlineStr">
        <is>
          <t>0</t>
        </is>
      </c>
      <c r="K718" s="9" t="inlineStr">
        <is>
          <t>0</t>
        </is>
      </c>
      <c r="L718" s="9" t="inlineStr">
        <is>
          <t>1</t>
        </is>
      </c>
      <c r="M718" s="9" t="inlineStr">
        <is>
          <t>1</t>
        </is>
      </c>
      <c r="N718" s="9" t="inlineStr">
        <is>
          <t>1</t>
        </is>
      </c>
      <c r="O718" s="10" t="inlineStr">
        <is>
          <t>0</t>
        </is>
      </c>
      <c r="P718" s="10" t="inlineStr">
        <is>
          <t>0</t>
        </is>
      </c>
      <c r="Q718" s="10" t="inlineStr">
        <is>
          <t>0</t>
        </is>
      </c>
      <c r="R718" s="10" t="inlineStr">
        <is>
          <t>0</t>
        </is>
      </c>
      <c r="S718" s="10" t="inlineStr">
        <is>
          <t>0</t>
        </is>
      </c>
    </row>
    <row r="719" ht="329" customHeight="1">
      <c r="A719" s="6">
        <f>IFERROR(__xludf.DUMMYFUNCTION("""COMPUTED_VALUE"""),"Why I don't prefer vinegar on my fries")</f>
        <v/>
      </c>
      <c r="B719" s="6">
        <f>IFERROR(__xludf.DUMMYFUNCTION("""COMPUTED_VALUE"""),"Application")</f>
        <v/>
      </c>
      <c r="C719" s="6">
        <f>IFERROR(__xludf.DUMMYFUNCTION("""COMPUTED_VALUE"""),"Input Box (1)")</f>
        <v/>
      </c>
      <c r="D719" s="7">
        <f>IFERROR(__xludf.DUMMYFUNCTION("""COMPUTED_VALUE"""),"&lt;p&gt;Review your video and write down your observations. &lt;/p&gt;&lt;p&gt;&lt;br&gt;&lt;/p&gt;")</f>
        <v/>
      </c>
      <c r="E71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9" s="7" t="inlineStr">
        <is>
          <t>Students record data, capture screens, and post conclusions. Embedded artifacts include Golabz table and input box tools for data entry and note-taking.</t>
        </is>
      </c>
      <c r="G719" s="8" t="inlineStr">
        <is>
          <t>0</t>
        </is>
      </c>
      <c r="H719" s="8" t="inlineStr">
        <is>
          <t>0</t>
        </is>
      </c>
      <c r="I719" s="8" t="inlineStr">
        <is>
          <t>1</t>
        </is>
      </c>
      <c r="J719" s="8" t="inlineStr">
        <is>
          <t>1</t>
        </is>
      </c>
      <c r="K719" s="9" t="inlineStr">
        <is>
          <t>0</t>
        </is>
      </c>
      <c r="L719" s="9" t="inlineStr">
        <is>
          <t>1</t>
        </is>
      </c>
      <c r="M719" s="9" t="inlineStr">
        <is>
          <t>0</t>
        </is>
      </c>
      <c r="N719" s="9" t="inlineStr">
        <is>
          <t>0</t>
        </is>
      </c>
      <c r="O719" s="10" t="inlineStr">
        <is>
          <t>0</t>
        </is>
      </c>
      <c r="P719" s="10" t="inlineStr">
        <is>
          <t>0</t>
        </is>
      </c>
      <c r="Q719" s="10" t="inlineStr">
        <is>
          <t>1</t>
        </is>
      </c>
      <c r="R719" s="10" t="inlineStr">
        <is>
          <t>0</t>
        </is>
      </c>
      <c r="S719" s="10" t="inlineStr">
        <is>
          <t>1</t>
        </is>
      </c>
    </row>
    <row r="720" ht="133" customHeight="1">
      <c r="A720" s="6">
        <f>IFERROR(__xludf.DUMMYFUNCTION("""COMPUTED_VALUE"""),"Why I don't prefer vinegar on my fries")</f>
        <v/>
      </c>
      <c r="B720" s="6">
        <f>IFERROR(__xludf.DUMMYFUNCTION("""COMPUTED_VALUE"""),"Space")</f>
        <v/>
      </c>
      <c r="C720" s="6">
        <f>IFERROR(__xludf.DUMMYFUNCTION("""COMPUTED_VALUE"""),"Conclusion")</f>
        <v/>
      </c>
      <c r="D720" s="7">
        <f>IFERROR(__xludf.DUMMYFUNCTION("""COMPUTED_VALUE"""),"&lt;p&gt;Use the conclusion App to to share your conclusions and data with the class. Your conclusion should take into account your original hypothesis. &lt;/p&gt;")</f>
        <v/>
      </c>
      <c r="E720" s="7">
        <f>IFERROR(__xludf.DUMMYFUNCTION("""COMPUTED_VALUE"""),"No artifact embedded")</f>
        <v/>
      </c>
      <c r="F720" s="7" t="inlineStr">
        <is>
          <t>Students received task descriptions and used Golabz apps, such as Table tool and Input box, with optional collaboration mode.</t>
        </is>
      </c>
      <c r="G720" s="8" t="inlineStr">
        <is>
          <t>0</t>
        </is>
      </c>
      <c r="H720" s="8" t="inlineStr">
        <is>
          <t>0</t>
        </is>
      </c>
      <c r="I720" s="8" t="inlineStr">
        <is>
          <t>1</t>
        </is>
      </c>
      <c r="J720" s="8" t="inlineStr">
        <is>
          <t>1</t>
        </is>
      </c>
      <c r="K720" s="9" t="inlineStr">
        <is>
          <t>0</t>
        </is>
      </c>
      <c r="L720" s="9" t="inlineStr">
        <is>
          <t>0</t>
        </is>
      </c>
      <c r="M720" s="9" t="inlineStr">
        <is>
          <t>1</t>
        </is>
      </c>
      <c r="N720" s="9" t="inlineStr">
        <is>
          <t>0</t>
        </is>
      </c>
      <c r="O720" s="10" t="inlineStr">
        <is>
          <t>0</t>
        </is>
      </c>
      <c r="P720" s="10" t="inlineStr">
        <is>
          <t>0</t>
        </is>
      </c>
      <c r="Q720" s="10" t="inlineStr">
        <is>
          <t>0</t>
        </is>
      </c>
      <c r="R720" s="10" t="inlineStr">
        <is>
          <t>1</t>
        </is>
      </c>
      <c r="S720" s="10" t="inlineStr">
        <is>
          <t>1</t>
        </is>
      </c>
    </row>
    <row r="721" ht="409.5" customHeight="1">
      <c r="A721" s="6">
        <f>IFERROR(__xludf.DUMMYFUNCTION("""COMPUTED_VALUE"""),"Why I don't prefer vinegar on my fries")</f>
        <v/>
      </c>
      <c r="B721" s="6">
        <f>IFERROR(__xludf.DUMMYFUNCTION("""COMPUTED_VALUE"""),"Application")</f>
        <v/>
      </c>
      <c r="C721" s="6">
        <f>IFERROR(__xludf.DUMMYFUNCTION("""COMPUTED_VALUE"""),"Conclusion Tool")</f>
        <v/>
      </c>
      <c r="D721" s="7">
        <f>IFERROR(__xludf.DUMMYFUNCTION("""COMPUTED_VALUE"""),"No task description")</f>
        <v/>
      </c>
      <c r="E72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21" s="7" t="inlineStr">
        <is>
          <t>Students review a video, write observations, and share conclusions. Embedded artifacts include note-taking and conclusion tools in Golabz app/lab.</t>
        </is>
      </c>
      <c r="G721" s="8" t="inlineStr">
        <is>
          <t>0</t>
        </is>
      </c>
      <c r="H721" s="8" t="inlineStr">
        <is>
          <t>1</t>
        </is>
      </c>
      <c r="I721" s="8" t="inlineStr">
        <is>
          <t>1</t>
        </is>
      </c>
      <c r="J721" s="8" t="inlineStr">
        <is>
          <t>0</t>
        </is>
      </c>
      <c r="K721" s="9" t="inlineStr">
        <is>
          <t>0</t>
        </is>
      </c>
      <c r="L721" s="9" t="inlineStr">
        <is>
          <t>1</t>
        </is>
      </c>
      <c r="M721" s="9" t="inlineStr">
        <is>
          <t>0</t>
        </is>
      </c>
      <c r="N721" s="9" t="inlineStr">
        <is>
          <t>0</t>
        </is>
      </c>
      <c r="O721" s="10" t="inlineStr">
        <is>
          <t>0</t>
        </is>
      </c>
      <c r="P721" s="10" t="inlineStr">
        <is>
          <t>1</t>
        </is>
      </c>
      <c r="Q721" s="10" t="inlineStr">
        <is>
          <t>0</t>
        </is>
      </c>
      <c r="R721" s="10" t="inlineStr">
        <is>
          <t>1</t>
        </is>
      </c>
      <c r="S721" s="10" t="inlineStr">
        <is>
          <t>1</t>
        </is>
      </c>
    </row>
    <row r="722" ht="409.5" customHeight="1">
      <c r="A722" s="6">
        <f>IFERROR(__xludf.DUMMYFUNCTION("""COMPUTED_VALUE"""),"Why I don't prefer vinegar on my fries")</f>
        <v/>
      </c>
      <c r="B722" s="6">
        <f>IFERROR(__xludf.DUMMYFUNCTION("""COMPUTED_VALUE"""),"Space")</f>
        <v/>
      </c>
      <c r="C722" s="6">
        <f>IFERROR(__xludf.DUMMYFUNCTION("""COMPUTED_VALUE"""),"Discussion")</f>
        <v/>
      </c>
      <c r="D722" s="7">
        <f>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
      </c>
      <c r="E722" s="7">
        <f>IFERROR(__xludf.DUMMYFUNCTION("""COMPUTED_VALUE"""),"No artifact embedded")</f>
        <v/>
      </c>
      <c r="F722" s="7" t="inlineStr">
        <is>
          <t>Students share conclusions using apps, considering original hypotheses and data, with optional configuration and discussion on Padlet.</t>
        </is>
      </c>
      <c r="G722" s="8" t="inlineStr">
        <is>
          <t>0</t>
        </is>
      </c>
      <c r="H722" s="8" t="inlineStr">
        <is>
          <t>0</t>
        </is>
      </c>
      <c r="I722" s="8" t="inlineStr">
        <is>
          <t>1</t>
        </is>
      </c>
      <c r="J722" s="8" t="inlineStr">
        <is>
          <t>1</t>
        </is>
      </c>
      <c r="K722" s="9" t="inlineStr">
        <is>
          <t>0</t>
        </is>
      </c>
      <c r="L722" s="9" t="inlineStr">
        <is>
          <t>0</t>
        </is>
      </c>
      <c r="M722" s="9" t="inlineStr">
        <is>
          <t>0</t>
        </is>
      </c>
      <c r="N722" s="9" t="inlineStr">
        <is>
          <t>1</t>
        </is>
      </c>
      <c r="O722" s="10" t="inlineStr">
        <is>
          <t>0</t>
        </is>
      </c>
      <c r="P722" s="10" t="inlineStr">
        <is>
          <t>1</t>
        </is>
      </c>
      <c r="Q722" s="10" t="inlineStr">
        <is>
          <t>0</t>
        </is>
      </c>
      <c r="R722" s="10" t="inlineStr">
        <is>
          <t>1</t>
        </is>
      </c>
      <c r="S722" s="10" t="inlineStr">
        <is>
          <t>1</t>
        </is>
      </c>
    </row>
    <row r="723" ht="49" customHeight="1">
      <c r="A723" s="6">
        <f>IFERROR(__xludf.DUMMYFUNCTION("""COMPUTED_VALUE"""),"Why I don't prefer vinegar on my fries")</f>
        <v/>
      </c>
      <c r="B723" s="6">
        <f>IFERROR(__xludf.DUMMYFUNCTION("""COMPUTED_VALUE"""),"Application")</f>
        <v/>
      </c>
      <c r="C723" s="6">
        <f>IFERROR(__xludf.DUMMYFUNCTION("""COMPUTED_VALUE"""),"Padlet")</f>
        <v/>
      </c>
      <c r="D723" s="7">
        <f>IFERROR(__xludf.DUMMYFUNCTION("""COMPUTED_VALUE"""),"No task description")</f>
        <v/>
      </c>
      <c r="E723" s="7">
        <f>IFERROR(__xludf.DUMMYFUNCTION("""COMPUTED_VALUE"""),"Golabz app/lab: Wrong URL. Impossible to access it")</f>
        <v/>
      </c>
      <c r="F723" s="7" t="inlineStr">
        <is>
          <t>Students received tasks and used tools like Golabz and Padlet to analyze data, discuss investigations, and validate hypotheses.</t>
        </is>
      </c>
      <c r="G723" s="8" t="inlineStr">
        <is>
          <t>0</t>
        </is>
      </c>
      <c r="H723" s="8" t="inlineStr">
        <is>
          <t>0</t>
        </is>
      </c>
      <c r="I723" s="8" t="inlineStr">
        <is>
          <t>0</t>
        </is>
      </c>
      <c r="J723" s="8" t="inlineStr">
        <is>
          <t>0</t>
        </is>
      </c>
      <c r="K723" s="9" t="inlineStr">
        <is>
          <t>0</t>
        </is>
      </c>
      <c r="L723" s="9" t="inlineStr">
        <is>
          <t>0</t>
        </is>
      </c>
      <c r="M723" s="9" t="inlineStr">
        <is>
          <t>0</t>
        </is>
      </c>
      <c r="N723" s="9" t="inlineStr">
        <is>
          <t>0</t>
        </is>
      </c>
      <c r="O723" s="10" t="inlineStr">
        <is>
          <t>0</t>
        </is>
      </c>
      <c r="P723" s="10" t="inlineStr">
        <is>
          <t>0</t>
        </is>
      </c>
      <c r="Q723" s="10" t="inlineStr">
        <is>
          <t>0</t>
        </is>
      </c>
      <c r="R723" s="10" t="inlineStr">
        <is>
          <t>0</t>
        </is>
      </c>
      <c r="S723" s="10" t="inlineStr">
        <is>
          <t>0</t>
        </is>
      </c>
    </row>
    <row r="724" ht="307" customHeight="1">
      <c r="A724" s="6">
        <f>IFERROR(__xludf.DUMMYFUNCTION("""COMPUTED_VALUE"""),"Electrical Circuits (Cooperative Jigsaw Scenario)")</f>
        <v/>
      </c>
      <c r="B724" s="6">
        <f>IFERROR(__xludf.DUMMYFUNCTION("""COMPUTED_VALUE"""),"Space")</f>
        <v/>
      </c>
      <c r="C724" s="6">
        <f>IFERROR(__xludf.DUMMYFUNCTION("""COMPUTED_VALUE"""),"Orientation")</f>
        <v/>
      </c>
      <c r="D724" s="7">
        <f>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
      </c>
      <c r="E724" s="7">
        <f>IFERROR(__xludf.DUMMYFUNCTION("""COMPUTED_VALUE"""),"No artifact embedded")</f>
        <v/>
      </c>
      <c r="F724" s="7" t="inlineStr">
        <is>
          <t>Students discuss investigation results, modify hypotheses, and research the Earth's systems. Embedded artifacts include Padlet discussions, videos, and images, but no other items have accessible links or embedded content.</t>
        </is>
      </c>
      <c r="G724" s="8" t="inlineStr">
        <is>
          <t>1</t>
        </is>
      </c>
      <c r="H724" s="8" t="inlineStr">
        <is>
          <t>0</t>
        </is>
      </c>
      <c r="I724" s="8" t="inlineStr">
        <is>
          <t>0</t>
        </is>
      </c>
      <c r="J724" s="8" t="inlineStr">
        <is>
          <t>0</t>
        </is>
      </c>
      <c r="K724" s="9" t="inlineStr">
        <is>
          <t>0</t>
        </is>
      </c>
      <c r="L724" s="9" t="inlineStr">
        <is>
          <t>0</t>
        </is>
      </c>
      <c r="M724" s="9" t="inlineStr">
        <is>
          <t>1</t>
        </is>
      </c>
      <c r="N724" s="9" t="inlineStr">
        <is>
          <t>1</t>
        </is>
      </c>
      <c r="O724" s="10" t="inlineStr">
        <is>
          <t>1</t>
        </is>
      </c>
      <c r="P724" s="10" t="inlineStr">
        <is>
          <t>0</t>
        </is>
      </c>
      <c r="Q724" s="10" t="inlineStr">
        <is>
          <t>0</t>
        </is>
      </c>
      <c r="R724" s="10" t="inlineStr">
        <is>
          <t>0</t>
        </is>
      </c>
      <c r="S724" s="10" t="inlineStr">
        <is>
          <t>0</t>
        </is>
      </c>
    </row>
    <row r="725" ht="274" customHeight="1">
      <c r="A725" s="6">
        <f>IFERROR(__xludf.DUMMYFUNCTION("""COMPUTED_VALUE"""),"Electrical Circuits (Cooperative Jigsaw Scenario)")</f>
        <v/>
      </c>
      <c r="B725" s="6">
        <f>IFERROR(__xludf.DUMMYFUNCTION("""COMPUTED_VALUE"""),"Resource")</f>
        <v/>
      </c>
      <c r="C725" s="6">
        <f>IFERROR(__xludf.DUMMYFUNCTION("""COMPUTED_VALUE"""),"Battery-wire-bulb.png")</f>
        <v/>
      </c>
      <c r="D725" s="7">
        <f>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
      </c>
      <c r="E725" s="7">
        <f>IFERROR(__xludf.DUMMYFUNCTION("""COMPUTED_VALUE"""),"image/png – A high-quality image with support for transparency, often used in design and web applications.")</f>
        <v/>
      </c>
      <c r="F725" s="7" t="inlineStr">
        <is>
          <t>Students work in groups on electrical circuits, following instructions and seeking teacher support. Embedded artifacts include a problematic URL, no artifact, and a PNG image.</t>
        </is>
      </c>
      <c r="G725" s="8" t="inlineStr">
        <is>
          <t>0</t>
        </is>
      </c>
      <c r="H725" s="8" t="inlineStr">
        <is>
          <t>1</t>
        </is>
      </c>
      <c r="I725" s="8" t="inlineStr">
        <is>
          <t>1</t>
        </is>
      </c>
      <c r="J725" s="8" t="inlineStr">
        <is>
          <t>1</t>
        </is>
      </c>
      <c r="K725" s="9" t="inlineStr">
        <is>
          <t>0</t>
        </is>
      </c>
      <c r="L725" s="9" t="inlineStr">
        <is>
          <t>0</t>
        </is>
      </c>
      <c r="M725" s="9" t="inlineStr">
        <is>
          <t>1</t>
        </is>
      </c>
      <c r="N725" s="9" t="inlineStr">
        <is>
          <t>1</t>
        </is>
      </c>
      <c r="O725" s="10" t="inlineStr">
        <is>
          <t>1</t>
        </is>
      </c>
      <c r="P725" s="10" t="inlineStr">
        <is>
          <t>1</t>
        </is>
      </c>
      <c r="Q725" s="10" t="inlineStr">
        <is>
          <t>1</t>
        </is>
      </c>
      <c r="R725" s="10" t="inlineStr">
        <is>
          <t>0</t>
        </is>
      </c>
      <c r="S725" s="10" t="inlineStr">
        <is>
          <t>1</t>
        </is>
      </c>
    </row>
    <row r="726" ht="329" customHeight="1">
      <c r="A726" s="6">
        <f>IFERROR(__xludf.DUMMYFUNCTION("""COMPUTED_VALUE"""),"Electrical Circuits (Cooperative Jigsaw Scenario)")</f>
        <v/>
      </c>
      <c r="B726" s="6">
        <f>IFERROR(__xludf.DUMMYFUNCTION("""COMPUTED_VALUE"""),"Application")</f>
        <v/>
      </c>
      <c r="C726" s="6">
        <f>IFERROR(__xludf.DUMMYFUNCTION("""COMPUTED_VALUE"""),"Input Box")</f>
        <v/>
      </c>
      <c r="D726" s="7">
        <f>IFERROR(__xludf.DUMMYFUNCTION("""COMPUTED_VALUE"""),"&lt;p&gt;Our group definition of the electrical circuit: &lt;/p&gt;")</f>
        <v/>
      </c>
      <c r="E7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6" s="7" t="inlineStr">
        <is>
          <t>Students work in groups to learn about electrical circuits, following instructions and asking teachers for support when needed, with embedded artifacts including images and interactive apps like Golabz.</t>
        </is>
      </c>
      <c r="G726" s="8" t="inlineStr">
        <is>
          <t>0</t>
        </is>
      </c>
      <c r="H726" s="8" t="inlineStr">
        <is>
          <t>1</t>
        </is>
      </c>
      <c r="I726" s="8" t="inlineStr">
        <is>
          <t>1</t>
        </is>
      </c>
      <c r="J726" s="8" t="inlineStr">
        <is>
          <t>1</t>
        </is>
      </c>
      <c r="K726" s="9" t="inlineStr">
        <is>
          <t>0</t>
        </is>
      </c>
      <c r="L726" s="9" t="inlineStr">
        <is>
          <t>1</t>
        </is>
      </c>
      <c r="M726" s="9" t="inlineStr">
        <is>
          <t>1</t>
        </is>
      </c>
      <c r="N726" s="9" t="inlineStr">
        <is>
          <t>1</t>
        </is>
      </c>
      <c r="O726" s="10" t="inlineStr">
        <is>
          <t>0</t>
        </is>
      </c>
      <c r="P726" s="10" t="inlineStr">
        <is>
          <t>0</t>
        </is>
      </c>
      <c r="Q726" s="10" t="inlineStr">
        <is>
          <t>0</t>
        </is>
      </c>
      <c r="R726" s="10" t="inlineStr">
        <is>
          <t>0</t>
        </is>
      </c>
      <c r="S726" s="10" t="inlineStr">
        <is>
          <t>1</t>
        </is>
      </c>
    </row>
    <row r="727" ht="409.5" customHeight="1">
      <c r="A727" s="6">
        <f>IFERROR(__xludf.DUMMYFUNCTION("""COMPUTED_VALUE"""),"Electrical Circuits (Cooperative Jigsaw Scenario)")</f>
        <v/>
      </c>
      <c r="B727" s="6">
        <f>IFERROR(__xludf.DUMMYFUNCTION("""COMPUTED_VALUE"""),"Resource")</f>
        <v/>
      </c>
      <c r="C727" s="6">
        <f>IFERROR(__xludf.DUMMYFUNCTION("""COMPUTED_VALUE"""),"Read the following text to check if your definition is in line with the scientific definition of the electrical circuit.graasp")</f>
        <v/>
      </c>
      <c r="D727" s="7">
        <f>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
      </c>
      <c r="E727" s="7">
        <f>IFERROR(__xludf.DUMMYFUNCTION("""COMPUTED_VALUE"""),"No artifact embedded")</f>
        <v/>
      </c>
      <c r="F727" s="7" t="inlineStr">
        <is>
          <t>Students create and test simple electrical circuits, then write operational definitions. Embedded artifacts include images and interactive apps for note-taking and collaboration.</t>
        </is>
      </c>
      <c r="G727" s="8" t="inlineStr">
        <is>
          <t>1</t>
        </is>
      </c>
      <c r="H727" s="8" t="inlineStr">
        <is>
          <t>0</t>
        </is>
      </c>
      <c r="I727" s="8" t="inlineStr">
        <is>
          <t>0</t>
        </is>
      </c>
      <c r="J727" s="8" t="inlineStr">
        <is>
          <t>0</t>
        </is>
      </c>
      <c r="K727" s="9" t="inlineStr">
        <is>
          <t>1</t>
        </is>
      </c>
      <c r="L727" s="9" t="inlineStr">
        <is>
          <t>0</t>
        </is>
      </c>
      <c r="M727" s="9" t="inlineStr">
        <is>
          <t>0</t>
        </is>
      </c>
      <c r="N727" s="9" t="inlineStr">
        <is>
          <t>0</t>
        </is>
      </c>
      <c r="O727" s="10" t="inlineStr">
        <is>
          <t>1</t>
        </is>
      </c>
      <c r="P727" s="10" t="inlineStr">
        <is>
          <t>0</t>
        </is>
      </c>
      <c r="Q727" s="10" t="inlineStr">
        <is>
          <t>0</t>
        </is>
      </c>
      <c r="R727" s="10" t="inlineStr">
        <is>
          <t>0</t>
        </is>
      </c>
      <c r="S727" s="10" t="inlineStr">
        <is>
          <t>0</t>
        </is>
      </c>
    </row>
    <row r="728" ht="121" customHeight="1">
      <c r="A728" s="6">
        <f>IFERROR(__xludf.DUMMYFUNCTION("""COMPUTED_VALUE"""),"Electrical Circuits (Cooperative Jigsaw Scenario)")</f>
        <v/>
      </c>
      <c r="B728" s="6">
        <f>IFERROR(__xludf.DUMMYFUNCTION("""COMPUTED_VALUE"""),"Resource")</f>
        <v/>
      </c>
      <c r="C728" s="6">
        <f>IFERROR(__xludf.DUMMYFUNCTION("""COMPUTED_VALUE"""),"Types of Electrical Circuits")</f>
        <v/>
      </c>
      <c r="D728" s="7">
        <f>IFERROR(__xludf.DUMMYFUNCTION("""COMPUTED_VALUE"""),"&lt;p&gt;&lt;strong&gt;Step 2&lt;/strong&gt;&lt;/p&gt;&lt;p&gt;Watch the following video to learn more about the type of electrical circuits.&lt;/p&gt;")</f>
        <v/>
      </c>
      <c r="E728" s="7">
        <f>IFERROR(__xludf.DUMMYFUNCTION("""COMPUTED_VALUE"""),"youtube.com: A widely known video-sharing platform where users can watch videos on a vast array of topics, including educational content.")</f>
        <v/>
      </c>
      <c r="F728" s="7" t="inlineStr">
        <is>
          <t>Students were instructed on simple electrical circuits and used embedded artifacts like Golabz app and YouTube for learning.</t>
        </is>
      </c>
      <c r="G728" s="8" t="inlineStr">
        <is>
          <t>1</t>
        </is>
      </c>
      <c r="H728" s="8" t="inlineStr">
        <is>
          <t>0</t>
        </is>
      </c>
      <c r="I728" s="8" t="inlineStr">
        <is>
          <t>0</t>
        </is>
      </c>
      <c r="J728" s="8" t="inlineStr">
        <is>
          <t>0</t>
        </is>
      </c>
      <c r="K728" s="9" t="inlineStr">
        <is>
          <t>1</t>
        </is>
      </c>
      <c r="L728" s="9" t="inlineStr">
        <is>
          <t>0</t>
        </is>
      </c>
      <c r="M728" s="9" t="inlineStr">
        <is>
          <t>0</t>
        </is>
      </c>
      <c r="N728" s="9" t="inlineStr">
        <is>
          <t>0</t>
        </is>
      </c>
      <c r="O728" s="10" t="inlineStr">
        <is>
          <t>1</t>
        </is>
      </c>
      <c r="P728" s="10" t="inlineStr">
        <is>
          <t>0</t>
        </is>
      </c>
      <c r="Q728" s="10" t="inlineStr">
        <is>
          <t>0</t>
        </is>
      </c>
      <c r="R728" s="10" t="inlineStr">
        <is>
          <t>0</t>
        </is>
      </c>
      <c r="S728" s="10" t="inlineStr">
        <is>
          <t>0</t>
        </is>
      </c>
    </row>
    <row r="729" ht="409.5" customHeight="1">
      <c r="A729" s="6">
        <f>IFERROR(__xludf.DUMMYFUNCTION("""COMPUTED_VALUE"""),"Electrical Circuits (Cooperative Jigsaw Scenario)")</f>
        <v/>
      </c>
      <c r="B729" s="6">
        <f>IFERROR(__xludf.DUMMYFUNCTION("""COMPUTED_VALUE"""),"Application")</f>
        <v/>
      </c>
      <c r="C729" s="6">
        <f>IFERROR(__xludf.DUMMYFUNCTION("""COMPUTED_VALUE"""),"Electrical Circuit Lab")</f>
        <v/>
      </c>
      <c r="D729" s="7">
        <f>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
      </c>
      <c r="E729"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29" s="7" t="inlineStr">
        <is>
          <t>Instructions: Create simple electrical circuits. Artifacts: video, virtual lab (Golabz app).</t>
        </is>
      </c>
      <c r="G729" s="8" t="inlineStr">
        <is>
          <t>0</t>
        </is>
      </c>
      <c r="H729" s="8" t="inlineStr">
        <is>
          <t>1</t>
        </is>
      </c>
      <c r="I729" s="8" t="inlineStr">
        <is>
          <t>1</t>
        </is>
      </c>
      <c r="J729" s="8" t="inlineStr">
        <is>
          <t>1</t>
        </is>
      </c>
      <c r="K729" s="9" t="inlineStr">
        <is>
          <t>0</t>
        </is>
      </c>
      <c r="L729" s="9" t="inlineStr">
        <is>
          <t>0</t>
        </is>
      </c>
      <c r="M729" s="9" t="inlineStr">
        <is>
          <t>0</t>
        </is>
      </c>
      <c r="N729" s="9" t="inlineStr">
        <is>
          <t>1</t>
        </is>
      </c>
      <c r="O729" s="10" t="inlineStr">
        <is>
          <t>0</t>
        </is>
      </c>
      <c r="P729" s="10" t="inlineStr">
        <is>
          <t>0</t>
        </is>
      </c>
      <c r="Q729" s="10" t="inlineStr">
        <is>
          <t>1</t>
        </is>
      </c>
      <c r="R729" s="10" t="inlineStr">
        <is>
          <t>0</t>
        </is>
      </c>
      <c r="S729" s="10" t="inlineStr">
        <is>
          <t>0</t>
        </is>
      </c>
    </row>
    <row r="730" ht="145" customHeight="1">
      <c r="A730" s="6">
        <f>IFERROR(__xludf.DUMMYFUNCTION("""COMPUTED_VALUE"""),"Electrical Circuits (Cooperative Jigsaw Scenario)")</f>
        <v/>
      </c>
      <c r="B730" s="6">
        <f>IFERROR(__xludf.DUMMYFUNCTION("""COMPUTED_VALUE"""),"Resource")</f>
        <v/>
      </c>
      <c r="C730" s="6">
        <f>IFERROR(__xludf.DUMMYFUNCTION("""COMPUTED_VALUE"""),"End of the phase.graasp")</f>
        <v/>
      </c>
      <c r="D730" s="7">
        <f>IFERROR(__xludf.DUMMYFUNCTION("""COMPUTED_VALUE"""),"&lt;p style=""text-align: center;""&gt;&lt;strong&gt;If all the members of your group are familiar with the Electrical circuit lab then move to the next phase.&lt;/strong&gt;&lt;/p&gt;")</f>
        <v/>
      </c>
      <c r="E730" s="7">
        <f>IFERROR(__xludf.DUMMYFUNCTION("""COMPUTED_VALUE"""),"No artifact embedded")</f>
        <v/>
      </c>
      <c r="F730" s="7" t="inlineStr">
        <is>
          <t>Students watch a video, conduct experiments on electrical circuits using Golabz app/lab, and create circuits in collaboration with peers.</t>
        </is>
      </c>
      <c r="G730" s="8" t="inlineStr">
        <is>
          <t>0</t>
        </is>
      </c>
      <c r="H730" s="8" t="inlineStr">
        <is>
          <t>0</t>
        </is>
      </c>
      <c r="I730" s="8" t="inlineStr">
        <is>
          <t>0</t>
        </is>
      </c>
      <c r="J730" s="8" t="inlineStr">
        <is>
          <t>0</t>
        </is>
      </c>
      <c r="K730" s="9" t="inlineStr">
        <is>
          <t>0</t>
        </is>
      </c>
      <c r="L730" s="9" t="inlineStr">
        <is>
          <t>0</t>
        </is>
      </c>
      <c r="M730" s="9" t="inlineStr">
        <is>
          <t>0</t>
        </is>
      </c>
      <c r="N730" s="9" t="inlineStr">
        <is>
          <t>0</t>
        </is>
      </c>
      <c r="O730" s="10" t="inlineStr">
        <is>
          <t>0</t>
        </is>
      </c>
      <c r="P730" s="10" t="inlineStr">
        <is>
          <t>0</t>
        </is>
      </c>
      <c r="Q730" s="10" t="inlineStr">
        <is>
          <t>0</t>
        </is>
      </c>
      <c r="R730" s="10" t="inlineStr">
        <is>
          <t>0</t>
        </is>
      </c>
      <c r="S730" s="10" t="inlineStr">
        <is>
          <t>0</t>
        </is>
      </c>
    </row>
    <row r="731" ht="409.5" customHeight="1">
      <c r="A731" s="6">
        <f>IFERROR(__xludf.DUMMYFUNCTION("""COMPUTED_VALUE"""),"Electrical Circuits (Cooperative Jigsaw Scenario)")</f>
        <v/>
      </c>
      <c r="B731" s="6">
        <f>IFERROR(__xludf.DUMMYFUNCTION("""COMPUTED_VALUE"""),"Space")</f>
        <v/>
      </c>
      <c r="C731" s="6">
        <f>IFERROR(__xludf.DUMMYFUNCTION("""COMPUTED_VALUE"""),"Hypothesis")</f>
        <v/>
      </c>
      <c r="D731" s="7">
        <f>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
      </c>
      <c r="E731" s="7">
        <f>IFERROR(__xludf.DUMMYFUNCTION("""COMPUTED_VALUE"""),"No artifact embedded")</f>
        <v/>
      </c>
      <c r="F731" s="7" t="inlineStr">
        <is>
          <t>Students create circuits, conduct experiments, and formulate hypotheses in collaboration with peers using the Golabz app's Electrical Circuit Lab.</t>
        </is>
      </c>
      <c r="G731" s="8" t="inlineStr">
        <is>
          <t>0</t>
        </is>
      </c>
      <c r="H731" s="8" t="inlineStr">
        <is>
          <t>0</t>
        </is>
      </c>
      <c r="I731" s="8" t="inlineStr">
        <is>
          <t>0</t>
        </is>
      </c>
      <c r="J731" s="8" t="inlineStr">
        <is>
          <t>1</t>
        </is>
      </c>
      <c r="K731" s="9" t="inlineStr">
        <is>
          <t>0</t>
        </is>
      </c>
      <c r="L731" s="9" t="inlineStr">
        <is>
          <t>0</t>
        </is>
      </c>
      <c r="M731" s="9" t="inlineStr">
        <is>
          <t>1</t>
        </is>
      </c>
      <c r="N731" s="9" t="inlineStr">
        <is>
          <t>1</t>
        </is>
      </c>
      <c r="O731" s="10" t="inlineStr">
        <is>
          <t>0</t>
        </is>
      </c>
      <c r="P731" s="10" t="inlineStr">
        <is>
          <t>1</t>
        </is>
      </c>
      <c r="Q731" s="10" t="inlineStr">
        <is>
          <t>0</t>
        </is>
      </c>
      <c r="R731" s="10" t="inlineStr">
        <is>
          <t>0</t>
        </is>
      </c>
      <c r="S731" s="10" t="inlineStr">
        <is>
          <t>1</t>
        </is>
      </c>
    </row>
    <row r="732" ht="362" customHeight="1">
      <c r="A732" s="6">
        <f>IFERROR(__xludf.DUMMYFUNCTION("""COMPUTED_VALUE"""),"Electrical Circuits (Cooperative Jigsaw Scenario)")</f>
        <v/>
      </c>
      <c r="B732" s="6">
        <f>IFERROR(__xludf.DUMMYFUNCTION("""COMPUTED_VALUE"""),"Application")</f>
        <v/>
      </c>
      <c r="C732" s="6">
        <f>IFERROR(__xludf.DUMMYFUNCTION("""COMPUTED_VALUE"""),"Input Box")</f>
        <v/>
      </c>
      <c r="D732" s="7">
        <f>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
      </c>
      <c r="E7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32" s="7" t="inlineStr">
        <is>
          <t>Students discuss electrical circuits, formulate hypotheses, and take notes using the Golabz app/lab, with no embedded artifacts in Items 1 and 2.</t>
        </is>
      </c>
      <c r="G732" s="8" t="inlineStr">
        <is>
          <t>0</t>
        </is>
      </c>
      <c r="H732" s="8" t="inlineStr">
        <is>
          <t>1</t>
        </is>
      </c>
      <c r="I732" s="8" t="inlineStr">
        <is>
          <t>1</t>
        </is>
      </c>
      <c r="J732" s="8" t="inlineStr">
        <is>
          <t>1</t>
        </is>
      </c>
      <c r="K732" s="9" t="inlineStr">
        <is>
          <t>0</t>
        </is>
      </c>
      <c r="L732" s="9" t="inlineStr">
        <is>
          <t>1</t>
        </is>
      </c>
      <c r="M732" s="9" t="inlineStr">
        <is>
          <t>1</t>
        </is>
      </c>
      <c r="N732" s="9" t="inlineStr">
        <is>
          <t>1</t>
        </is>
      </c>
      <c r="O732" s="10" t="inlineStr">
        <is>
          <t>0</t>
        </is>
      </c>
      <c r="P732" s="10" t="inlineStr">
        <is>
          <t>1</t>
        </is>
      </c>
      <c r="Q732" s="10" t="inlineStr">
        <is>
          <t>0</t>
        </is>
      </c>
      <c r="R732" s="10" t="inlineStr">
        <is>
          <t>0</t>
        </is>
      </c>
      <c r="S732" s="10" t="inlineStr">
        <is>
          <t>1</t>
        </is>
      </c>
    </row>
    <row r="733" ht="409.5" customHeight="1">
      <c r="A733" s="6">
        <f>IFERROR(__xludf.DUMMYFUNCTION("""COMPUTED_VALUE"""),"Electrical Circuits (Cooperative Jigsaw Scenario)")</f>
        <v/>
      </c>
      <c r="B733" s="6">
        <f>IFERROR(__xludf.DUMMYFUNCTION("""COMPUTED_VALUE"""),"Resource")</f>
        <v/>
      </c>
      <c r="C733" s="6">
        <f>IFERROR(__xludf.DUMMYFUNCTION("""COMPUTED_VALUE"""),"Table.graasp")</f>
        <v/>
      </c>
      <c r="D733" s="7">
        <f>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
      </c>
      <c r="E733" s="7">
        <f>IFERROR(__xludf.DUMMYFUNCTION("""COMPUTED_VALUE"""),"No artifact embedded")</f>
        <v/>
      </c>
      <c r="F733" s="7" t="inlineStr">
        <is>
          <t>Students discuss circuit-related questions, write down main concepts, and split tasks among group members, using tools like the Golabz app/lab for note-taking and collaboration.</t>
        </is>
      </c>
      <c r="G733" s="8" t="inlineStr">
        <is>
          <t>0</t>
        </is>
      </c>
      <c r="H733" s="8" t="inlineStr">
        <is>
          <t>0</t>
        </is>
      </c>
      <c r="I733" s="8" t="inlineStr">
        <is>
          <t>0</t>
        </is>
      </c>
      <c r="J733" s="8" t="inlineStr">
        <is>
          <t>1</t>
        </is>
      </c>
      <c r="K733" s="9" t="inlineStr">
        <is>
          <t>0</t>
        </is>
      </c>
      <c r="L733" s="9" t="inlineStr">
        <is>
          <t>0</t>
        </is>
      </c>
      <c r="M733" s="9" t="inlineStr">
        <is>
          <t>1</t>
        </is>
      </c>
      <c r="N733" s="9" t="inlineStr">
        <is>
          <t>1</t>
        </is>
      </c>
      <c r="O733" s="10" t="inlineStr">
        <is>
          <t>0</t>
        </is>
      </c>
      <c r="P733" s="10" t="inlineStr">
        <is>
          <t>0</t>
        </is>
      </c>
      <c r="Q733" s="10" t="inlineStr">
        <is>
          <t>0</t>
        </is>
      </c>
      <c r="R733" s="10" t="inlineStr">
        <is>
          <t>0</t>
        </is>
      </c>
      <c r="S733" s="10" t="inlineStr">
        <is>
          <t>1</t>
        </is>
      </c>
    </row>
    <row r="734" ht="409.5" customHeight="1">
      <c r="A734" s="6">
        <f>IFERROR(__xludf.DUMMYFUNCTION("""COMPUTED_VALUE"""),"Electrical Circuits (Cooperative Jigsaw Scenario)")</f>
        <v/>
      </c>
      <c r="B734" s="6">
        <f>IFERROR(__xludf.DUMMYFUNCTION("""COMPUTED_VALUE"""),"Resource")</f>
        <v/>
      </c>
      <c r="C734" s="6">
        <f>IFERROR(__xludf.DUMMYFUNCTION("""COMPUTED_VALUE"""),"Step 4.graasp")</f>
        <v/>
      </c>
      <c r="D734" s="7">
        <f>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
      </c>
      <c r="E734" s="7">
        <f>IFERROR(__xludf.DUMMYFUNCTION("""COMPUTED_VALUE"""),"No artifact embedded")</f>
        <v/>
      </c>
      <c r="F734" s="7" t="inlineStr">
        <is>
          <t>Students write main concepts related to electrical circuits and collaborate in groups to discuss tasks, formulate hypotheses, and communicate through online chat rooms and tools.</t>
        </is>
      </c>
      <c r="G734" s="8" t="inlineStr">
        <is>
          <t>0</t>
        </is>
      </c>
      <c r="H734" s="8" t="inlineStr">
        <is>
          <t>0</t>
        </is>
      </c>
      <c r="I734" s="8" t="inlineStr">
        <is>
          <t>1</t>
        </is>
      </c>
      <c r="J734" s="8" t="inlineStr">
        <is>
          <t>1</t>
        </is>
      </c>
      <c r="K734" s="9" t="inlineStr">
        <is>
          <t>0</t>
        </is>
      </c>
      <c r="L734" s="9" t="inlineStr">
        <is>
          <t>0</t>
        </is>
      </c>
      <c r="M734" s="9" t="inlineStr">
        <is>
          <t>1</t>
        </is>
      </c>
      <c r="N734" s="9" t="inlineStr">
        <is>
          <t>1</t>
        </is>
      </c>
      <c r="O734" s="10" t="inlineStr">
        <is>
          <t>0</t>
        </is>
      </c>
      <c r="P734" s="10" t="inlineStr">
        <is>
          <t>1</t>
        </is>
      </c>
      <c r="Q734" s="10" t="inlineStr">
        <is>
          <t>0</t>
        </is>
      </c>
      <c r="R734" s="10" t="inlineStr">
        <is>
          <t>0</t>
        </is>
      </c>
      <c r="S734" s="10" t="inlineStr">
        <is>
          <t>1</t>
        </is>
      </c>
    </row>
    <row r="735" ht="409.5" customHeight="1">
      <c r="A735" s="6">
        <f>IFERROR(__xludf.DUMMYFUNCTION("""COMPUTED_VALUE"""),"Electrical Circuits (Cooperative Jigsaw Scenario)")</f>
        <v/>
      </c>
      <c r="B735" s="6">
        <f>IFERROR(__xludf.DUMMYFUNCTION("""COMPUTED_VALUE"""),"Resource")</f>
        <v/>
      </c>
      <c r="C735" s="6">
        <f>IFERROR(__xludf.DUMMYFUNCTION("""COMPUTED_VALUE"""),"Help.graasp")</f>
        <v/>
      </c>
      <c r="D735" s="7">
        <f>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
      </c>
      <c r="E735" s="7">
        <f>IFERROR(__xludf.DUMMYFUNCTION("""COMPUTED_VALUE"""),"No artifact embedded")</f>
        <v/>
      </c>
      <c r="F735" s="7" t="inlineStr">
        <is>
          <t>Students are instructed to split tasks, collaborate online, and formulate hypotheses in expert groups using given tools, with no artifacts embedded.</t>
        </is>
      </c>
      <c r="G735" s="8" t="inlineStr">
        <is>
          <t>1</t>
        </is>
      </c>
      <c r="H735" s="8" t="inlineStr">
        <is>
          <t>0</t>
        </is>
      </c>
      <c r="I735" s="8" t="inlineStr">
        <is>
          <t>0</t>
        </is>
      </c>
      <c r="J735" s="8" t="inlineStr">
        <is>
          <t>0</t>
        </is>
      </c>
      <c r="K735" s="9" t="inlineStr">
        <is>
          <t>1</t>
        </is>
      </c>
      <c r="L735" s="9" t="inlineStr">
        <is>
          <t>0</t>
        </is>
      </c>
      <c r="M735" s="9" t="inlineStr">
        <is>
          <t>0</t>
        </is>
      </c>
      <c r="N735" s="9" t="inlineStr">
        <is>
          <t>0</t>
        </is>
      </c>
      <c r="O735" s="10" t="inlineStr">
        <is>
          <t>0</t>
        </is>
      </c>
      <c r="P735" s="10" t="inlineStr">
        <is>
          <t>1</t>
        </is>
      </c>
      <c r="Q735" s="10" t="inlineStr">
        <is>
          <t>0</t>
        </is>
      </c>
      <c r="R735" s="10" t="inlineStr">
        <is>
          <t>0</t>
        </is>
      </c>
      <c r="S735" s="10" t="inlineStr">
        <is>
          <t>0</t>
        </is>
      </c>
    </row>
    <row r="736" ht="409.5" customHeight="1">
      <c r="A736" s="6">
        <f>IFERROR(__xludf.DUMMYFUNCTION("""COMPUTED_VALUE"""),"Electrical Circuits (Cooperative Jigsaw Scenario)")</f>
        <v/>
      </c>
      <c r="B736" s="6">
        <f>IFERROR(__xludf.DUMMYFUNCTION("""COMPUTED_VALUE"""),"Application")</f>
        <v/>
      </c>
      <c r="C736" s="6">
        <f>IFERROR(__xludf.DUMMYFUNCTION("""COMPUTED_VALUE"""),"Hypothesis Scratchpad")</f>
        <v/>
      </c>
      <c r="D736" s="7">
        <f>IFERROR(__xludf.DUMMYFUNCTION("""COMPUTED_VALUE"""),"No task description")</f>
        <v/>
      </c>
      <c r="E73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36" s="7" t="inlineStr">
        <is>
          <t>Students discuss and formulate a hypothesis with group members using the Hypothesis tool, with help available. No artifacts are embedded in Items 1 and 2, but Item 3 has the Golabz app/lab's Hypothesis Scratchpad.</t>
        </is>
      </c>
      <c r="G736" s="8" t="inlineStr">
        <is>
          <t>0</t>
        </is>
      </c>
      <c r="H736" s="8" t="inlineStr">
        <is>
          <t>1</t>
        </is>
      </c>
      <c r="I736" s="8" t="inlineStr">
        <is>
          <t>1</t>
        </is>
      </c>
      <c r="J736" s="8" t="inlineStr">
        <is>
          <t>0</t>
        </is>
      </c>
      <c r="K736" s="9" t="inlineStr">
        <is>
          <t>0</t>
        </is>
      </c>
      <c r="L736" s="9" t="inlineStr">
        <is>
          <t>1</t>
        </is>
      </c>
      <c r="M736" s="9" t="inlineStr">
        <is>
          <t>1</t>
        </is>
      </c>
      <c r="N736" s="9" t="inlineStr">
        <is>
          <t>1</t>
        </is>
      </c>
      <c r="O736" s="10" t="inlineStr">
        <is>
          <t>0</t>
        </is>
      </c>
      <c r="P736" s="10" t="inlineStr">
        <is>
          <t>1</t>
        </is>
      </c>
      <c r="Q736" s="10" t="inlineStr">
        <is>
          <t>1</t>
        </is>
      </c>
      <c r="R736" s="10" t="inlineStr">
        <is>
          <t>0</t>
        </is>
      </c>
      <c r="S736" s="10" t="inlineStr">
        <is>
          <t>1</t>
        </is>
      </c>
    </row>
    <row r="737" ht="157" customHeight="1">
      <c r="A737" s="6">
        <f>IFERROR(__xludf.DUMMYFUNCTION("""COMPUTED_VALUE"""),"Electrical Circuits (Cooperative Jigsaw Scenario)")</f>
        <v/>
      </c>
      <c r="B737" s="6">
        <f>IFERROR(__xludf.DUMMYFUNCTION("""COMPUTED_VALUE"""),"Resource")</f>
        <v/>
      </c>
      <c r="C737" s="6">
        <f>IFERROR(__xludf.DUMMYFUNCTION("""COMPUTED_VALUE"""),"End of the phase.graasp")</f>
        <v/>
      </c>
      <c r="D737" s="7">
        <f>IFERROR(__xludf.DUMMYFUNCTION("""COMPUTED_VALUE"""),"&lt;p style=""text-align: center;""&gt;&lt;strong&gt;If you formulated your expert group hypothesis, move to the next phase to continue your expert group work.&lt;/strong&gt;&lt;/p&gt;")</f>
        <v/>
      </c>
      <c r="E737" s="7">
        <f>IFERROR(__xludf.DUMMYFUNCTION("""COMPUTED_VALUE"""),"No artifact embedded")</f>
        <v/>
      </c>
      <c r="F737" s="7" t="inlineStr">
        <is>
          <t>Students are instructed to formulate hypotheses using "If...then" statements and independent/dependent variables, with optional use of the Hypothesis Scratchpad tool.</t>
        </is>
      </c>
      <c r="G737" s="8" t="inlineStr">
        <is>
          <t>0</t>
        </is>
      </c>
      <c r="H737" s="8" t="inlineStr">
        <is>
          <t>0</t>
        </is>
      </c>
      <c r="I737" s="8" t="inlineStr">
        <is>
          <t>0</t>
        </is>
      </c>
      <c r="J737" s="8" t="inlineStr">
        <is>
          <t>0</t>
        </is>
      </c>
      <c r="K737" s="9" t="inlineStr">
        <is>
          <t>0</t>
        </is>
      </c>
      <c r="L737" s="9" t="inlineStr">
        <is>
          <t>0</t>
        </is>
      </c>
      <c r="M737" s="9" t="inlineStr">
        <is>
          <t>1</t>
        </is>
      </c>
      <c r="N737" s="9" t="inlineStr">
        <is>
          <t>1</t>
        </is>
      </c>
      <c r="O737" s="10" t="inlineStr">
        <is>
          <t>0</t>
        </is>
      </c>
      <c r="P737" s="10" t="inlineStr">
        <is>
          <t>0</t>
        </is>
      </c>
      <c r="Q737" s="10" t="inlineStr">
        <is>
          <t>0</t>
        </is>
      </c>
      <c r="R737" s="10" t="inlineStr">
        <is>
          <t>0</t>
        </is>
      </c>
      <c r="S737" s="10" t="inlineStr">
        <is>
          <t>0</t>
        </is>
      </c>
    </row>
    <row r="738" ht="263" customHeight="1">
      <c r="A738" s="6">
        <f>IFERROR(__xludf.DUMMYFUNCTION("""COMPUTED_VALUE"""),"Electrical Circuits (Cooperative Jigsaw Scenario)")</f>
        <v/>
      </c>
      <c r="B738" s="6">
        <f>IFERROR(__xludf.DUMMYFUNCTION("""COMPUTED_VALUE"""),"Space")</f>
        <v/>
      </c>
      <c r="C738" s="6">
        <f>IFERROR(__xludf.DUMMYFUNCTION("""COMPUTED_VALUE"""),"Experimentation")</f>
        <v/>
      </c>
      <c r="D738" s="7">
        <f>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
      </c>
      <c r="E738" s="7">
        <f>IFERROR(__xludf.DUMMYFUNCTION("""COMPUTED_VALUE"""),"No artifact embedded")</f>
        <v/>
      </c>
      <c r="F738" s="7" t="inlineStr">
        <is>
          <t>Students are guided through phases with minimal descriptions and artifacts, including a hypothesis-forming tool in Item1.</t>
        </is>
      </c>
      <c r="G738" s="8" t="inlineStr">
        <is>
          <t>0</t>
        </is>
      </c>
      <c r="H738" s="8" t="inlineStr">
        <is>
          <t>1</t>
        </is>
      </c>
      <c r="I738" s="8" t="inlineStr">
        <is>
          <t>0</t>
        </is>
      </c>
      <c r="J738" s="8" t="inlineStr">
        <is>
          <t>1</t>
        </is>
      </c>
      <c r="K738" s="9" t="inlineStr">
        <is>
          <t>0</t>
        </is>
      </c>
      <c r="L738" s="9" t="inlineStr">
        <is>
          <t>0</t>
        </is>
      </c>
      <c r="M738" s="9" t="inlineStr">
        <is>
          <t>1</t>
        </is>
      </c>
      <c r="N738" s="9" t="inlineStr">
        <is>
          <t>1</t>
        </is>
      </c>
      <c r="O738" s="10" t="inlineStr">
        <is>
          <t>0</t>
        </is>
      </c>
      <c r="P738" s="10" t="inlineStr">
        <is>
          <t>0</t>
        </is>
      </c>
      <c r="Q738" s="10" t="inlineStr">
        <is>
          <t>0</t>
        </is>
      </c>
      <c r="R738" s="10" t="inlineStr">
        <is>
          <t>0</t>
        </is>
      </c>
      <c r="S738" s="10" t="inlineStr">
        <is>
          <t>0</t>
        </is>
      </c>
    </row>
    <row r="739" ht="351" customHeight="1">
      <c r="A739" s="6">
        <f>IFERROR(__xludf.DUMMYFUNCTION("""COMPUTED_VALUE"""),"Electrical Circuits (Cooperative Jigsaw Scenario)")</f>
        <v/>
      </c>
      <c r="B739" s="6">
        <f>IFERROR(__xludf.DUMMYFUNCTION("""COMPUTED_VALUE"""),"Application")</f>
        <v/>
      </c>
      <c r="C739" s="6">
        <f>IFERROR(__xludf.DUMMYFUNCTION("""COMPUTED_VALUE"""),"Viewer")</f>
        <v/>
      </c>
      <c r="D739" s="7">
        <f>IFERROR(__xludf.DUMMYFUNCTION("""COMPUTED_VALUE"""),"&lt;p&gt;&lt;strong&gt;Step 1&lt;/strong&gt;&lt;/p&gt;&lt;p&gt;Below you can see your expert group hypothesis. Discuss with the members of your expert group about the experiment you need to carry out in order to test your hypothesis.&lt;/p&gt;")</f>
        <v/>
      </c>
      <c r="E739"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739" s="7" t="inlineStr">
        <is>
          <t>Students proceed with expert group work, testing hypotheses in a virtual lab, and discussing experiments. Embedded artifacts include a Golabz app/lab viewer.</t>
        </is>
      </c>
      <c r="G739" s="8" t="inlineStr">
        <is>
          <t>0</t>
        </is>
      </c>
      <c r="H739" s="8" t="inlineStr">
        <is>
          <t>1</t>
        </is>
      </c>
      <c r="I739" s="8" t="inlineStr">
        <is>
          <t>0</t>
        </is>
      </c>
      <c r="J739" s="8" t="inlineStr">
        <is>
          <t>1</t>
        </is>
      </c>
      <c r="K739" s="9" t="inlineStr">
        <is>
          <t>0</t>
        </is>
      </c>
      <c r="L739" s="9" t="inlineStr">
        <is>
          <t>0</t>
        </is>
      </c>
      <c r="M739" s="9" t="inlineStr">
        <is>
          <t>1</t>
        </is>
      </c>
      <c r="N739" s="9" t="inlineStr">
        <is>
          <t>1</t>
        </is>
      </c>
      <c r="O739" s="10" t="inlineStr">
        <is>
          <t>0</t>
        </is>
      </c>
      <c r="P739" s="10" t="inlineStr">
        <is>
          <t>1</t>
        </is>
      </c>
      <c r="Q739" s="10" t="inlineStr">
        <is>
          <t>1</t>
        </is>
      </c>
      <c r="R739" s="10" t="inlineStr">
        <is>
          <t>0</t>
        </is>
      </c>
      <c r="S739" s="10" t="inlineStr">
        <is>
          <t>1</t>
        </is>
      </c>
    </row>
    <row r="740" ht="409.5" customHeight="1">
      <c r="A740" s="6">
        <f>IFERROR(__xludf.DUMMYFUNCTION("""COMPUTED_VALUE"""),"Electrical Circuits (Cooperative Jigsaw Scenario)")</f>
        <v/>
      </c>
      <c r="B740" s="6">
        <f>IFERROR(__xludf.DUMMYFUNCTION("""COMPUTED_VALUE"""),"Application")</f>
        <v/>
      </c>
      <c r="C740" s="6">
        <f>IFERROR(__xludf.DUMMYFUNCTION("""COMPUTED_VALUE"""),"Experiment Design Tool")</f>
        <v/>
      </c>
      <c r="D740" s="7">
        <f>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
      </c>
      <c r="E740"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740" s="7" t="inlineStr">
        <is>
          <t>Students test their hypothesis in a virtual lab, collaborating with group members and using online communication tools. Embedded artifacts include Golabz apps for experiment design and data analysis.</t>
        </is>
      </c>
      <c r="G740" s="8" t="inlineStr">
        <is>
          <t>0</t>
        </is>
      </c>
      <c r="H740" s="8" t="inlineStr">
        <is>
          <t>1</t>
        </is>
      </c>
      <c r="I740" s="8" t="inlineStr">
        <is>
          <t>0</t>
        </is>
      </c>
      <c r="J740" s="8" t="inlineStr">
        <is>
          <t>1</t>
        </is>
      </c>
      <c r="K740" s="9" t="inlineStr">
        <is>
          <t>0</t>
        </is>
      </c>
      <c r="L740" s="9" t="inlineStr">
        <is>
          <t>0</t>
        </is>
      </c>
      <c r="M740" s="9" t="inlineStr">
        <is>
          <t>0</t>
        </is>
      </c>
      <c r="N740" s="9" t="inlineStr">
        <is>
          <t>0</t>
        </is>
      </c>
      <c r="O740" s="10" t="inlineStr">
        <is>
          <t>0</t>
        </is>
      </c>
      <c r="P740" s="10" t="inlineStr">
        <is>
          <t>1</t>
        </is>
      </c>
      <c r="Q740" s="10" t="inlineStr">
        <is>
          <t>1</t>
        </is>
      </c>
      <c r="R740" s="10" t="inlineStr">
        <is>
          <t>0</t>
        </is>
      </c>
      <c r="S740" s="10" t="inlineStr">
        <is>
          <t>0</t>
        </is>
      </c>
    </row>
    <row r="741" ht="409.5" customHeight="1">
      <c r="A741" s="6">
        <f>IFERROR(__xludf.DUMMYFUNCTION("""COMPUTED_VALUE"""),"Electrical Circuits (Cooperative Jigsaw Scenario)")</f>
        <v/>
      </c>
      <c r="B741" s="6">
        <f>IFERROR(__xludf.DUMMYFUNCTION("""COMPUTED_VALUE"""),"Application")</f>
        <v/>
      </c>
      <c r="C741" s="6">
        <f>IFERROR(__xludf.DUMMYFUNCTION("""COMPUTED_VALUE"""),"Electrical Circuit Lab")</f>
        <v/>
      </c>
      <c r="D741" s="7">
        <f>IFERROR(__xludf.DUMMYFUNCTION("""COMPUTED_VALUE"""),"&lt;p&gt;&lt;strong&gt;Step 3&lt;/strong&gt;&lt;/p&gt;&lt;p&gt;Once you complete the design of your experiment use the virtual lab. Meanwhile, discuss with the experts about your observations and measurements.&lt;/p&gt;")</f>
        <v/>
      </c>
      <c r="E741"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41" s="7" t="inlineStr">
        <is>
          <t>Students discuss and design experiments using tools like concept mapper, experiment design tool, and virtual lab, with embedded artifacts from Golabz app/lab.</t>
        </is>
      </c>
      <c r="G741" s="8" t="inlineStr">
        <is>
          <t>0</t>
        </is>
      </c>
      <c r="H741" s="8" t="inlineStr">
        <is>
          <t>1</t>
        </is>
      </c>
      <c r="I741" s="8" t="inlineStr">
        <is>
          <t>1</t>
        </is>
      </c>
      <c r="J741" s="8" t="inlineStr">
        <is>
          <t>1</t>
        </is>
      </c>
      <c r="K741" s="9" t="inlineStr">
        <is>
          <t>0</t>
        </is>
      </c>
      <c r="L741" s="9" t="inlineStr">
        <is>
          <t>1</t>
        </is>
      </c>
      <c r="M741" s="9" t="inlineStr">
        <is>
          <t>1</t>
        </is>
      </c>
      <c r="N741" s="9" t="inlineStr">
        <is>
          <t>0</t>
        </is>
      </c>
      <c r="O741" s="10" t="inlineStr">
        <is>
          <t>0</t>
        </is>
      </c>
      <c r="P741" s="10" t="inlineStr">
        <is>
          <t>0</t>
        </is>
      </c>
      <c r="Q741" s="10" t="inlineStr">
        <is>
          <t>1</t>
        </is>
      </c>
      <c r="R741" s="10" t="inlineStr">
        <is>
          <t>1</t>
        </is>
      </c>
      <c r="S741" s="10" t="inlineStr">
        <is>
          <t>1</t>
        </is>
      </c>
    </row>
    <row r="742" ht="229" customHeight="1">
      <c r="A742" s="6">
        <f>IFERROR(__xludf.DUMMYFUNCTION("""COMPUTED_VALUE"""),"Electrical Circuits (Cooperative Jigsaw Scenario)")</f>
        <v/>
      </c>
      <c r="B742" s="6">
        <f>IFERROR(__xludf.DUMMYFUNCTION("""COMPUTED_VALUE"""),"Resource")</f>
        <v/>
      </c>
      <c r="C742" s="6">
        <f>IFERROR(__xludf.DUMMYFUNCTION("""COMPUTED_VALUE"""),"End of phase.graasp")</f>
        <v/>
      </c>
      <c r="D742" s="7">
        <f>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
      </c>
      <c r="E742" s="7">
        <f>IFERROR(__xludf.DUMMYFUNCTION("""COMPUTED_VALUE"""),"No artifact embedded")</f>
        <v/>
      </c>
      <c r="F742" s="7" t="inlineStr">
        <is>
          <t>Students design experiments, record values, and analyze results using tools like Experiment Design Tool and Electrical Circuit Lab, following step-by-step instructions and expert collaboration.</t>
        </is>
      </c>
      <c r="G742" s="8" t="inlineStr">
        <is>
          <t>0</t>
        </is>
      </c>
      <c r="H742" s="8" t="inlineStr">
        <is>
          <t>0</t>
        </is>
      </c>
      <c r="I742" s="8" t="inlineStr">
        <is>
          <t>0</t>
        </is>
      </c>
      <c r="J742" s="8" t="inlineStr">
        <is>
          <t>0</t>
        </is>
      </c>
      <c r="K742" s="9" t="inlineStr">
        <is>
          <t>0</t>
        </is>
      </c>
      <c r="L742" s="9" t="inlineStr">
        <is>
          <t>0</t>
        </is>
      </c>
      <c r="M742" s="9" t="inlineStr">
        <is>
          <t>1</t>
        </is>
      </c>
      <c r="N742" s="9" t="inlineStr">
        <is>
          <t>1</t>
        </is>
      </c>
      <c r="O742" s="10" t="inlineStr">
        <is>
          <t>0</t>
        </is>
      </c>
      <c r="P742" s="10" t="inlineStr">
        <is>
          <t>0</t>
        </is>
      </c>
      <c r="Q742" s="10" t="inlineStr">
        <is>
          <t>0</t>
        </is>
      </c>
      <c r="R742" s="10" t="inlineStr">
        <is>
          <t>0</t>
        </is>
      </c>
      <c r="S742" s="10" t="inlineStr">
        <is>
          <t>0</t>
        </is>
      </c>
    </row>
    <row r="743" ht="205" customHeight="1">
      <c r="A743" s="6">
        <f>IFERROR(__xludf.DUMMYFUNCTION("""COMPUTED_VALUE"""),"Electrical Circuits (Cooperative Jigsaw Scenario)")</f>
        <v/>
      </c>
      <c r="B743" s="6">
        <f>IFERROR(__xludf.DUMMYFUNCTION("""COMPUTED_VALUE"""),"Space")</f>
        <v/>
      </c>
      <c r="C743" s="6">
        <f>IFERROR(__xludf.DUMMYFUNCTION("""COMPUTED_VALUE"""),"Data Interpretation")</f>
        <v/>
      </c>
      <c r="D743" s="7">
        <f>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
      </c>
      <c r="E743" s="7">
        <f>IFERROR(__xludf.DUMMYFUNCTION("""COMPUTED_VALUE"""),"No artifact embedded")</f>
        <v/>
      </c>
      <c r="F743" s="7" t="inlineStr">
        <is>
          <t>Students design experiments, use virtual labs (Golabz app), collect data, analyze results, and discuss findings with experts, following a structured process with specific tasks and tools.</t>
        </is>
      </c>
      <c r="G743" s="8" t="inlineStr">
        <is>
          <t>0</t>
        </is>
      </c>
      <c r="H743" s="8" t="inlineStr">
        <is>
          <t>0</t>
        </is>
      </c>
      <c r="I743" s="8" t="inlineStr">
        <is>
          <t>0</t>
        </is>
      </c>
      <c r="J743" s="8" t="inlineStr">
        <is>
          <t>1</t>
        </is>
      </c>
      <c r="K743" s="9" t="inlineStr">
        <is>
          <t>0</t>
        </is>
      </c>
      <c r="L743" s="9" t="inlineStr">
        <is>
          <t>0</t>
        </is>
      </c>
      <c r="M743" s="9" t="inlineStr">
        <is>
          <t>0</t>
        </is>
      </c>
      <c r="N743" s="9" t="inlineStr">
        <is>
          <t>1</t>
        </is>
      </c>
      <c r="O743" s="10" t="inlineStr">
        <is>
          <t>0</t>
        </is>
      </c>
      <c r="P743" s="10" t="inlineStr">
        <is>
          <t>0</t>
        </is>
      </c>
      <c r="Q743" s="10" t="inlineStr">
        <is>
          <t>0</t>
        </is>
      </c>
      <c r="R743" s="10" t="inlineStr">
        <is>
          <t>0</t>
        </is>
      </c>
      <c r="S743" s="10" t="inlineStr">
        <is>
          <t>1</t>
        </is>
      </c>
    </row>
    <row r="744" ht="409.5" customHeight="1">
      <c r="A744" s="6">
        <f>IFERROR(__xludf.DUMMYFUNCTION("""COMPUTED_VALUE"""),"Electrical Circuits (Cooperative Jigsaw Scenario)")</f>
        <v/>
      </c>
      <c r="B744" s="6">
        <f>IFERROR(__xludf.DUMMYFUNCTION("""COMPUTED_VALUE"""),"Application")</f>
        <v/>
      </c>
      <c r="C744" s="6">
        <f>IFERROR(__xludf.DUMMYFUNCTION("""COMPUTED_VALUE"""),"Data Viewer")</f>
        <v/>
      </c>
      <c r="D744" s="7">
        <f>IFERROR(__xludf.DUMMYFUNCTION("""COMPUTED_VALUE"""),"&lt;p&gt;&lt;strong&gt;Step 1&lt;/strong&gt;&lt;/p&gt;&lt;p&gt;Load your data in the tool below and drag and drop the dependent variable in the vertical axis and the independent variable in the horizontal axis to create a line chart.&lt;/p&gt;")</f>
        <v/>
      </c>
      <c r="E744"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744" s="7" t="inlineStr">
        <is>
          <t>Students follow 3 tasks: data collection, graph creation, and data visualization using Golabz app. No artifacts are embedded in items 1 and 2.</t>
        </is>
      </c>
      <c r="G744" s="8" t="inlineStr">
        <is>
          <t>0</t>
        </is>
      </c>
      <c r="H744" s="8" t="inlineStr">
        <is>
          <t>1</t>
        </is>
      </c>
      <c r="I744" s="8" t="inlineStr">
        <is>
          <t>1</t>
        </is>
      </c>
      <c r="J744" s="8" t="inlineStr">
        <is>
          <t>1</t>
        </is>
      </c>
      <c r="K744" s="9" t="inlineStr">
        <is>
          <t>0</t>
        </is>
      </c>
      <c r="L744" s="9" t="inlineStr">
        <is>
          <t>1</t>
        </is>
      </c>
      <c r="M744" s="9" t="inlineStr">
        <is>
          <t>0</t>
        </is>
      </c>
      <c r="N744" s="9" t="inlineStr">
        <is>
          <t>0</t>
        </is>
      </c>
      <c r="O744" s="10" t="inlineStr">
        <is>
          <t>0</t>
        </is>
      </c>
      <c r="P744" s="10" t="inlineStr">
        <is>
          <t>0</t>
        </is>
      </c>
      <c r="Q744" s="10" t="inlineStr">
        <is>
          <t>1</t>
        </is>
      </c>
      <c r="R744" s="10" t="inlineStr">
        <is>
          <t>0</t>
        </is>
      </c>
      <c r="S744" s="10" t="inlineStr">
        <is>
          <t>0</t>
        </is>
      </c>
    </row>
    <row r="745" ht="193" customHeight="1">
      <c r="A745" s="6">
        <f>IFERROR(__xludf.DUMMYFUNCTION("""COMPUTED_VALUE"""),"Electrical Circuits (Cooperative Jigsaw Scenario)")</f>
        <v/>
      </c>
      <c r="B745" s="6">
        <f>IFERROR(__xludf.DUMMYFUNCTION("""COMPUTED_VALUE"""),"Resource")</f>
        <v/>
      </c>
      <c r="C745" s="6">
        <f>IFERROR(__xludf.DUMMYFUNCTION("""COMPUTED_VALUE"""),"Step 2.graasp")</f>
        <v/>
      </c>
      <c r="D745" s="7">
        <f>IFERROR(__xludf.DUMMYFUNCTION("""COMPUTED_VALUE"""),"&lt;p&gt;&lt;strong&gt;Step 2&lt;/strong&gt;&lt;/p&gt;&lt;p&gt;Use the communication tool to discuss about the relation between the two variables, the dependent and the independent. What will happen if the independent variable continues to increase?&lt;/p&gt;")</f>
        <v/>
      </c>
      <c r="E745" s="7">
        <f>IFERROR(__xludf.DUMMYFUNCTION("""COMPUTED_VALUE"""),"No artifact embedded")</f>
        <v/>
      </c>
      <c r="F745" s="7" t="inlineStr">
        <is>
          <t>Students create a graph, discuss relations between variables, and use tools like Golabz app/lab for data visualization and collaboration.</t>
        </is>
      </c>
      <c r="G745" s="8" t="inlineStr">
        <is>
          <t>0</t>
        </is>
      </c>
      <c r="H745" s="8" t="inlineStr">
        <is>
          <t>0</t>
        </is>
      </c>
      <c r="I745" s="8" t="inlineStr">
        <is>
          <t>0</t>
        </is>
      </c>
      <c r="J745" s="8" t="inlineStr">
        <is>
          <t>1</t>
        </is>
      </c>
      <c r="K745" s="9" t="inlineStr">
        <is>
          <t>0</t>
        </is>
      </c>
      <c r="L745" s="9" t="inlineStr">
        <is>
          <t>0</t>
        </is>
      </c>
      <c r="M745" s="9" t="inlineStr">
        <is>
          <t>1</t>
        </is>
      </c>
      <c r="N745" s="9" t="inlineStr">
        <is>
          <t>0</t>
        </is>
      </c>
      <c r="O745" s="10" t="inlineStr">
        <is>
          <t>0</t>
        </is>
      </c>
      <c r="P745" s="10" t="inlineStr">
        <is>
          <t>1</t>
        </is>
      </c>
      <c r="Q745" s="10" t="inlineStr">
        <is>
          <t>1</t>
        </is>
      </c>
      <c r="R745" s="10" t="inlineStr">
        <is>
          <t>0</t>
        </is>
      </c>
      <c r="S745" s="10" t="inlineStr">
        <is>
          <t>1</t>
        </is>
      </c>
    </row>
    <row r="746" ht="145" customHeight="1">
      <c r="A746" s="6">
        <f>IFERROR(__xludf.DUMMYFUNCTION("""COMPUTED_VALUE"""),"Electrical Circuits (Cooperative Jigsaw Scenario)")</f>
        <v/>
      </c>
      <c r="B746" s="6">
        <f>IFERROR(__xludf.DUMMYFUNCTION("""COMPUTED_VALUE"""),"Resource")</f>
        <v/>
      </c>
      <c r="C746" s="6">
        <f>IFERROR(__xludf.DUMMYFUNCTION("""COMPUTED_VALUE"""),"End.graasp")</f>
        <v/>
      </c>
      <c r="D746" s="7">
        <f>IFERROR(__xludf.DUMMYFUNCTION("""COMPUTED_VALUE"""),"&lt;p style=""text-align: center;""&gt;&lt;strong&gt;If the relation between the variables that you have investigated is clear, you can move to the next phase.&lt;/strong&gt;&lt;/p&gt;")</f>
        <v/>
      </c>
      <c r="E746" s="7">
        <f>IFERROR(__xludf.DUMMYFUNCTION("""COMPUTED_VALUE"""),"No artifact embedded")</f>
        <v/>
      </c>
      <c r="F746" s="7" t="inlineStr">
        <is>
          <t>Students load data, create a line chart, and discuss variable relationships using tools like Golabz app/lab and a communication tool.</t>
        </is>
      </c>
      <c r="G746" s="8" t="inlineStr">
        <is>
          <t>0</t>
        </is>
      </c>
      <c r="H746" s="8" t="inlineStr">
        <is>
          <t>0</t>
        </is>
      </c>
      <c r="I746" s="8" t="inlineStr">
        <is>
          <t>0</t>
        </is>
      </c>
      <c r="J746" s="8" t="inlineStr">
        <is>
          <t>0</t>
        </is>
      </c>
      <c r="K746" s="9" t="inlineStr">
        <is>
          <t>1</t>
        </is>
      </c>
      <c r="L746" s="9" t="inlineStr">
        <is>
          <t>0</t>
        </is>
      </c>
      <c r="M746" s="9" t="inlineStr">
        <is>
          <t>0</t>
        </is>
      </c>
      <c r="N746" s="9" t="inlineStr">
        <is>
          <t>0</t>
        </is>
      </c>
      <c r="O746" s="10" t="inlineStr">
        <is>
          <t>0</t>
        </is>
      </c>
      <c r="P746" s="10" t="inlineStr">
        <is>
          <t>0</t>
        </is>
      </c>
      <c r="Q746" s="10" t="inlineStr">
        <is>
          <t>0</t>
        </is>
      </c>
      <c r="R746" s="10" t="inlineStr">
        <is>
          <t>0</t>
        </is>
      </c>
      <c r="S746" s="10" t="inlineStr">
        <is>
          <t>0</t>
        </is>
      </c>
    </row>
    <row r="747" ht="133" customHeight="1">
      <c r="A747" s="6">
        <f>IFERROR(__xludf.DUMMYFUNCTION("""COMPUTED_VALUE"""),"Electrical Circuits (Cooperative Jigsaw Scenario)")</f>
        <v/>
      </c>
      <c r="B747" s="6">
        <f>IFERROR(__xludf.DUMMYFUNCTION("""COMPUTED_VALUE"""),"Space")</f>
        <v/>
      </c>
      <c r="C747" s="6">
        <f>IFERROR(__xludf.DUMMYFUNCTION("""COMPUTED_VALUE"""),"Conclusion")</f>
        <v/>
      </c>
      <c r="D747" s="7">
        <f>IFERROR(__xludf.DUMMYFUNCTION("""COMPUTED_VALUE"""),"&lt;p&gt;Dear students, your expert group task is coming to the end. The last thing that you have to prepare is your &lt;strong&gt;expert’s conclusion&lt;/strong&gt;.&lt;/p&gt;")</f>
        <v/>
      </c>
      <c r="E747" s="7">
        <f>IFERROR(__xludf.DUMMYFUNCTION("""COMPUTED_VALUE"""),"No artifact embedded")</f>
        <v/>
      </c>
      <c r="F747" s="7" t="inlineStr">
        <is>
          <t>Students discuss variable relationships and create a conclusion with no embedded artifacts provided.</t>
        </is>
      </c>
      <c r="G747" s="8" t="inlineStr">
        <is>
          <t>0</t>
        </is>
      </c>
      <c r="H747" s="8" t="inlineStr">
        <is>
          <t>0</t>
        </is>
      </c>
      <c r="I747" s="8" t="inlineStr">
        <is>
          <t>1</t>
        </is>
      </c>
      <c r="J747" s="8" t="inlineStr">
        <is>
          <t>0</t>
        </is>
      </c>
      <c r="K747" s="9" t="inlineStr">
        <is>
          <t>0</t>
        </is>
      </c>
      <c r="L747" s="9" t="inlineStr">
        <is>
          <t>0</t>
        </is>
      </c>
      <c r="M747" s="9" t="inlineStr">
        <is>
          <t>0</t>
        </is>
      </c>
      <c r="N747" s="9" t="inlineStr">
        <is>
          <t>1</t>
        </is>
      </c>
      <c r="O747" s="10" t="inlineStr">
        <is>
          <t>0</t>
        </is>
      </c>
      <c r="P747" s="10" t="inlineStr">
        <is>
          <t>0</t>
        </is>
      </c>
      <c r="Q747" s="10" t="inlineStr">
        <is>
          <t>0</t>
        </is>
      </c>
      <c r="R747" s="10" t="inlineStr">
        <is>
          <t>0</t>
        </is>
      </c>
      <c r="S747" s="10" t="inlineStr">
        <is>
          <t>1</t>
        </is>
      </c>
    </row>
    <row r="748" ht="409.5" customHeight="1">
      <c r="A748" s="6">
        <f>IFERROR(__xludf.DUMMYFUNCTION("""COMPUTED_VALUE"""),"Electrical Circuits (Cooperative Jigsaw Scenario)")</f>
        <v/>
      </c>
      <c r="B748" s="6">
        <f>IFERROR(__xludf.DUMMYFUNCTION("""COMPUTED_VALUE"""),"Application")</f>
        <v/>
      </c>
      <c r="C748" s="6">
        <f>IFERROR(__xludf.DUMMYFUNCTION("""COMPUTED_VALUE"""),"Conclusion Tool")</f>
        <v/>
      </c>
      <c r="D748" s="7">
        <f>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
      </c>
      <c r="E748"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48" s="7" t="inlineStr">
        <is>
          <t>Students are instructed to review their work, elaborate on findings, and draw conclusions. Embedded artifacts include the Golabz app/lab for conclusion tool and hypothesis scratchpad.</t>
        </is>
      </c>
      <c r="G748" s="8" t="inlineStr">
        <is>
          <t>0</t>
        </is>
      </c>
      <c r="H748" s="8" t="inlineStr">
        <is>
          <t>1</t>
        </is>
      </c>
      <c r="I748" s="8" t="inlineStr">
        <is>
          <t>1</t>
        </is>
      </c>
      <c r="J748" s="8" t="inlineStr">
        <is>
          <t>1</t>
        </is>
      </c>
      <c r="K748" s="9" t="inlineStr">
        <is>
          <t>0</t>
        </is>
      </c>
      <c r="L748" s="9" t="inlineStr">
        <is>
          <t>0</t>
        </is>
      </c>
      <c r="M748" s="9" t="inlineStr">
        <is>
          <t>1</t>
        </is>
      </c>
      <c r="N748" s="9" t="inlineStr">
        <is>
          <t>0</t>
        </is>
      </c>
      <c r="O748" s="10" t="inlineStr">
        <is>
          <t>0</t>
        </is>
      </c>
      <c r="P748" s="10" t="inlineStr">
        <is>
          <t>1</t>
        </is>
      </c>
      <c r="Q748" s="10" t="inlineStr">
        <is>
          <t>0</t>
        </is>
      </c>
      <c r="R748" s="10" t="inlineStr">
        <is>
          <t>1</t>
        </is>
      </c>
      <c r="S748" s="10" t="inlineStr">
        <is>
          <t>1</t>
        </is>
      </c>
    </row>
    <row r="749" ht="181" customHeight="1">
      <c r="A749" s="6">
        <f>IFERROR(__xludf.DUMMYFUNCTION("""COMPUTED_VALUE"""),"Electrical Circuits (Cooperative Jigsaw Scenario)")</f>
        <v/>
      </c>
      <c r="B749" s="6">
        <f>IFERROR(__xludf.DUMMYFUNCTION("""COMPUTED_VALUE"""),"Resource")</f>
        <v/>
      </c>
      <c r="C749" s="6">
        <f>IFERROR(__xludf.DUMMYFUNCTION("""COMPUTED_VALUE"""),"Step 2.graasp")</f>
        <v/>
      </c>
      <c r="D749" s="7">
        <f>IFERROR(__xludf.DUMMYFUNCTION("""COMPUTED_VALUE"""),"&lt;p&gt;&lt;strong&gt;Step 2 &lt;/strong&gt;&lt;/p&gt;&lt;p&gt;It is time to thank your peers for your expert work! Moreover, if any of you have any doubt about the work done, this is the perfect time to discuss it in the communication tool. &lt;/p&gt;")</f>
        <v/>
      </c>
      <c r="E749" s="7">
        <f>IFERROR(__xludf.DUMMYFUNCTION("""COMPUTED_VALUE"""),"No artifact embedded")</f>
        <v/>
      </c>
      <c r="F749" s="7" t="inlineStr">
        <is>
          <t>Students complete expert tasks, using tools like Golabz app/lab to elaborate conclusions and discussing results with peers.</t>
        </is>
      </c>
      <c r="G749" s="8" t="inlineStr">
        <is>
          <t>0</t>
        </is>
      </c>
      <c r="H749" s="8" t="inlineStr">
        <is>
          <t>0</t>
        </is>
      </c>
      <c r="I749" s="8" t="inlineStr">
        <is>
          <t>0</t>
        </is>
      </c>
      <c r="J749" s="8" t="inlineStr">
        <is>
          <t>1</t>
        </is>
      </c>
      <c r="K749" s="9" t="inlineStr">
        <is>
          <t>0</t>
        </is>
      </c>
      <c r="L749" s="9" t="inlineStr">
        <is>
          <t>0</t>
        </is>
      </c>
      <c r="M749" s="9" t="inlineStr">
        <is>
          <t>1</t>
        </is>
      </c>
      <c r="N749" s="9" t="inlineStr">
        <is>
          <t>0</t>
        </is>
      </c>
      <c r="O749" s="10" t="inlineStr">
        <is>
          <t>0</t>
        </is>
      </c>
      <c r="P749" s="10" t="inlineStr">
        <is>
          <t>0</t>
        </is>
      </c>
      <c r="Q749" s="10" t="inlineStr">
        <is>
          <t>0</t>
        </is>
      </c>
      <c r="R749" s="10" t="inlineStr">
        <is>
          <t>0</t>
        </is>
      </c>
      <c r="S749" s="10" t="inlineStr">
        <is>
          <t>1</t>
        </is>
      </c>
    </row>
    <row r="750" ht="193" customHeight="1">
      <c r="A750" s="6">
        <f>IFERROR(__xludf.DUMMYFUNCTION("""COMPUTED_VALUE"""),"Electrical Circuits (Cooperative Jigsaw Scenario)")</f>
        <v/>
      </c>
      <c r="B750" s="6">
        <f>IFERROR(__xludf.DUMMYFUNCTION("""COMPUTED_VALUE"""),"Resource")</f>
        <v/>
      </c>
      <c r="C750" s="6">
        <f>IFERROR(__xludf.DUMMYFUNCTION("""COMPUTED_VALUE"""),"End of phase.graasp")</f>
        <v/>
      </c>
      <c r="D750" s="7">
        <f>IFERROR(__xludf.DUMMYFUNCTION("""COMPUTED_VALUE"""),"&lt;p style=""text-align: center;""&gt;&lt;strong&gt;This is the end of your expert investigation. Now you are ready to share what you have learned with the members of your initial group. To do so, move to next phase.&lt;/strong&gt;&lt;/p&gt;")</f>
        <v/>
      </c>
      <c r="E750" s="7">
        <f>IFERROR(__xludf.DUMMYFUNCTION("""COMPUTED_VALUE"""),"No artifact embedded")</f>
        <v/>
      </c>
      <c r="F750" s="7" t="inlineStr">
        <is>
          <t>Students use tools to review previous work, discuss conclusions, and thank peers, with embedded artifacts including the Golabz app/lab for hypothesis validation.</t>
        </is>
      </c>
      <c r="G750" s="8" t="inlineStr">
        <is>
          <t>0</t>
        </is>
      </c>
      <c r="H750" s="8" t="inlineStr">
        <is>
          <t>0</t>
        </is>
      </c>
      <c r="I750" s="8" t="inlineStr">
        <is>
          <t>0</t>
        </is>
      </c>
      <c r="J750" s="8" t="inlineStr">
        <is>
          <t>0</t>
        </is>
      </c>
      <c r="K750" s="9" t="inlineStr">
        <is>
          <t>0</t>
        </is>
      </c>
      <c r="L750" s="9" t="inlineStr">
        <is>
          <t>0</t>
        </is>
      </c>
      <c r="M750" s="9" t="inlineStr">
        <is>
          <t>1</t>
        </is>
      </c>
      <c r="N750" s="9" t="inlineStr">
        <is>
          <t>1</t>
        </is>
      </c>
      <c r="O750" s="10" t="inlineStr">
        <is>
          <t>0</t>
        </is>
      </c>
      <c r="P750" s="10" t="inlineStr">
        <is>
          <t>0</t>
        </is>
      </c>
      <c r="Q750" s="10" t="inlineStr">
        <is>
          <t>0</t>
        </is>
      </c>
      <c r="R750" s="10" t="inlineStr">
        <is>
          <t>0</t>
        </is>
      </c>
      <c r="S750" s="10" t="inlineStr">
        <is>
          <t>1</t>
        </is>
      </c>
    </row>
    <row r="751" ht="406" customHeight="1">
      <c r="A751" s="6">
        <f>IFERROR(__xludf.DUMMYFUNCTION("""COMPUTED_VALUE"""),"Electrical Circuits (Cooperative Jigsaw Scenario)")</f>
        <v/>
      </c>
      <c r="B751" s="6">
        <f>IFERROR(__xludf.DUMMYFUNCTION("""COMPUTED_VALUE"""),"Space")</f>
        <v/>
      </c>
      <c r="C751" s="6">
        <f>IFERROR(__xludf.DUMMYFUNCTION("""COMPUTED_VALUE"""),"Communication")</f>
        <v/>
      </c>
      <c r="D751" s="7">
        <f>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
      </c>
      <c r="E751" s="7">
        <f>IFERROR(__xludf.DUMMYFUNCTION("""COMPUTED_VALUE"""),"No artifact embedded")</f>
        <v/>
      </c>
      <c r="F751" s="7" t="inlineStr">
        <is>
          <t>Students are instructed to discuss and share findings with peers, with no artifacts embedded in items 1-3.</t>
        </is>
      </c>
      <c r="G751" s="8" t="inlineStr">
        <is>
          <t>0</t>
        </is>
      </c>
      <c r="H751" s="8" t="inlineStr">
        <is>
          <t>0</t>
        </is>
      </c>
      <c r="I751" s="8" t="inlineStr">
        <is>
          <t>0</t>
        </is>
      </c>
      <c r="J751" s="8" t="inlineStr">
        <is>
          <t>1</t>
        </is>
      </c>
      <c r="K751" s="9" t="inlineStr">
        <is>
          <t>0</t>
        </is>
      </c>
      <c r="L751" s="9" t="inlineStr">
        <is>
          <t>0</t>
        </is>
      </c>
      <c r="M751" s="9" t="inlineStr">
        <is>
          <t>1</t>
        </is>
      </c>
      <c r="N751" s="9" t="inlineStr">
        <is>
          <t>1</t>
        </is>
      </c>
      <c r="O751" s="10" t="inlineStr">
        <is>
          <t>0</t>
        </is>
      </c>
      <c r="P751" s="10" t="inlineStr">
        <is>
          <t>0</t>
        </is>
      </c>
      <c r="Q751" s="10" t="inlineStr">
        <is>
          <t>0</t>
        </is>
      </c>
      <c r="R751" s="10" t="inlineStr">
        <is>
          <t>1</t>
        </is>
      </c>
      <c r="S751" s="10" t="inlineStr">
        <is>
          <t>1</t>
        </is>
      </c>
    </row>
    <row r="752" ht="409.5" customHeight="1">
      <c r="A752" s="6">
        <f>IFERROR(__xludf.DUMMYFUNCTION("""COMPUTED_VALUE"""),"Electrical Circuits (Cooperative Jigsaw Scenario)")</f>
        <v/>
      </c>
      <c r="B752" s="6">
        <f>IFERROR(__xludf.DUMMYFUNCTION("""COMPUTED_VALUE"""),"Resource")</f>
        <v/>
      </c>
      <c r="C752" s="6">
        <f>IFERROR(__xludf.DUMMYFUNCTION("""COMPUTED_VALUE"""),"Step 1.graasp")</f>
        <v/>
      </c>
      <c r="D752" s="7">
        <f>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
      </c>
      <c r="E752" s="7">
        <f>IFERROR(__xludf.DUMMYFUNCTION("""COMPUTED_VALUE"""),"No artifact embedded")</f>
        <v/>
      </c>
      <c r="F752" s="7" t="inlineStr">
        <is>
          <t>Students share expert investigation findings with their group, discussing conclusions, procedures, and results, answering specific questions about hypotheses, variables, and data. No artifacts are embedded.</t>
        </is>
      </c>
      <c r="G752" s="8" t="inlineStr">
        <is>
          <t>0</t>
        </is>
      </c>
      <c r="H752" s="8" t="inlineStr">
        <is>
          <t>0</t>
        </is>
      </c>
      <c r="I752" s="8" t="inlineStr">
        <is>
          <t>1</t>
        </is>
      </c>
      <c r="J752" s="8" t="inlineStr">
        <is>
          <t>1</t>
        </is>
      </c>
      <c r="K752" s="9" t="inlineStr">
        <is>
          <t>0</t>
        </is>
      </c>
      <c r="L752" s="9" t="inlineStr">
        <is>
          <t>1</t>
        </is>
      </c>
      <c r="M752" s="9" t="inlineStr">
        <is>
          <t>0</t>
        </is>
      </c>
      <c r="N752" s="9" t="inlineStr">
        <is>
          <t>0</t>
        </is>
      </c>
      <c r="O752" s="10" t="inlineStr">
        <is>
          <t>0</t>
        </is>
      </c>
      <c r="P752" s="10" t="inlineStr">
        <is>
          <t>1</t>
        </is>
      </c>
      <c r="Q752" s="10" t="inlineStr">
        <is>
          <t>0</t>
        </is>
      </c>
      <c r="R752" s="10" t="inlineStr">
        <is>
          <t>1</t>
        </is>
      </c>
      <c r="S752" s="10" t="inlineStr">
        <is>
          <t>1</t>
        </is>
      </c>
    </row>
    <row r="753" ht="395" customHeight="1">
      <c r="A753" s="6">
        <f>IFERROR(__xludf.DUMMYFUNCTION("""COMPUTED_VALUE"""),"Electrical Circuits (Cooperative Jigsaw Scenario)")</f>
        <v/>
      </c>
      <c r="B753" s="6">
        <f>IFERROR(__xludf.DUMMYFUNCTION("""COMPUTED_VALUE"""),"Application")</f>
        <v/>
      </c>
      <c r="C753" s="6">
        <f>IFERROR(__xludf.DUMMYFUNCTION("""COMPUTED_VALUE"""),"Shared Wiki")</f>
        <v/>
      </c>
      <c r="D753" s="7">
        <f>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
      </c>
      <c r="E753"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753" s="7" t="inlineStr">
        <is>
          <t>Students discuss expert investigations, share conclusions, and create a group report using a collaborative tool (Golabz app). No artifacts are embedded in Items 1 and 2, but Item 3 uses the Golabz app.</t>
        </is>
      </c>
      <c r="G753" s="8" t="inlineStr">
        <is>
          <t>0</t>
        </is>
      </c>
      <c r="H753" s="8" t="inlineStr">
        <is>
          <t>0</t>
        </is>
      </c>
      <c r="I753" s="8" t="inlineStr">
        <is>
          <t>0</t>
        </is>
      </c>
      <c r="J753" s="8" t="inlineStr">
        <is>
          <t>1</t>
        </is>
      </c>
      <c r="K753" s="9" t="inlineStr">
        <is>
          <t>0</t>
        </is>
      </c>
      <c r="L753" s="9" t="inlineStr">
        <is>
          <t>0</t>
        </is>
      </c>
      <c r="M753" s="9" t="inlineStr">
        <is>
          <t>0</t>
        </is>
      </c>
      <c r="N753" s="9" t="inlineStr">
        <is>
          <t>1</t>
        </is>
      </c>
      <c r="O753" s="10" t="inlineStr">
        <is>
          <t>0</t>
        </is>
      </c>
      <c r="P753" s="10" t="inlineStr">
        <is>
          <t>0</t>
        </is>
      </c>
      <c r="Q753" s="10" t="inlineStr">
        <is>
          <t>0</t>
        </is>
      </c>
      <c r="R753" s="10" t="inlineStr">
        <is>
          <t>1</t>
        </is>
      </c>
      <c r="S753" s="10" t="inlineStr">
        <is>
          <t>1</t>
        </is>
      </c>
    </row>
    <row r="754" ht="121" customHeight="1">
      <c r="A754" s="6">
        <f>IFERROR(__xludf.DUMMYFUNCTION("""COMPUTED_VALUE"""),"Electrical Circuits (Cooperative Jigsaw Scenario)")</f>
        <v/>
      </c>
      <c r="B754" s="6">
        <f>IFERROR(__xludf.DUMMYFUNCTION("""COMPUTED_VALUE"""),"Resource")</f>
        <v/>
      </c>
      <c r="C754" s="6">
        <f>IFERROR(__xludf.DUMMYFUNCTION("""COMPUTED_VALUE"""),"End of the phase.graasp")</f>
        <v/>
      </c>
      <c r="D754" s="7">
        <f>IFERROR(__xludf.DUMMYFUNCTION("""COMPUTED_VALUE"""),"&lt;p style=""text-align: center;""&gt;&lt;strong&gt;Discuss with your teacher about your group report and then move to the last phase!&lt;/strong&gt;&lt;/p&gt;")</f>
        <v/>
      </c>
      <c r="E754" s="7">
        <f>IFERROR(__xludf.DUMMYFUNCTION("""COMPUTED_VALUE"""),"No artifact embedded")</f>
        <v/>
      </c>
      <c r="F754" s="7" t="inlineStr">
        <is>
          <t>Students were instructed to describe experiments, collaborate on reports, and discuss results. Embedded artifacts include a shared wiki app for collaborative editing.</t>
        </is>
      </c>
      <c r="G754" s="8" t="inlineStr">
        <is>
          <t>0</t>
        </is>
      </c>
      <c r="H754" s="8" t="inlineStr">
        <is>
          <t>0</t>
        </is>
      </c>
      <c r="I754" s="8" t="inlineStr">
        <is>
          <t>0</t>
        </is>
      </c>
      <c r="J754" s="8" t="inlineStr">
        <is>
          <t>1</t>
        </is>
      </c>
      <c r="K754" s="9" t="inlineStr">
        <is>
          <t>0</t>
        </is>
      </c>
      <c r="L754" s="9" t="inlineStr">
        <is>
          <t>0</t>
        </is>
      </c>
      <c r="M754" s="9" t="inlineStr">
        <is>
          <t>1</t>
        </is>
      </c>
      <c r="N754" s="9" t="inlineStr">
        <is>
          <t>0</t>
        </is>
      </c>
      <c r="O754" s="10" t="inlineStr">
        <is>
          <t>0</t>
        </is>
      </c>
      <c r="P754" s="10" t="inlineStr">
        <is>
          <t>0</t>
        </is>
      </c>
      <c r="Q754" s="10" t="inlineStr">
        <is>
          <t>0</t>
        </is>
      </c>
      <c r="R754" s="10" t="inlineStr">
        <is>
          <t>0</t>
        </is>
      </c>
      <c r="S754" s="10" t="inlineStr">
        <is>
          <t>1</t>
        </is>
      </c>
    </row>
    <row r="755" ht="409.5" customHeight="1">
      <c r="A755" s="6">
        <f>IFERROR(__xludf.DUMMYFUNCTION("""COMPUTED_VALUE"""),"Electrical Circuits (Cooperative Jigsaw Scenario)")</f>
        <v/>
      </c>
      <c r="B755" s="6">
        <f>IFERROR(__xludf.DUMMYFUNCTION("""COMPUTED_VALUE"""),"Space")</f>
        <v/>
      </c>
      <c r="C755" s="6">
        <f>IFERROR(__xludf.DUMMYFUNCTION("""COMPUTED_VALUE"""),"Reflection")</f>
        <v/>
      </c>
      <c r="D755" s="7">
        <f>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
      </c>
      <c r="E755" s="7">
        <f>IFERROR(__xludf.DUMMYFUNCTION("""COMPUTED_VALUE"""),"No artifact embedded")</f>
        <v/>
      </c>
      <c r="F755" s="7" t="inlineStr">
        <is>
          <t>Students collaborate on a report using Golabz app, then discuss with teacher, and finally reflect on group members' contributions.</t>
        </is>
      </c>
      <c r="G755" s="8" t="inlineStr">
        <is>
          <t>0</t>
        </is>
      </c>
      <c r="H755" s="8" t="inlineStr">
        <is>
          <t>0</t>
        </is>
      </c>
      <c r="I755" s="8" t="inlineStr">
        <is>
          <t>0</t>
        </is>
      </c>
      <c r="J755" s="8" t="inlineStr">
        <is>
          <t>0</t>
        </is>
      </c>
      <c r="K755" s="9" t="inlineStr">
        <is>
          <t>0</t>
        </is>
      </c>
      <c r="L755" s="9" t="inlineStr">
        <is>
          <t>0</t>
        </is>
      </c>
      <c r="M755" s="9" t="inlineStr">
        <is>
          <t>1</t>
        </is>
      </c>
      <c r="N755" s="9" t="inlineStr">
        <is>
          <t>0</t>
        </is>
      </c>
      <c r="O755" s="10" t="inlineStr">
        <is>
          <t>0</t>
        </is>
      </c>
      <c r="P755" s="10" t="inlineStr">
        <is>
          <t>0</t>
        </is>
      </c>
      <c r="Q755" s="10" t="inlineStr">
        <is>
          <t>0</t>
        </is>
      </c>
      <c r="R755" s="10" t="inlineStr">
        <is>
          <t>0</t>
        </is>
      </c>
      <c r="S755" s="10" t="inlineStr">
        <is>
          <t>1</t>
        </is>
      </c>
    </row>
    <row r="756" ht="329" customHeight="1">
      <c r="A756" s="6">
        <f>IFERROR(__xludf.DUMMYFUNCTION("""COMPUTED_VALUE"""),"Electrical Circuits (Cooperative Jigsaw Scenario)")</f>
        <v/>
      </c>
      <c r="B756" s="6">
        <f>IFERROR(__xludf.DUMMYFUNCTION("""COMPUTED_VALUE"""),"Application")</f>
        <v/>
      </c>
      <c r="C756" s="6">
        <f>IFERROR(__xludf.DUMMYFUNCTION("""COMPUTED_VALUE"""),"Activity Plot")</f>
        <v/>
      </c>
      <c r="D756" s="7">
        <f>IFERROR(__xludf.DUMMYFUNCTION("""COMPUTED_VALUE"""),"No task description")</f>
        <v/>
      </c>
      <c r="E756" s="7">
        <f>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
      </c>
      <c r="F756" s="7" t="inlineStr">
        <is>
          <t>Students discuss group reports, reflect on members' contributions, and analyze effort using an embedded tool showing action summaries.</t>
        </is>
      </c>
      <c r="G756" s="8" t="inlineStr">
        <is>
          <t>1</t>
        </is>
      </c>
      <c r="H756" s="8" t="inlineStr">
        <is>
          <t>1</t>
        </is>
      </c>
      <c r="I756" s="8" t="inlineStr">
        <is>
          <t>0</t>
        </is>
      </c>
      <c r="J756" s="8" t="inlineStr">
        <is>
          <t>1</t>
        </is>
      </c>
      <c r="K756" s="9" t="inlineStr">
        <is>
          <t>1</t>
        </is>
      </c>
      <c r="L756" s="9" t="inlineStr">
        <is>
          <t>0</t>
        </is>
      </c>
      <c r="M756" s="9" t="inlineStr">
        <is>
          <t>1</t>
        </is>
      </c>
      <c r="N756" s="9" t="inlineStr">
        <is>
          <t>0</t>
        </is>
      </c>
      <c r="O756" s="10" t="inlineStr">
        <is>
          <t>0</t>
        </is>
      </c>
      <c r="P756" s="10" t="inlineStr">
        <is>
          <t>0</t>
        </is>
      </c>
      <c r="Q756" s="10" t="inlineStr">
        <is>
          <t>0</t>
        </is>
      </c>
      <c r="R756" s="10" t="inlineStr">
        <is>
          <t>0</t>
        </is>
      </c>
      <c r="S756" s="10" t="inlineStr">
        <is>
          <t>1</t>
        </is>
      </c>
    </row>
    <row r="757" ht="241" customHeight="1">
      <c r="A757" s="6">
        <f>IFERROR(__xludf.DUMMYFUNCTION("""COMPUTED_VALUE"""),"Electrical Circuits (Cooperative Jigsaw Scenario)")</f>
        <v/>
      </c>
      <c r="B757" s="6">
        <f>IFERROR(__xludf.DUMMYFUNCTION("""COMPUTED_VALUE"""),"Application")</f>
        <v/>
      </c>
      <c r="C757" s="6">
        <f>IFERROR(__xludf.DUMMYFUNCTION("""COMPUTED_VALUE"""),"Quest")</f>
        <v/>
      </c>
      <c r="D757" s="7">
        <f>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
      </c>
      <c r="E757"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757" s="7" t="inlineStr">
        <is>
          <t>Students reflect on group members' contributions, analyzing actions performed in tools, and complete a questionnaire individually. Embedded artifacts include Golabz app/lab and Quest for data analysis and surveys.</t>
        </is>
      </c>
      <c r="G757" s="8" t="inlineStr">
        <is>
          <t>0</t>
        </is>
      </c>
      <c r="H757" s="8" t="inlineStr">
        <is>
          <t>1</t>
        </is>
      </c>
      <c r="I757" s="8" t="inlineStr">
        <is>
          <t>1</t>
        </is>
      </c>
      <c r="J757" s="8" t="inlineStr">
        <is>
          <t>1</t>
        </is>
      </c>
      <c r="K757" s="9" t="inlineStr">
        <is>
          <t>1</t>
        </is>
      </c>
      <c r="L757" s="9" t="inlineStr">
        <is>
          <t>1</t>
        </is>
      </c>
      <c r="M757" s="9" t="inlineStr">
        <is>
          <t>0</t>
        </is>
      </c>
      <c r="N757" s="9" t="inlineStr">
        <is>
          <t>0</t>
        </is>
      </c>
      <c r="O757" s="10" t="inlineStr">
        <is>
          <t>0</t>
        </is>
      </c>
      <c r="P757" s="10" t="inlineStr">
        <is>
          <t>0</t>
        </is>
      </c>
      <c r="Q757" s="10" t="inlineStr">
        <is>
          <t>0</t>
        </is>
      </c>
      <c r="R757" s="10" t="inlineStr">
        <is>
          <t>0</t>
        </is>
      </c>
      <c r="S757" s="10" t="inlineStr">
        <is>
          <t>1</t>
        </is>
      </c>
    </row>
    <row r="758" ht="109" customHeight="1">
      <c r="A758" s="6">
        <f>IFERROR(__xludf.DUMMYFUNCTION("""COMPUTED_VALUE"""),"Electrical Circuits (Cooperative Jigsaw Scenario)")</f>
        <v/>
      </c>
      <c r="B758" s="6">
        <f>IFERROR(__xludf.DUMMYFUNCTION("""COMPUTED_VALUE"""),"Resource")</f>
        <v/>
      </c>
      <c r="C758" s="6">
        <f>IFERROR(__xludf.DUMMYFUNCTION("""COMPUTED_VALUE"""),"End of phase.graasp")</f>
        <v/>
      </c>
      <c r="D758" s="7">
        <f>IFERROR(__xludf.DUMMYFUNCTION("""COMPUTED_VALUE"""),"&lt;p style=""text-align: center;""&gt;&lt;strong&gt;This is the end of our lesson! Congratulations for completing all the activities. &lt;/strong&gt;&lt;/p&gt;")</f>
        <v/>
      </c>
      <c r="E758" s="7">
        <f>IFERROR(__xludf.DUMMYFUNCTION("""COMPUTED_VALUE"""),"No artifact embedded")</f>
        <v/>
      </c>
      <c r="F758" s="7" t="inlineStr">
        <is>
          <t>No task descriptions or artifacts are provided for Item1, a questionnaire is completed individually in Item2, and no tasks or artifacts are given in Item3.</t>
        </is>
      </c>
      <c r="G758" s="8" t="inlineStr">
        <is>
          <t>0</t>
        </is>
      </c>
      <c r="H758" s="8" t="inlineStr">
        <is>
          <t>0</t>
        </is>
      </c>
      <c r="I758" s="8" t="inlineStr">
        <is>
          <t>0</t>
        </is>
      </c>
      <c r="J758" s="8" t="inlineStr">
        <is>
          <t>0</t>
        </is>
      </c>
      <c r="K758" s="9" t="inlineStr">
        <is>
          <t>1</t>
        </is>
      </c>
      <c r="L758" s="9" t="inlineStr">
        <is>
          <t>0</t>
        </is>
      </c>
      <c r="M758" s="9" t="inlineStr">
        <is>
          <t>0</t>
        </is>
      </c>
      <c r="N758" s="9" t="inlineStr">
        <is>
          <t>0</t>
        </is>
      </c>
      <c r="O758" s="10" t="inlineStr">
        <is>
          <t>0</t>
        </is>
      </c>
      <c r="P758" s="10" t="inlineStr">
        <is>
          <t>0</t>
        </is>
      </c>
      <c r="Q758" s="10" t="inlineStr">
        <is>
          <t>0</t>
        </is>
      </c>
      <c r="R758" s="10" t="inlineStr">
        <is>
          <t>0</t>
        </is>
      </c>
      <c r="S758" s="10" t="inlineStr">
        <is>
          <t>0</t>
        </is>
      </c>
    </row>
    <row r="759" ht="25" customHeight="1">
      <c r="A759" s="6">
        <f>IFERROR(__xludf.DUMMYFUNCTION("""COMPUTED_VALUE"""),"Electrical Circuits (Cooperative Jigsaw Scenario)")</f>
        <v/>
      </c>
      <c r="B759" s="6">
        <f>IFERROR(__xludf.DUMMYFUNCTION("""COMPUTED_VALUE"""),"Application")</f>
        <v/>
      </c>
      <c r="C759" s="6">
        <f>IFERROR(__xludf.DUMMYFUNCTION("""COMPUTED_VALUE"""),"SpeakUp (1)")</f>
        <v/>
      </c>
      <c r="D759" s="7">
        <f>IFERROR(__xludf.DUMMYFUNCTION("""COMPUTED_VALUE"""),"No task description")</f>
        <v/>
      </c>
      <c r="E759" s="7">
        <f>IFERROR(__xludf.DUMMYFUNCTION("""COMPUTED_VALUE"""),"No artifact embedded")</f>
        <v/>
      </c>
      <c r="F759" s="7" t="inlineStr">
        <is>
          <t>Students complete a questionnaire individually using Golabz app/lab after group discussion, with various question types and features available.</t>
        </is>
      </c>
      <c r="G759" s="8" t="n"/>
      <c r="H759" s="8" t="n"/>
      <c r="I759" s="8" t="n"/>
      <c r="J759" s="8" t="n"/>
      <c r="K759" s="9" t="n"/>
      <c r="L759" s="9" t="n"/>
      <c r="M759" s="9" t="n"/>
      <c r="N759" s="9" t="n"/>
      <c r="O759" s="10" t="n"/>
      <c r="P759" s="10" t="n"/>
      <c r="Q759" s="10" t="n"/>
      <c r="R759" s="10" t="n"/>
      <c r="S759" s="10"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S759"/>
  <sheetViews>
    <sheetView topLeftCell="G1" workbookViewId="0">
      <selection activeCell="W3" sqref="W3"/>
    </sheetView>
  </sheetViews>
  <sheetFormatPr baseColWidth="10" defaultRowHeight="16"/>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Summary</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49"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inlineStr">
        <is>
          <t>No instructions or artifacts are provided for Item1.</t>
        </is>
      </c>
      <c r="G2" s="8" t="n"/>
      <c r="H2" s="8" t="n"/>
      <c r="I2" s="8" t="n"/>
      <c r="J2" s="8" t="n"/>
      <c r="K2" s="9" t="n"/>
      <c r="L2" s="9" t="n"/>
      <c r="M2" s="9" t="n"/>
      <c r="N2" s="9" t="n"/>
      <c r="O2" s="10" t="n"/>
      <c r="P2" s="10" t="n"/>
      <c r="Q2" s="10" t="n"/>
      <c r="R2" s="10" t="n"/>
      <c r="S2" s="10" t="n"/>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inlineStr">
        <is>
          <t>Students observe images, describe contents, and explain object functions and roles. No artifacts are embedded.</t>
        </is>
      </c>
      <c r="G3" s="8" t="n"/>
      <c r="H3" s="8" t="n"/>
      <c r="I3" s="8" t="n"/>
      <c r="J3" s="8" t="n"/>
      <c r="K3" s="9" t="n"/>
      <c r="L3" s="9" t="n"/>
      <c r="M3" s="9" t="n"/>
      <c r="N3" s="9" t="n"/>
      <c r="O3" s="10" t="n"/>
      <c r="P3" s="10" t="n"/>
      <c r="Q3" s="10" t="n"/>
      <c r="R3" s="10" t="n"/>
      <c r="S3" s="10" t="n"/>
    </row>
    <row r="4" ht="121"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inlineStr">
        <is>
          <t>Students were given tasks with questions about images. Some items had no descriptions, while others had specific queries and an embedded JPEG artifact.</t>
        </is>
      </c>
      <c r="G4" s="8" t="n"/>
      <c r="H4" s="8" t="n"/>
      <c r="I4" s="8" t="n"/>
      <c r="J4" s="8" t="n"/>
      <c r="K4" s="9" t="n"/>
      <c r="L4" s="9" t="n"/>
      <c r="M4" s="9" t="n"/>
      <c r="N4" s="9" t="n"/>
      <c r="O4" s="10" t="n"/>
      <c r="P4" s="10" t="n"/>
      <c r="Q4" s="10" t="n"/>
      <c r="R4" s="10" t="n"/>
      <c r="S4" s="10" t="n"/>
    </row>
    <row r="5" ht="329"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inlineStr">
        <is>
          <t>Students observe images and describe their functions. Embedded artifacts include a JPEG image and the Golabz app/lab for note-taking and collaboration.</t>
        </is>
      </c>
      <c r="G5" s="8" t="n"/>
      <c r="H5" s="8" t="n"/>
      <c r="I5" s="8" t="n"/>
      <c r="J5" s="8" t="n"/>
      <c r="K5" s="9" t="n"/>
      <c r="L5" s="9" t="n"/>
      <c r="M5" s="9" t="n"/>
      <c r="N5" s="9" t="n"/>
      <c r="O5" s="10" t="n"/>
      <c r="P5" s="10" t="n"/>
      <c r="Q5" s="10" t="n"/>
      <c r="R5" s="10" t="n"/>
      <c r="S5" s="10" t="n"/>
    </row>
    <row r="6" ht="121"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inlineStr">
        <is>
          <t>No task descriptions are provided. Embedded artifacts include images and Golabz apps for note-taking, collaboration, and teacher feedback.</t>
        </is>
      </c>
      <c r="G6" s="8" t="n"/>
      <c r="H6" s="8" t="n"/>
      <c r="I6" s="8" t="n"/>
      <c r="J6" s="8" t="n"/>
      <c r="K6" s="9" t="n"/>
      <c r="L6" s="9" t="n"/>
      <c r="M6" s="9" t="n"/>
      <c r="N6" s="9" t="n"/>
      <c r="O6" s="10" t="n"/>
      <c r="P6" s="10" t="n"/>
      <c r="Q6" s="10" t="n"/>
      <c r="R6" s="10" t="n"/>
      <c r="S6" s="10" t="n"/>
    </row>
    <row r="7" ht="109"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inlineStr">
        <is>
          <t>Students have no task descriptions, but use Golabz apps for note-taking and teacher feedback. One item has a video observation task.</t>
        </is>
      </c>
      <c r="G7" s="8" t="n"/>
      <c r="H7" s="8" t="n"/>
      <c r="I7" s="8" t="n"/>
      <c r="J7" s="8" t="n"/>
      <c r="K7" s="9" t="n"/>
      <c r="L7" s="9" t="n"/>
      <c r="M7" s="9" t="n"/>
      <c r="N7" s="9" t="n"/>
      <c r="O7" s="10" t="n"/>
      <c r="P7" s="10" t="n"/>
      <c r="Q7" s="10" t="n"/>
      <c r="R7" s="10" t="n"/>
      <c r="S7" s="10" t="n"/>
    </row>
    <row r="8" ht="109"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inlineStr">
        <is>
          <t>Students were given tasks with varying descriptions and artifacts, including a feedback tool, a video, and an MP4 video file.</t>
        </is>
      </c>
      <c r="G8" s="8" t="n"/>
      <c r="H8" s="8" t="n"/>
      <c r="I8" s="8" t="n"/>
      <c r="J8" s="8" t="n"/>
      <c r="K8" s="9" t="n"/>
      <c r="L8" s="9" t="n"/>
      <c r="M8" s="9" t="n"/>
      <c r="N8" s="9" t="n"/>
      <c r="O8" s="10" t="n"/>
      <c r="P8" s="10" t="n"/>
      <c r="Q8" s="10" t="n"/>
      <c r="R8" s="10" t="n"/>
      <c r="S8" s="10" t="n"/>
    </row>
    <row r="9" ht="318"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inlineStr">
        <is>
          <t>Students observe a video and use apps like Input Box for note-taking, with optional collaboration features.</t>
        </is>
      </c>
      <c r="G9" s="8" t="n"/>
      <c r="H9" s="8" t="n"/>
      <c r="I9" s="8" t="n"/>
      <c r="J9" s="8" t="n"/>
      <c r="K9" s="9" t="n"/>
      <c r="L9" s="9" t="n"/>
      <c r="M9" s="9" t="n"/>
      <c r="N9" s="9" t="n"/>
      <c r="O9" s="10" t="n"/>
      <c r="P9" s="10" t="n"/>
      <c r="Q9" s="10" t="n"/>
      <c r="R9" s="10" t="n"/>
      <c r="S9" s="10" t="n"/>
    </row>
    <row r="10" ht="109"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inlineStr">
        <is>
          <t>No task descriptions are provided. Embedded artifacts include a video file and two Golabz apps for note-taking and teacher feedback.</t>
        </is>
      </c>
      <c r="G10" s="8" t="n"/>
      <c r="H10" s="8" t="n"/>
      <c r="I10" s="8" t="n"/>
      <c r="J10" s="8" t="n"/>
      <c r="K10" s="9" t="n"/>
      <c r="L10" s="9" t="n"/>
      <c r="M10" s="9" t="n"/>
      <c r="N10" s="9" t="n"/>
      <c r="O10" s="10" t="n"/>
      <c r="P10" s="10" t="n"/>
      <c r="Q10" s="10" t="n"/>
      <c r="R10" s="10" t="n"/>
      <c r="S10" s="10" t="n"/>
    </row>
    <row r="11" ht="97"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inlineStr">
        <is>
          <t>Students received no task descriptions for Items 1 and 2, but had access to Golabz apps. Item 3 instructed "Click Explore".</t>
        </is>
      </c>
      <c r="G11" s="8" t="n"/>
      <c r="H11" s="8" t="n"/>
      <c r="I11" s="8" t="n"/>
      <c r="J11" s="8" t="n"/>
      <c r="K11" s="9" t="n"/>
      <c r="L11" s="9" t="n"/>
      <c r="M11" s="9" t="n"/>
      <c r="N11" s="9" t="n"/>
      <c r="O11" s="10" t="n"/>
      <c r="P11" s="10" t="n"/>
      <c r="Q11" s="10" t="n"/>
      <c r="R11" s="10" t="n"/>
      <c r="S11" s="10" t="n"/>
    </row>
    <row r="12" ht="229"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inlineStr">
        <is>
          <t>Students are given tasks with varying descriptions and some have embedded artifacts like the Golabz app/lab for teacher feedback.</t>
        </is>
      </c>
      <c r="G12" s="8" t="n"/>
      <c r="H12" s="8" t="n"/>
      <c r="I12" s="8" t="n"/>
      <c r="J12" s="8" t="n"/>
      <c r="K12" s="9" t="n"/>
      <c r="L12" s="9" t="n"/>
      <c r="M12" s="9" t="n"/>
      <c r="N12" s="9" t="n"/>
      <c r="O12" s="10" t="n"/>
      <c r="P12" s="10" t="n"/>
      <c r="Q12" s="10" t="n"/>
      <c r="R12" s="10" t="n"/>
      <c r="S12" s="10" t="n"/>
    </row>
    <row r="13" ht="121"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inlineStr">
        <is>
          <t>Students are given tasks and instructions, with some items having embedded artifacts, such as a lab simulation.</t>
        </is>
      </c>
      <c r="G13" s="8" t="n"/>
      <c r="H13" s="8" t="n"/>
      <c r="I13" s="8" t="n"/>
      <c r="J13" s="8" t="n"/>
      <c r="K13" s="9" t="n"/>
      <c r="L13" s="9" t="n"/>
      <c r="M13" s="9" t="n"/>
      <c r="N13" s="9" t="n"/>
      <c r="O13" s="10" t="n"/>
      <c r="P13" s="10" t="n"/>
      <c r="Q13" s="10" t="n"/>
      <c r="R13" s="10" t="n"/>
      <c r="S13" s="10" t="n"/>
    </row>
    <row r="14" ht="97"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inlineStr">
        <is>
          <t>Students read instructions, then proceed. Embedded artifacts include a lab app for experimenting with Hooke's law.</t>
        </is>
      </c>
      <c r="G14" s="8" t="n"/>
      <c r="H14" s="8" t="n"/>
      <c r="I14" s="8" t="n"/>
      <c r="J14" s="8" t="n"/>
      <c r="K14" s="9" t="n"/>
      <c r="L14" s="9" t="n"/>
      <c r="M14" s="9" t="n"/>
      <c r="N14" s="9" t="n"/>
      <c r="O14" s="10" t="n"/>
      <c r="P14" s="10" t="n"/>
      <c r="Q14" s="10" t="n"/>
      <c r="R14" s="10" t="n"/>
      <c r="S14" s="10" t="n"/>
    </row>
    <row r="15" ht="133"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inlineStr">
        <is>
          <t>Students were given tasks with some items having no descriptions. Embedded artifacts included the Golabz app/lab for experimenting with Hooke's law.</t>
        </is>
      </c>
      <c r="G15" s="8" t="n"/>
      <c r="H15" s="8" t="n"/>
      <c r="I15" s="8" t="n"/>
      <c r="J15" s="8" t="n"/>
      <c r="K15" s="9" t="n"/>
      <c r="L15" s="9" t="n"/>
      <c r="M15" s="9" t="n"/>
      <c r="N15" s="9" t="n"/>
      <c r="O15" s="10" t="n"/>
      <c r="P15" s="10" t="n"/>
      <c r="Q15" s="10" t="n"/>
      <c r="R15" s="10" t="n"/>
      <c r="S15" s="10" t="n"/>
    </row>
    <row r="16" ht="409.6"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inlineStr">
        <is>
          <t>Students click "Explain" with no embedded artifacts in Items 1 and 2. Item 3 has a Golabz app/lab for hypothesis formulation with configuration options.</t>
        </is>
      </c>
      <c r="G16" s="8" t="n"/>
      <c r="H16" s="8" t="n"/>
      <c r="I16" s="8" t="n"/>
      <c r="J16" s="8" t="n"/>
      <c r="K16" s="9" t="n"/>
      <c r="L16" s="9" t="n"/>
      <c r="M16" s="9" t="n"/>
      <c r="N16" s="9" t="n"/>
      <c r="O16" s="10" t="n"/>
      <c r="P16" s="10" t="n"/>
      <c r="Q16" s="10" t="n"/>
      <c r="R16" s="10" t="n"/>
      <c r="S16" s="10" t="n"/>
    </row>
    <row r="17" ht="169"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inlineStr">
        <is>
          <t>Students received no task descriptions for Items 1 and 2, but Item 2 had a Golabz app/lab with instructions on using the Hypothesis Scratchpad tool. Item 3 had a task description with no embedded artifact.</t>
        </is>
      </c>
      <c r="G17" s="8" t="n"/>
      <c r="H17" s="8" t="n"/>
      <c r="I17" s="8" t="n"/>
      <c r="J17" s="8" t="n"/>
      <c r="K17" s="9" t="n"/>
      <c r="L17" s="9" t="n"/>
      <c r="M17" s="9" t="n"/>
      <c r="N17" s="9" t="n"/>
      <c r="O17" s="10" t="n"/>
      <c r="P17" s="10" t="n"/>
      <c r="Q17" s="10" t="n"/>
      <c r="R17" s="10" t="n"/>
      <c r="S17" s="10" t="n"/>
    </row>
    <row r="18" ht="318"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inlineStr">
        <is>
          <t>Students were given tasks with some having no description. Embedded artifacts included interactive tools like Hypothesis Scratchpad and Input Box for hypothesis formulation and note-taking.</t>
        </is>
      </c>
      <c r="G18" s="8" t="n"/>
      <c r="H18" s="8" t="n"/>
      <c r="I18" s="8" t="n"/>
      <c r="J18" s="8" t="n"/>
      <c r="K18" s="9" t="n"/>
      <c r="L18" s="9" t="n"/>
      <c r="M18" s="9" t="n"/>
      <c r="N18" s="9" t="n"/>
      <c r="O18" s="10" t="n"/>
      <c r="P18" s="10" t="n"/>
      <c r="Q18" s="10" t="n"/>
      <c r="R18" s="10" t="n"/>
      <c r="S18" s="10" t="n"/>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inlineStr">
        <is>
          <t>Students receive task descriptions with no artifacts in Items 1 and 3, while Item 2 has an embedded Golabz app for note-taking.</t>
        </is>
      </c>
      <c r="G19" s="8" t="n"/>
      <c r="H19" s="8" t="n"/>
      <c r="I19" s="8" t="n"/>
      <c r="J19" s="8" t="n"/>
      <c r="K19" s="9" t="n"/>
      <c r="L19" s="9" t="n"/>
      <c r="M19" s="9" t="n"/>
      <c r="N19" s="9" t="n"/>
      <c r="O19" s="10" t="n"/>
      <c r="P19" s="10" t="n"/>
      <c r="Q19" s="10" t="n"/>
      <c r="R19" s="10" t="n"/>
      <c r="S19" s="10" t="n"/>
    </row>
    <row r="20" ht="318"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inlineStr">
        <is>
          <t>Students receive tasks with optional embedded artifacts, including a note-taking app for collaboration and reflection on forces applied to springs.</t>
        </is>
      </c>
      <c r="G20" s="8" t="n"/>
      <c r="H20" s="8" t="n"/>
      <c r="I20" s="8" t="n"/>
      <c r="J20" s="8" t="n"/>
      <c r="K20" s="9" t="n"/>
      <c r="L20" s="9" t="n"/>
      <c r="M20" s="9" t="n"/>
      <c r="N20" s="9" t="n"/>
      <c r="O20" s="10" t="n"/>
      <c r="P20" s="10" t="n"/>
      <c r="Q20" s="10" t="n"/>
      <c r="R20" s="10" t="n"/>
      <c r="S20" s="10" t="n"/>
    </row>
    <row r="21" ht="14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inlineStr">
        <is>
          <t>Students were asked about relationships between forces and spring extensions, and measured extensions. Embedded artifacts include a note-taking app in Item2.</t>
        </is>
      </c>
      <c r="G21" s="8" t="n"/>
      <c r="H21" s="8" t="n"/>
      <c r="I21" s="8" t="n"/>
      <c r="J21" s="8" t="n"/>
      <c r="K21" s="9" t="n"/>
      <c r="L21" s="9" t="n"/>
      <c r="M21" s="9" t="n"/>
      <c r="N21" s="9" t="n"/>
      <c r="O21" s="10" t="n"/>
      <c r="P21" s="10" t="n"/>
      <c r="Q21" s="10" t="n"/>
      <c r="R21" s="10" t="n"/>
      <c r="S21" s="10" t="n"/>
    </row>
    <row r="22" ht="318"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inlineStr">
        <is>
          <t>Students are given tasks and access to Golabz app/lab for note-taking, with optional collaboration mode.</t>
        </is>
      </c>
      <c r="G22" s="8" t="n"/>
      <c r="H22" s="8" t="n"/>
      <c r="I22" s="8" t="n"/>
      <c r="J22" s="8" t="n"/>
      <c r="K22" s="9" t="n"/>
      <c r="L22" s="9" t="n"/>
      <c r="M22" s="9" t="n"/>
      <c r="N22" s="9" t="n"/>
      <c r="O22" s="10" t="n"/>
      <c r="P22" s="10" t="n"/>
      <c r="Q22" s="10" t="n"/>
      <c r="R22" s="10" t="n"/>
      <c r="S22" s="10" t="n"/>
    </row>
    <row r="23" ht="109"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inlineStr">
        <is>
          <t>Students were given tasks with varying descriptions and some had embedded artifacts like the Golabz app for note-taking.</t>
        </is>
      </c>
      <c r="G23" s="8" t="n"/>
      <c r="H23" s="8" t="n"/>
      <c r="I23" s="8" t="n"/>
      <c r="J23" s="8" t="n"/>
      <c r="K23" s="9" t="n"/>
      <c r="L23" s="9" t="n"/>
      <c r="M23" s="9" t="n"/>
      <c r="N23" s="9" t="n"/>
      <c r="O23" s="10" t="n"/>
      <c r="P23" s="10" t="n"/>
      <c r="Q23" s="10" t="n"/>
      <c r="R23" s="10" t="n"/>
      <c r="S23" s="10" t="n"/>
    </row>
    <row r="24" ht="109"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inlineStr">
        <is>
          <t>Students are given tasks with optional descriptions and embedded artifacts, such as the Golabz app/lab for note-taking.</t>
        </is>
      </c>
      <c r="G24" s="8" t="n"/>
      <c r="H24" s="8" t="n"/>
      <c r="I24" s="8" t="n"/>
      <c r="J24" s="8" t="n"/>
      <c r="K24" s="9" t="n"/>
      <c r="L24" s="9" t="n"/>
      <c r="M24" s="9" t="n"/>
      <c r="N24" s="9" t="n"/>
      <c r="O24" s="10" t="n"/>
      <c r="P24" s="10" t="n"/>
      <c r="Q24" s="10" t="n"/>
      <c r="R24" s="10" t="n"/>
      <c r="S24" s="10" t="n"/>
    </row>
    <row r="25" ht="409.6"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inlineStr">
        <is>
          <t>Students were given task descriptions with no artifacts embedded. Item 1 and 2 had minimal instructions, while Item 3 described elastic materials.</t>
        </is>
      </c>
      <c r="G25" s="8" t="n"/>
      <c r="H25" s="8" t="n"/>
      <c r="I25" s="8" t="n"/>
      <c r="J25" s="8" t="n"/>
      <c r="K25" s="9" t="n"/>
      <c r="L25" s="9" t="n"/>
      <c r="M25" s="9" t="n"/>
      <c r="N25" s="9" t="n"/>
      <c r="O25" s="10" t="n"/>
      <c r="P25" s="10" t="n"/>
      <c r="Q25" s="10" t="n"/>
      <c r="R25" s="10" t="n"/>
      <c r="S25" s="10" t="n"/>
    </row>
    <row r="26" ht="85"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inlineStr">
        <is>
          <t>No task descriptions or artifacts in Items 1 and 3. Item 2 describes elastic materials and Hooke's Law.</t>
        </is>
      </c>
      <c r="G26" s="8" t="n"/>
      <c r="H26" s="8" t="n"/>
      <c r="I26" s="8" t="n"/>
      <c r="J26" s="8" t="n"/>
      <c r="K26" s="9" t="n"/>
      <c r="L26" s="9" t="n"/>
      <c r="M26" s="9" t="n"/>
      <c r="N26" s="9" t="n"/>
      <c r="O26" s="10" t="n"/>
      <c r="P26" s="10" t="n"/>
      <c r="Q26" s="10" t="n"/>
      <c r="R26" s="10" t="n"/>
      <c r="S26" s="10" t="n"/>
    </row>
    <row r="27" ht="14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inlineStr">
        <is>
          <t>No instructions are provided to students. All items have "No artifact embedded" and lack meaningful tasks, except for Item2 which says "Click on Evaluation to continue".</t>
        </is>
      </c>
      <c r="G27" s="8" t="n"/>
      <c r="H27" s="8" t="n"/>
      <c r="I27" s="8" t="n"/>
      <c r="J27" s="8" t="n"/>
      <c r="K27" s="9" t="n"/>
      <c r="L27" s="9" t="n"/>
      <c r="M27" s="9" t="n"/>
      <c r="N27" s="9" t="n"/>
      <c r="O27" s="10" t="n"/>
      <c r="P27" s="10" t="n"/>
      <c r="Q27" s="10" t="n"/>
      <c r="R27" s="10" t="n"/>
      <c r="S27" s="10" t="n"/>
    </row>
    <row r="28" ht="274"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inlineStr">
        <is>
          <t>Students were instructed to click "Evaluation", attempt questions, with an embedded Golabz quiz app artifact in Item3.</t>
        </is>
      </c>
      <c r="G28" s="8" t="n"/>
      <c r="H28" s="8" t="n"/>
      <c r="I28" s="8" t="n"/>
      <c r="J28" s="8" t="n"/>
      <c r="K28" s="9" t="n"/>
      <c r="L28" s="9" t="n"/>
      <c r="M28" s="9" t="n"/>
      <c r="N28" s="9" t="n"/>
      <c r="O28" s="10" t="n"/>
      <c r="P28" s="10" t="n"/>
      <c r="Q28" s="10" t="n"/>
      <c r="R28" s="10" t="n"/>
      <c r="S28" s="10" t="n"/>
    </row>
    <row r="29" ht="121"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inlineStr">
        <is>
          <t>Students were given tasks with varying levels of guidance, including taking a quiz via Golabz app and answering a question about Hooke's Law.</t>
        </is>
      </c>
      <c r="G29" s="8" t="n"/>
      <c r="H29" s="8" t="n"/>
      <c r="I29" s="8" t="n"/>
      <c r="J29" s="8" t="n"/>
      <c r="K29" s="9" t="n"/>
      <c r="L29" s="9" t="n"/>
      <c r="M29" s="9" t="n"/>
      <c r="N29" s="9" t="n"/>
      <c r="O29" s="10" t="n"/>
      <c r="P29" s="10" t="n"/>
      <c r="Q29" s="10" t="n"/>
      <c r="R29" s="10" t="n"/>
      <c r="S29" s="10" t="n"/>
    </row>
    <row r="30" ht="318"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inlineStr">
        <is>
          <t>Students attempt quiz questions with interactive tools and apps, including Golabz and input boxes, with some items having no task or artifact description.</t>
        </is>
      </c>
      <c r="G30" s="8" t="n"/>
      <c r="H30" s="8" t="n"/>
      <c r="I30" s="8" t="n"/>
      <c r="J30" s="8" t="n"/>
      <c r="K30" s="9" t="n"/>
      <c r="L30" s="9" t="n"/>
      <c r="M30" s="9" t="n"/>
      <c r="N30" s="9" t="n"/>
      <c r="O30" s="10" t="n"/>
      <c r="P30" s="10" t="n"/>
      <c r="Q30" s="10" t="n"/>
      <c r="R30" s="10" t="n"/>
      <c r="S30" s="10" t="n"/>
    </row>
    <row r="31" ht="85"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inlineStr">
        <is>
          <t>Students were instructed to state Hooke's Law. Embedded artifacts include note-taking and feedback tools.</t>
        </is>
      </c>
      <c r="G31" s="8" t="n"/>
      <c r="H31" s="8" t="n"/>
      <c r="I31" s="8" t="n"/>
      <c r="J31" s="8" t="n"/>
      <c r="K31" s="9" t="n"/>
      <c r="L31" s="9" t="n"/>
      <c r="M31" s="9" t="n"/>
      <c r="N31" s="9" t="n"/>
      <c r="O31" s="10" t="n"/>
      <c r="P31" s="10" t="n"/>
      <c r="Q31" s="10" t="n"/>
      <c r="R31" s="10" t="n"/>
      <c r="S31" s="10" t="n"/>
    </row>
    <row r="32" ht="133"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inlineStr">
        <is>
          <t>Students have no task descriptions for Items 1 and 2, but Item 3 has a question about Hooke's Law. Embedded artifacts include note-taking and feedback tools in Golabz app/lab.</t>
        </is>
      </c>
      <c r="G32" s="8" t="n"/>
      <c r="H32" s="8" t="n"/>
      <c r="I32" s="8" t="n"/>
      <c r="J32" s="8" t="n"/>
      <c r="K32" s="9" t="n"/>
      <c r="L32" s="9" t="n"/>
      <c r="M32" s="9" t="n"/>
      <c r="N32" s="9" t="n"/>
      <c r="O32" s="10" t="n"/>
      <c r="P32" s="10" t="n"/>
      <c r="Q32" s="10" t="n"/>
      <c r="R32" s="10" t="n"/>
      <c r="S32" s="10" t="n"/>
    </row>
    <row r="33" ht="318"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inlineStr">
        <is>
          <t>Students received task descriptions and embedded artifacts, including Golabz apps for feedback and note-taking with optional collaboration mode.</t>
        </is>
      </c>
      <c r="G33" s="8" t="n"/>
      <c r="H33" s="8" t="n"/>
      <c r="I33" s="8" t="n"/>
      <c r="J33" s="8" t="n"/>
      <c r="K33" s="9" t="n"/>
      <c r="L33" s="9" t="n"/>
      <c r="M33" s="9" t="n"/>
      <c r="N33" s="9" t="n"/>
      <c r="O33" s="10" t="n"/>
      <c r="P33" s="10" t="n"/>
      <c r="Q33" s="10" t="n"/>
      <c r="R33" s="10" t="n"/>
      <c r="S33" s="10" t="n"/>
    </row>
    <row r="34" ht="121"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inlineStr">
        <is>
          <t>Students state practical applications of materials obeying or not obeying Hooke's Law. Embedded artifacts include note-taking and feedback tools.</t>
        </is>
      </c>
      <c r="G34" s="8" t="n"/>
      <c r="H34" s="8" t="n"/>
      <c r="I34" s="8" t="n"/>
      <c r="J34" s="8" t="n"/>
      <c r="K34" s="9" t="n"/>
      <c r="L34" s="9" t="n"/>
      <c r="M34" s="9" t="n"/>
      <c r="N34" s="9" t="n"/>
      <c r="O34" s="10" t="n"/>
      <c r="P34" s="10" t="n"/>
      <c r="Q34" s="10" t="n"/>
      <c r="R34" s="10" t="n"/>
      <c r="S34" s="10" t="n"/>
    </row>
    <row r="35" ht="8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inlineStr">
        <is>
          <t>No instructions provided. Embedded artifacts include note-taking and feedback tools in Golabz app/lab.</t>
        </is>
      </c>
      <c r="G35" s="8" t="n"/>
      <c r="H35" s="8" t="n"/>
      <c r="I35" s="8" t="n"/>
      <c r="J35" s="8" t="n"/>
      <c r="K35" s="9" t="n"/>
      <c r="L35" s="9" t="n"/>
      <c r="M35" s="9" t="n"/>
      <c r="N35" s="9" t="n"/>
      <c r="O35" s="10" t="n"/>
      <c r="P35" s="10" t="n"/>
      <c r="Q35" s="10" t="n"/>
      <c r="R35" s="10" t="n"/>
      <c r="S35" s="10" t="n"/>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inlineStr">
        <is>
          <t>Students received tasks with varying levels of detail, including using Golabz app for feedback and explaining uses of elastic materials. Some items had no task description or embedded artifacts.</t>
        </is>
      </c>
      <c r="G36" s="8" t="n"/>
      <c r="H36" s="8" t="n"/>
      <c r="I36" s="8" t="n"/>
      <c r="J36" s="8" t="n"/>
      <c r="K36" s="9" t="n"/>
      <c r="L36" s="9" t="n"/>
      <c r="M36" s="9" t="n"/>
      <c r="N36" s="9" t="n"/>
      <c r="O36" s="10" t="n"/>
      <c r="P36" s="10" t="n"/>
      <c r="Q36" s="10" t="n"/>
      <c r="R36" s="10" t="n"/>
      <c r="S36" s="10" t="n"/>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inlineStr">
        <is>
          <t>Students are assigned to explain elastic materials' uses and analyze spring connections. Embedded artifacts include a Microsoft Word document in Item 3.</t>
        </is>
      </c>
      <c r="G37" s="8" t="n"/>
      <c r="H37" s="8" t="n"/>
      <c r="I37" s="8" t="n"/>
      <c r="J37" s="8" t="n"/>
      <c r="K37" s="9" t="n"/>
      <c r="L37" s="9" t="n"/>
      <c r="M37" s="9" t="n"/>
      <c r="N37" s="9" t="n"/>
      <c r="O37" s="10" t="n"/>
      <c r="P37" s="10" t="n"/>
      <c r="Q37" s="10" t="n"/>
      <c r="R37" s="10" t="n"/>
      <c r="S37" s="10" t="n"/>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inlineStr">
        <is>
          <t>Students are asked to state and explain uses of elastic materials and analyze spring connections. Embedded artifacts include a Microsoft Word document and a file-upload app.</t>
        </is>
      </c>
      <c r="G38" s="8" t="n"/>
      <c r="H38" s="8" t="n"/>
      <c r="I38" s="8" t="n"/>
      <c r="J38" s="8" t="n"/>
      <c r="K38" s="9" t="n"/>
      <c r="L38" s="9" t="n"/>
      <c r="M38" s="9" t="n"/>
      <c r="N38" s="9" t="n"/>
      <c r="O38" s="10" t="n"/>
      <c r="P38" s="10" t="n"/>
      <c r="Q38" s="10" t="n"/>
      <c r="R38" s="10" t="n"/>
      <c r="S38" s="10" t="n"/>
    </row>
    <row r="39" ht="241" customHeight="1">
      <c r="A39" s="6">
        <f>IFERROR(__xludf.DUMMYFUNCTION("""COMPUTED_VALUE"""),"Machine Learning and Artificial Intelligence")</f>
        <v/>
      </c>
      <c r="B39" s="6">
        <f>IFERROR(__xludf.DUMMYFUNCTION("""COMPUTED_VALUE"""),"Space")</f>
        <v/>
      </c>
      <c r="C39" s="6">
        <f>IFERROR(__xludf.DUMMYFUNCTION("""COMPUTED_VALUE"""),"Orientation")</f>
        <v/>
      </c>
      <c r="D39" s="7">
        <f>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
      </c>
      <c r="E39" s="7">
        <f>IFERROR(__xludf.DUMMYFUNCTION("""COMPUTED_VALUE"""),"No artifact embedded")</f>
        <v/>
      </c>
      <c r="F39" s="7" t="inlineStr">
        <is>
          <t>Students received no task descriptions for Items 1 and 2, but Item 3 involves watching a video and discussing. Embedded artifacts include a Word document and Golabz app/lab.</t>
        </is>
      </c>
      <c r="G39" s="8" t="n"/>
      <c r="H39" s="8" t="n"/>
      <c r="I39" s="8" t="n"/>
      <c r="J39" s="8" t="n"/>
      <c r="K39" s="9" t="n"/>
      <c r="L39" s="9" t="n"/>
      <c r="M39" s="9" t="n"/>
      <c r="N39" s="9" t="n"/>
      <c r="O39" s="10" t="n"/>
      <c r="P39" s="10" t="n"/>
      <c r="Q39" s="10" t="n"/>
      <c r="R39" s="10" t="n"/>
      <c r="S39" s="10" t="n"/>
    </row>
    <row r="40" ht="351" customHeight="1">
      <c r="A40" s="6">
        <f>IFERROR(__xludf.DUMMYFUNCTION("""COMPUTED_VALUE"""),"Machine Learning and Artificial Intelligence")</f>
        <v/>
      </c>
      <c r="B40" s="6">
        <f>IFERROR(__xludf.DUMMYFUNCTION("""COMPUTED_VALUE"""),"Resource")</f>
        <v/>
      </c>
      <c r="C40" s="6">
        <f>IFERROR(__xludf.DUMMYFUNCTION("""COMPUTED_VALUE"""),"BUDDY - the Emotional Robot (EN-FR)")</f>
        <v/>
      </c>
      <c r="D40" s="7">
        <f>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
      </c>
      <c r="E40" s="7">
        <f>IFERROR(__xludf.DUMMYFUNCTION("""COMPUTED_VALUE"""),"youtube.com: A widely known video-sharing platform where users can watch videos on a vast array of topics, including educational content.")</f>
        <v/>
      </c>
      <c r="F40" s="7" t="inlineStr">
        <is>
          <t>Students are given tasks with varying levels of guidance and embedded artifacts such as apps and videos.</t>
        </is>
      </c>
      <c r="G40" s="8" t="n"/>
      <c r="H40" s="8" t="n"/>
      <c r="I40" s="8" t="n"/>
      <c r="J40" s="8" t="n"/>
      <c r="K40" s="9" t="n"/>
      <c r="L40" s="9" t="n"/>
      <c r="M40" s="9" t="n"/>
      <c r="N40" s="9" t="n"/>
      <c r="O40" s="10" t="n"/>
      <c r="P40" s="10" t="n"/>
      <c r="Q40" s="10" t="n"/>
      <c r="R40" s="10" t="n"/>
      <c r="S40" s="10" t="n"/>
    </row>
    <row r="41" ht="409.6" customHeight="1">
      <c r="A41" s="6">
        <f>IFERROR(__xludf.DUMMYFUNCTION("""COMPUTED_VALUE"""),"Machine Learning and Artificial Intelligence")</f>
        <v/>
      </c>
      <c r="B41" s="6">
        <f>IFERROR(__xludf.DUMMYFUNCTION("""COMPUTED_VALUE"""),"Application")</f>
        <v/>
      </c>
      <c r="C41" s="6">
        <f>IFERROR(__xludf.DUMMYFUNCTION("""COMPUTED_VALUE"""),"Speakup: how can Buddy interact with us?")</f>
        <v/>
      </c>
      <c r="D41" s="7">
        <f>IFERROR(__xludf.DUMMYFUNCTION("""COMPUTED_VALUE"""),"&lt;p&gt;Discuss with your team and try to respond to the next questions.&lt;/p&gt;&lt;p&gt;1) How do you think that Buddy can interact with people?&lt;br&gt;2) How does it ""hear"", ""see"", or ""talk""?&lt;br&gt;3) How does it move?&lt;/p&gt;")</f>
        <v/>
      </c>
      <c r="E41"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1" s="7" t="inlineStr">
        <is>
          <t>Students discuss and answer questions about smart devices and robots, with embedded artifacts including videos and interactive apps like SpeakUp.</t>
        </is>
      </c>
      <c r="G41" s="8" t="n"/>
      <c r="H41" s="8" t="n"/>
      <c r="I41" s="8" t="n"/>
      <c r="J41" s="8" t="n"/>
      <c r="K41" s="9" t="n"/>
      <c r="L41" s="9" t="n"/>
      <c r="M41" s="9" t="n"/>
      <c r="N41" s="9" t="n"/>
      <c r="O41" s="10" t="n"/>
      <c r="P41" s="10" t="n"/>
      <c r="Q41" s="10" t="n"/>
      <c r="R41" s="10" t="n"/>
      <c r="S41" s="10" t="n"/>
    </row>
    <row r="42" ht="145" customHeight="1">
      <c r="A42" s="6">
        <f>IFERROR(__xludf.DUMMYFUNCTION("""COMPUTED_VALUE"""),"Machine Learning and Artificial Intelligence")</f>
        <v/>
      </c>
      <c r="B42" s="6">
        <f>IFERROR(__xludf.DUMMYFUNCTION("""COMPUTED_VALUE"""),"Space")</f>
        <v/>
      </c>
      <c r="C42" s="6">
        <f>IFERROR(__xludf.DUMMYFUNCTION("""COMPUTED_VALUE"""),"Conceptualisation")</f>
        <v/>
      </c>
      <c r="D42" s="7">
        <f>IFERROR(__xludf.DUMMYFUNCTION("""COMPUTED_VALUE"""),"&lt;p&gt;Maybe you have come to some answers about how Buddy can respond to different requests. Think of Buddy as a computer. Watch the video bellow and try to resolve the quizzes!&lt;/p&gt;")</f>
        <v/>
      </c>
      <c r="E42" s="7">
        <f>IFERROR(__xludf.DUMMYFUNCTION("""COMPUTED_VALUE"""),"No artifact embedded")</f>
        <v/>
      </c>
      <c r="F42" s="7" t="inlineStr">
        <is>
          <t>Students are given tasks to discuss BUDDY robot's interactions, watch videos, and complete quizzes using embedded artifacts like YouTube and Golabz app/lab.</t>
        </is>
      </c>
      <c r="G42" s="8" t="n"/>
      <c r="H42" s="8" t="n"/>
      <c r="I42" s="8" t="n"/>
      <c r="J42" s="8" t="n"/>
      <c r="K42" s="9" t="n"/>
      <c r="L42" s="9" t="n"/>
      <c r="M42" s="9" t="n"/>
      <c r="N42" s="9" t="n"/>
      <c r="O42" s="10" t="n"/>
      <c r="P42" s="10" t="n"/>
      <c r="Q42" s="10" t="n"/>
      <c r="R42" s="10" t="n"/>
      <c r="S42" s="10" t="n"/>
    </row>
    <row r="43" ht="157" customHeight="1">
      <c r="A43" s="6">
        <f>IFERROR(__xludf.DUMMYFUNCTION("""COMPUTED_VALUE"""),"Machine Learning and Artificial Intelligence")</f>
        <v/>
      </c>
      <c r="B43" s="6">
        <f>IFERROR(__xludf.DUMMYFUNCTION("""COMPUTED_VALUE"""),"Resource")</f>
        <v/>
      </c>
      <c r="C43" s="6">
        <f>IFERROR(__xludf.DUMMYFUNCTION("""COMPUTED_VALUE"""),"How Computers Work: What Makes a Computer, a Computer?")</f>
        <v/>
      </c>
      <c r="D43" s="7">
        <f>IFERROR(__xludf.DUMMYFUNCTION("""COMPUTED_VALUE"""),"&lt;p&gt;Computers are all around us, but what really makes a computer, a computer? Explore the history of computers and the features they all share.&lt;/p&gt;&lt;p&gt;&lt;br&gt;&lt;/p&gt;")</f>
        <v/>
      </c>
      <c r="E43" s="7">
        <f>IFERROR(__xludf.DUMMYFUNCTION("""COMPUTED_VALUE"""),"youtu.be: A shortened URL service for YouTube, leading to various videos on the platform.")</f>
        <v/>
      </c>
      <c r="F43" s="7" t="inlineStr">
        <is>
          <t>Students discuss and respond to questions about Buddy's interactions. Embedded artifacts include Golabz app and YouTube video links.</t>
        </is>
      </c>
      <c r="G43" s="8" t="n"/>
      <c r="H43" s="8" t="n"/>
      <c r="I43" s="8" t="n"/>
      <c r="J43" s="8" t="n"/>
      <c r="K43" s="9" t="n"/>
      <c r="L43" s="9" t="n"/>
      <c r="M43" s="9" t="n"/>
      <c r="N43" s="9" t="n"/>
      <c r="O43" s="10" t="n"/>
      <c r="P43" s="10" t="n"/>
      <c r="Q43" s="10" t="n"/>
      <c r="R43" s="10" t="n"/>
      <c r="S43" s="10" t="n"/>
    </row>
    <row r="44" ht="181" customHeight="1">
      <c r="A44" s="6">
        <f>IFERROR(__xludf.DUMMYFUNCTION("""COMPUTED_VALUE"""),"Machine Learning and Artificial Intelligence")</f>
        <v/>
      </c>
      <c r="B44" s="6">
        <f>IFERROR(__xludf.DUMMYFUNCTION("""COMPUTED_VALUE"""),"Resource")</f>
        <v/>
      </c>
      <c r="C44" s="6">
        <f>IFERROR(__xludf.DUMMYFUNCTION("""COMPUTED_VALUE"""),"Algorithm:Teach a Computer to draw the letter L")</f>
        <v/>
      </c>
      <c r="D44" s="7">
        <f>IFERROR(__xludf.DUMMYFUNCTION("""COMPUTED_VALUE"""),"Me the A.I eTwinning Project 2019-2020 Create an algorithm! Put the sentences in the right place and teach a computer how to draw the letter L! Teacher: Lascaris Georgia, Greece")</f>
        <v/>
      </c>
      <c r="E44" s="7">
        <f>IFERROR(__xludf.DUMMYFUNCTION("""COMPUTED_VALUE"""),"learningapps.org: A platform for interactive learning modules and educational games.")</f>
        <v/>
      </c>
      <c r="F44" s="7" t="inlineStr">
        <is>
          <t>Students are instructed to watch videos, resolve quizzes, explore computer history, and create an algorithm. Embedded artifacts include YouTube videos and interactive learning modules from learningapps.org.</t>
        </is>
      </c>
      <c r="G44" s="8" t="n"/>
      <c r="H44" s="8" t="n"/>
      <c r="I44" s="8" t="n"/>
      <c r="J44" s="8" t="n"/>
      <c r="K44" s="9" t="n"/>
      <c r="L44" s="9" t="n"/>
      <c r="M44" s="9" t="n"/>
      <c r="N44" s="9" t="n"/>
      <c r="O44" s="10" t="n"/>
      <c r="P44" s="10" t="n"/>
      <c r="Q44" s="10" t="n"/>
      <c r="R44" s="10" t="n"/>
      <c r="S44" s="10" t="n"/>
    </row>
    <row r="45" ht="409.6" customHeight="1">
      <c r="A45" s="6">
        <f>IFERROR(__xludf.DUMMYFUNCTION("""COMPUTED_VALUE"""),"Machine Learning and Artificial Intelligence")</f>
        <v/>
      </c>
      <c r="B45" s="6">
        <f>IFERROR(__xludf.DUMMYFUNCTION("""COMPUTED_VALUE"""),"Space")</f>
        <v/>
      </c>
      <c r="C45" s="6">
        <f>IFERROR(__xludf.DUMMYFUNCTION("""COMPUTED_VALUE"""),"Investigation")</f>
        <v/>
      </c>
      <c r="D45" s="7">
        <f>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
      </c>
      <c r="E45" s="7">
        <f>IFERROR(__xludf.DUMMYFUNCTION("""COMPUTED_VALUE"""),"No artifact embedded")</f>
        <v/>
      </c>
      <c r="F45" s="7" t="inlineStr">
        <is>
          <t>Students explore computer history, create algorithms, and program robots using platforms like YouTube, LearningApps, and Scratch.</t>
        </is>
      </c>
      <c r="G45" s="8" t="n"/>
      <c r="H45" s="8" t="n"/>
      <c r="I45" s="8" t="n"/>
      <c r="J45" s="8" t="n"/>
      <c r="K45" s="9" t="n"/>
      <c r="L45" s="9" t="n"/>
      <c r="M45" s="9" t="n"/>
      <c r="N45" s="9" t="n"/>
      <c r="O45" s="10" t="n"/>
      <c r="P45" s="10" t="n"/>
      <c r="Q45" s="10" t="n"/>
      <c r="R45" s="10" t="n"/>
      <c r="S45" s="10" t="n"/>
    </row>
    <row r="46" ht="409.6" customHeight="1">
      <c r="A46" s="6">
        <f>IFERROR(__xludf.DUMMYFUNCTION("""COMPUTED_VALUE"""),"Machine Learning and Artificial Intelligence")</f>
        <v/>
      </c>
      <c r="B46" s="6">
        <f>IFERROR(__xludf.DUMMYFUNCTION("""COMPUTED_VALUE"""),"Application")</f>
        <v/>
      </c>
      <c r="C46" s="6">
        <f>IFERROR(__xludf.DUMMYFUNCTION("""COMPUTED_VALUE"""),"Hypothesis : If ...Then")</f>
        <v/>
      </c>
      <c r="D46" s="7">
        <f>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
      </c>
      <c r="E4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6" s="7" t="inlineStr">
        <is>
          <t>Students create algorithms and program robots using platforms like LearningApps and Scratch, with embedded artifacts including interactive learning modules and hypothesis-forming tools like Golabz app/lab.</t>
        </is>
      </c>
      <c r="G46" s="8" t="n"/>
      <c r="H46" s="8" t="n"/>
      <c r="I46" s="8" t="n"/>
      <c r="J46" s="8" t="n"/>
      <c r="K46" s="9" t="n"/>
      <c r="L46" s="9" t="n"/>
      <c r="M46" s="9" t="n"/>
      <c r="N46" s="9" t="n"/>
      <c r="O46" s="10" t="n"/>
      <c r="P46" s="10" t="n"/>
      <c r="Q46" s="10" t="n"/>
      <c r="R46" s="10" t="n"/>
      <c r="S46" s="10" t="n"/>
    </row>
    <row r="47" ht="145" customHeight="1">
      <c r="A47" s="6">
        <f>IFERROR(__xludf.DUMMYFUNCTION("""COMPUTED_VALUE"""),"Machine Learning and Artificial Intelligence")</f>
        <v/>
      </c>
      <c r="B47" s="6">
        <f>IFERROR(__xludf.DUMMYFUNCTION("""COMPUTED_VALUE"""),"Resource")</f>
        <v/>
      </c>
      <c r="C47" s="6">
        <f>IFERROR(__xludf.DUMMYFUNCTION("""COMPUTED_VALUE"""),"Video tutorial: ""Make me Happy"" - Scratch coding")</f>
        <v/>
      </c>
      <c r="D47" s="7">
        <f>IFERROR(__xludf.DUMMYFUNCTION("""COMPUTED_VALUE"""),"&lt;p&gt;Watch carefully to video below and try to understand how the scratch commands as used to make a face respond (happy, sad, neutral) to the words we are texting. &lt;/p&gt;")</f>
        <v/>
      </c>
      <c r="E47" s="7">
        <f>IFERROR(__xludf.DUMMYFUNCTION("""COMPUTED_VALUE"""),"youtu.be: A shortened URL service for YouTube, leading to various videos on the platform.")</f>
        <v/>
      </c>
      <c r="F47" s="7" t="inlineStr">
        <is>
          <t>Students program robots using Scratch, creating reactions to text inputs. Embedded artifacts include Scratchpad and YouTube video.</t>
        </is>
      </c>
      <c r="G47" s="8" t="n"/>
      <c r="H47" s="8" t="n"/>
      <c r="I47" s="8" t="n"/>
      <c r="J47" s="8" t="n"/>
      <c r="K47" s="9" t="n"/>
      <c r="L47" s="9" t="n"/>
      <c r="M47" s="9" t="n"/>
      <c r="N47" s="9" t="n"/>
      <c r="O47" s="10" t="n"/>
      <c r="P47" s="10" t="n"/>
      <c r="Q47" s="10" t="n"/>
      <c r="R47" s="10" t="n"/>
      <c r="S47" s="10" t="n"/>
    </row>
    <row r="48" ht="274" customHeight="1">
      <c r="A48" s="6">
        <f>IFERROR(__xludf.DUMMYFUNCTION("""COMPUTED_VALUE"""),"Machine Learning and Artificial Intelligence")</f>
        <v/>
      </c>
      <c r="B48" s="6">
        <f>IFERROR(__xludf.DUMMYFUNCTION("""COMPUTED_VALUE"""),"Application")</f>
        <v/>
      </c>
      <c r="C48" s="6">
        <f>IFERROR(__xludf.DUMMYFUNCTION("""COMPUTED_VALUE"""),"Quiz Tool")</f>
        <v/>
      </c>
      <c r="D48" s="7">
        <f>IFERROR(__xludf.DUMMYFUNCTION("""COMPUTED_VALUE"""),"&lt;p&gt;Select True or False&lt;/p&gt;")</f>
        <v/>
      </c>
      <c r="E4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8" s="7" t="inlineStr">
        <is>
          <t>Students complete tasks: formulate hypotheses, watch a video, and take a quiz, using embedded artifacts like Scratchpad, YouTube, and Quiz apps.</t>
        </is>
      </c>
      <c r="G48" s="8" t="n"/>
      <c r="H48" s="8" t="n"/>
      <c r="I48" s="8" t="n"/>
      <c r="J48" s="8" t="n"/>
      <c r="K48" s="9" t="n"/>
      <c r="L48" s="9" t="n"/>
      <c r="M48" s="9" t="n"/>
      <c r="N48" s="9" t="n"/>
      <c r="O48" s="10" t="n"/>
      <c r="P48" s="10" t="n"/>
      <c r="Q48" s="10" t="n"/>
      <c r="R48" s="10" t="n"/>
      <c r="S48" s="10" t="n"/>
    </row>
    <row r="49" ht="409.6" customHeight="1">
      <c r="A49" s="6">
        <f>IFERROR(__xludf.DUMMYFUNCTION("""COMPUTED_VALUE"""),"Machine Learning and Artificial Intelligence")</f>
        <v/>
      </c>
      <c r="B49" s="6">
        <f>IFERROR(__xludf.DUMMYFUNCTION("""COMPUTED_VALUE"""),"Application")</f>
        <v/>
      </c>
      <c r="C49" s="6">
        <f>IFERROR(__xludf.DUMMYFUNCTION("""COMPUTED_VALUE"""),"Create your own Scratch program: Emotional Robot Face")</f>
        <v/>
      </c>
      <c r="D49" s="7">
        <f>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
      </c>
      <c r="E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9" s="7" t="inlineStr">
        <is>
          <t>Students are instructed to watch a video, complete a quiz, and create a Scratch program with reactions to polite and impolite words, using embedded artifacts like YouTube videos and Golabz apps.</t>
        </is>
      </c>
      <c r="G49" s="8" t="n"/>
      <c r="H49" s="8" t="n"/>
      <c r="I49" s="8" t="n"/>
      <c r="J49" s="8" t="n"/>
      <c r="K49" s="9" t="n"/>
      <c r="L49" s="9" t="n"/>
      <c r="M49" s="9" t="n"/>
      <c r="N49" s="9" t="n"/>
      <c r="O49" s="10" t="n"/>
      <c r="P49" s="10" t="n"/>
      <c r="Q49" s="10" t="n"/>
      <c r="R49" s="10" t="n"/>
      <c r="S49" s="10" t="n"/>
    </row>
    <row r="50" ht="409.6" customHeight="1">
      <c r="A50" s="6">
        <f>IFERROR(__xludf.DUMMYFUNCTION("""COMPUTED_VALUE"""),"Machine Learning and Artificial Intelligence")</f>
        <v/>
      </c>
      <c r="B50" s="6">
        <f>IFERROR(__xludf.DUMMYFUNCTION("""COMPUTED_VALUE"""),"Application")</f>
        <v/>
      </c>
      <c r="C50" s="6">
        <f>IFERROR(__xludf.DUMMYFUNCTION("""COMPUTED_VALUE"""),"SpeakUp: How can we improve our Scratch Program?")</f>
        <v/>
      </c>
      <c r="D50" s="7">
        <f>IFERROR(__xludf.DUMMYFUNCTION("""COMPUTED_VALUE"""),"&lt;p&gt;Share your thoughts/ideas/suggestions of how you could improve this program to trace for example Speech Hate on Social Media.&lt;/p&gt;")</f>
        <v/>
      </c>
      <c r="E50"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0" s="7" t="inlineStr">
        <is>
          <t>Students select true/false, create a robot reaction program, and share thoughts on improving a hate speech tracing program, with embedded artifacts including quiz apps and collaboration tools.</t>
        </is>
      </c>
      <c r="G50" s="8" t="n"/>
      <c r="H50" s="8" t="n"/>
      <c r="I50" s="8" t="n"/>
      <c r="J50" s="8" t="n"/>
      <c r="K50" s="9" t="n"/>
      <c r="L50" s="9" t="n"/>
      <c r="M50" s="9" t="n"/>
      <c r="N50" s="9" t="n"/>
      <c r="O50" s="10" t="n"/>
      <c r="P50" s="10" t="n"/>
      <c r="Q50" s="10" t="n"/>
      <c r="R50" s="10" t="n"/>
      <c r="S50" s="10" t="n"/>
    </row>
    <row r="51" ht="409.6" customHeight="1">
      <c r="A51" s="6">
        <f>IFERROR(__xludf.DUMMYFUNCTION("""COMPUTED_VALUE"""),"Machine Learning and Artificial Intelligence")</f>
        <v/>
      </c>
      <c r="B51" s="6">
        <f>IFERROR(__xludf.DUMMYFUNCTION("""COMPUTED_VALUE"""),"Space")</f>
        <v/>
      </c>
      <c r="C51" s="6">
        <f>IFERROR(__xludf.DUMMYFUNCTION("""COMPUTED_VALUE"""),"Conclusion")</f>
        <v/>
      </c>
      <c r="D51" s="7">
        <f>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
      </c>
      <c r="E51" s="7">
        <f>IFERROR(__xludf.DUMMYFUNCTION("""COMPUTED_VALUE"""),"No artifact embedded")</f>
        <v/>
      </c>
      <c r="F51" s="7" t="inlineStr">
        <is>
          <t>Students create a robot program, share improvement ideas, and explore machine learning concepts through interactive activities on Scratch and Google AI Experiments. Embedded artifacts include Golabz apps for note-taking and social discussions.</t>
        </is>
      </c>
      <c r="G51" s="8" t="n"/>
      <c r="H51" s="8" t="n"/>
      <c r="I51" s="8" t="n"/>
      <c r="J51" s="8" t="n"/>
      <c r="K51" s="9" t="n"/>
      <c r="L51" s="9" t="n"/>
      <c r="M51" s="9" t="n"/>
      <c r="N51" s="9" t="n"/>
      <c r="O51" s="10" t="n"/>
      <c r="P51" s="10" t="n"/>
      <c r="Q51" s="10" t="n"/>
      <c r="R51" s="10" t="n"/>
      <c r="S51" s="10" t="n"/>
    </row>
    <row r="52" ht="145" customHeight="1">
      <c r="A52" s="6">
        <f>IFERROR(__xludf.DUMMYFUNCTION("""COMPUTED_VALUE"""),"Machine Learning and Artificial Intelligence")</f>
        <v/>
      </c>
      <c r="B52" s="6">
        <f>IFERROR(__xludf.DUMMYFUNCTION("""COMPUTED_VALUE"""),"Resource")</f>
        <v/>
      </c>
      <c r="C52" s="6">
        <f>IFERROR(__xludf.DUMMYFUNCTION("""COMPUTED_VALUE"""),"Quick, Draw! by Google Creative Lab | Experiments with Google")</f>
        <v/>
      </c>
      <c r="D52" s="7">
        <f>IFERROR(__xludf.DUMMYFUNCTION("""COMPUTED_VALUE"""),"&lt;p&gt;A game where a neural net tries to guess what you’re drawing. Watch the tutorial video first and then click on the LAUNCH EXPERIMENT button below! &lt;/p&gt;")</f>
        <v/>
      </c>
      <c r="E52" s="7">
        <f>IFERROR(__xludf.DUMMYFUNCTION("""COMPUTED_VALUE"""),"experiments.withgoogle.com: Showcases Google's experimental projects, such as ""Quick, Draw!"", an AI-based drawing game.")</f>
        <v/>
      </c>
      <c r="F52" s="7" t="inlineStr">
        <is>
          <t>Students share ideas to improve a program tracing hate speech. Embedded artifacts include Golabz app and Google AI Experiments.</t>
        </is>
      </c>
      <c r="G52" s="8" t="n"/>
      <c r="H52" s="8" t="n"/>
      <c r="I52" s="8" t="n"/>
      <c r="J52" s="8" t="n"/>
      <c r="K52" s="9" t="n"/>
      <c r="L52" s="9" t="n"/>
      <c r="M52" s="9" t="n"/>
      <c r="N52" s="9" t="n"/>
      <c r="O52" s="10" t="n"/>
      <c r="P52" s="10" t="n"/>
      <c r="Q52" s="10" t="n"/>
      <c r="R52" s="10" t="n"/>
      <c r="S52" s="10" t="n"/>
    </row>
    <row r="53" ht="145" customHeight="1">
      <c r="A53" s="6">
        <f>IFERROR(__xludf.DUMMYFUNCTION("""COMPUTED_VALUE"""),"Machine Learning and Artificial Intelligence")</f>
        <v/>
      </c>
      <c r="B53" s="6">
        <f>IFERROR(__xludf.DUMMYFUNCTION("""COMPUTED_VALUE"""),"Space")</f>
        <v/>
      </c>
      <c r="C53" s="6">
        <f>IFERROR(__xludf.DUMMYFUNCTION("""COMPUTED_VALUE"""),"Discussion")</f>
        <v/>
      </c>
      <c r="D53" s="7">
        <f>IFERROR(__xludf.DUMMYFUNCTION("""COMPUTED_VALUE"""),"&lt;p&gt;We have seen that the quantity of data has a direct impact to how accurate will be the reactions of  our model (robot). But, what about the data quality?&lt;/p&gt;")</f>
        <v/>
      </c>
      <c r="E53" s="7">
        <f>IFERROR(__xludf.DUMMYFUNCTION("""COMPUTED_VALUE"""),"No artifact embedded")</f>
        <v/>
      </c>
      <c r="F53" s="7" t="inlineStr">
        <is>
          <t>Students are taught machine learning concepts through interactive experiments, such as drawing games, with embedded artifacts like Google AI Experiments.</t>
        </is>
      </c>
      <c r="G53" s="8" t="n"/>
      <c r="H53" s="8" t="n"/>
      <c r="I53" s="8" t="n"/>
      <c r="J53" s="8" t="n"/>
      <c r="K53" s="9" t="n"/>
      <c r="L53" s="9" t="n"/>
      <c r="M53" s="9" t="n"/>
      <c r="N53" s="9" t="n"/>
      <c r="O53" s="10" t="n"/>
      <c r="P53" s="10" t="n"/>
      <c r="Q53" s="10" t="n"/>
      <c r="R53" s="10" t="n"/>
      <c r="S53" s="10" t="n"/>
    </row>
    <row r="54" ht="409.6" customHeight="1">
      <c r="A54" s="6">
        <f>IFERROR(__xludf.DUMMYFUNCTION("""COMPUTED_VALUE"""),"Machine Learning and Artificial Intelligence")</f>
        <v/>
      </c>
      <c r="B54" s="6">
        <f>IFERROR(__xludf.DUMMYFUNCTION("""COMPUTED_VALUE"""),"Application")</f>
        <v/>
      </c>
      <c r="C54" s="6">
        <f>IFERROR(__xludf.DUMMYFUNCTION("""COMPUTED_VALUE"""),"Speakup")</f>
        <v/>
      </c>
      <c r="D54" s="7">
        <f>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
      </c>
      <c r="E5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4" s="7" t="inlineStr">
        <is>
          <t>Students are given tasks and tutorials with embedded artifacts like AI games and discussion apps to explore machine learning concepts and ethics.</t>
        </is>
      </c>
      <c r="G54" s="8" t="n"/>
      <c r="H54" s="8" t="n"/>
      <c r="I54" s="8" t="n"/>
      <c r="J54" s="8" t="n"/>
      <c r="K54" s="9" t="n"/>
      <c r="L54" s="9" t="n"/>
      <c r="M54" s="9" t="n"/>
      <c r="N54" s="9" t="n"/>
      <c r="O54" s="10" t="n"/>
      <c r="P54" s="10" t="n"/>
      <c r="Q54" s="10" t="n"/>
      <c r="R54" s="10" t="n"/>
      <c r="S54" s="10" t="n"/>
    </row>
    <row r="55" ht="85" customHeight="1">
      <c r="A55" s="6">
        <f>IFERROR(__xludf.DUMMYFUNCTION("""COMPUTED_VALUE"""),"BHIMS")</f>
        <v/>
      </c>
      <c r="B55" s="6">
        <f>IFERROR(__xludf.DUMMYFUNCTION("""COMPUTED_VALUE"""),"Space")</f>
        <v/>
      </c>
      <c r="C55" s="6">
        <f>IFERROR(__xludf.DUMMYFUNCTION("""COMPUTED_VALUE"""),"Orientation")</f>
        <v/>
      </c>
      <c r="D55" s="7">
        <f>IFERROR(__xludf.DUMMYFUNCTION("""COMPUTED_VALUE"""),"&lt;p&gt;What do we know about Black holes?&lt;/p&gt;&lt;p&gt;&lt;br&gt;&lt;/p&gt;")</f>
        <v/>
      </c>
      <c r="E55" s="7">
        <f>IFERROR(__xludf.DUMMYFUNCTION("""COMPUTED_VALUE"""),"No artifact embedded")</f>
        <v/>
      </c>
      <c r="F55" s="7" t="inlineStr">
        <is>
          <t>Students discuss data quality and ethics in AI, with one task using the SpeakUp app for a class discussion.</t>
        </is>
      </c>
      <c r="G55" s="8" t="n"/>
      <c r="H55" s="8" t="n"/>
      <c r="I55" s="8" t="n"/>
      <c r="J55" s="8" t="n"/>
      <c r="K55" s="9" t="n"/>
      <c r="L55" s="9" t="n"/>
      <c r="M55" s="9" t="n"/>
      <c r="N55" s="9" t="n"/>
      <c r="O55" s="10" t="n"/>
      <c r="P55" s="10" t="n"/>
      <c r="Q55" s="10" t="n"/>
      <c r="R55" s="10" t="n"/>
      <c r="S55" s="10" t="n"/>
    </row>
    <row r="56" ht="109" customHeight="1">
      <c r="A56" s="6">
        <f>IFERROR(__xludf.DUMMYFUNCTION("""COMPUTED_VALUE"""),"BHIMS")</f>
        <v/>
      </c>
      <c r="B56" s="6">
        <f>IFERROR(__xludf.DUMMYFUNCTION("""COMPUTED_VALUE"""),"Resource")</f>
        <v/>
      </c>
      <c r="C56" s="6">
        <f>IFERROR(__xludf.DUMMYFUNCTION("""COMPUTED_VALUE"""),"cygX1.gif")</f>
        <v/>
      </c>
      <c r="D56" s="7">
        <f>IFERROR(__xludf.DUMMYFUNCTION("""COMPUTED_VALUE"""),"No task description")</f>
        <v/>
      </c>
      <c r="E56" s="7">
        <f>IFERROR(__xludf.DUMMYFUNCTION("""COMPUTED_VALUE"""),"image/gif – An animated or static graphic using the GIF format, often seen in memes and web animations.")</f>
        <v/>
      </c>
      <c r="F56" s="7" t="inlineStr">
        <is>
          <t>Students discuss data quality, ethics in AI, and consequences of biased teaching. Embedded artifacts include a discussion app and a GIF image.</t>
        </is>
      </c>
      <c r="G56" s="8" t="n"/>
      <c r="H56" s="8" t="n"/>
      <c r="I56" s="8" t="n"/>
      <c r="J56" s="8" t="n"/>
      <c r="K56" s="9" t="n"/>
      <c r="L56" s="9" t="n"/>
      <c r="M56" s="9" t="n"/>
      <c r="N56" s="9" t="n"/>
      <c r="O56" s="10" t="n"/>
      <c r="P56" s="10" t="n"/>
      <c r="Q56" s="10" t="n"/>
      <c r="R56" s="10" t="n"/>
      <c r="S56" s="10" t="n"/>
    </row>
    <row r="57" ht="409.6" customHeight="1">
      <c r="A57" s="6">
        <f>IFERROR(__xludf.DUMMYFUNCTION("""COMPUTED_VALUE"""),"BHIMS")</f>
        <v/>
      </c>
      <c r="B57" s="6">
        <f>IFERROR(__xludf.DUMMYFUNCTION("""COMPUTED_VALUE"""),"Resource")</f>
        <v/>
      </c>
      <c r="C57" s="6">
        <f>IFERROR(__xludf.DUMMYFUNCTION("""COMPUTED_VALUE"""),"text 5.graasp")</f>
        <v/>
      </c>
      <c r="D57" s="7">
        <f>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
      </c>
      <c r="E57" s="7">
        <f>IFERROR(__xludf.DUMMYFUNCTION("""COMPUTED_VALUE"""),"No artifact embedded")</f>
        <v/>
      </c>
      <c r="F57" s="7" t="inlineStr">
        <is>
          <t>Students are instructed to research Black Holes. Embedded artifacts include an animated GIF image.</t>
        </is>
      </c>
      <c r="G57" s="8" t="n"/>
      <c r="H57" s="8" t="n"/>
      <c r="I57" s="8" t="n"/>
      <c r="J57" s="8" t="n"/>
      <c r="K57" s="9" t="n"/>
      <c r="L57" s="9" t="n"/>
      <c r="M57" s="9" t="n"/>
      <c r="N57" s="9" t="n"/>
      <c r="O57" s="10" t="n"/>
      <c r="P57" s="10" t="n"/>
      <c r="Q57" s="10" t="n"/>
      <c r="R57" s="10" t="n"/>
      <c r="S57" s="10" t="n"/>
    </row>
    <row r="58" ht="145" customHeight="1">
      <c r="A58" s="6">
        <f>IFERROR(__xludf.DUMMYFUNCTION("""COMPUTED_VALUE"""),"BHIMS")</f>
        <v/>
      </c>
      <c r="B58" s="6">
        <f>IFERROR(__xludf.DUMMYFUNCTION("""COMPUTED_VALUE"""),"Resource")</f>
        <v/>
      </c>
      <c r="C58" s="6">
        <f>IFERROR(__xludf.DUMMYFUNCTION("""COMPUTED_VALUE"""),"text 4.graasp")</f>
        <v/>
      </c>
      <c r="D58" s="7">
        <f>IFERROR(__xludf.DUMMYFUNCTION("""COMPUTED_VALUE"""),"No task description")</f>
        <v/>
      </c>
      <c r="E58" s="7">
        <f>IFERROR(__xludf.DUMMYFUNCTION("""COMPUTED_VALUE"""),"No artifact embedded")</f>
        <v/>
      </c>
      <c r="F58" s="7" t="inlineStr">
        <is>
          <t>Students are instructed to answer questions, watch clips, and start a journal. Embedded artifacts include a GIF image and links to videos and a movie trailer.</t>
        </is>
      </c>
      <c r="G58" s="8" t="n"/>
      <c r="H58" s="8" t="n"/>
      <c r="I58" s="8" t="n"/>
      <c r="J58" s="8" t="n"/>
      <c r="K58" s="9" t="n"/>
      <c r="L58" s="9" t="n"/>
      <c r="M58" s="9" t="n"/>
      <c r="N58" s="9" t="n"/>
      <c r="O58" s="10" t="n"/>
      <c r="P58" s="10" t="n"/>
      <c r="Q58" s="10" t="n"/>
      <c r="R58" s="10" t="n"/>
      <c r="S58" s="10" t="n"/>
    </row>
    <row r="59" ht="217" customHeight="1">
      <c r="A59" s="6">
        <f>IFERROR(__xludf.DUMMYFUNCTION("""COMPUTED_VALUE"""),"BHIMS")</f>
        <v/>
      </c>
      <c r="B59" s="6">
        <f>IFERROR(__xludf.DUMMYFUNCTION("""COMPUTED_VALUE"""),"Resource")</f>
        <v/>
      </c>
      <c r="C59" s="6">
        <f>IFERROR(__xludf.DUMMYFUNCTION("""COMPUTED_VALUE"""),"Christopher Nolan &amp; Kip Thorne Break Down The Physics of Interstellar | TIME")</f>
        <v/>
      </c>
      <c r="D59" s="7">
        <f>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
      </c>
      <c r="E59" s="7">
        <f>IFERROR(__xludf.DUMMYFUNCTION("""COMPUTED_VALUE"""),"youtube.com: A widely known video-sharing platform where users can watch videos on a vast array of topics, including educational content.")</f>
        <v/>
      </c>
      <c r="F59" s="7" t="inlineStr">
        <is>
          <t>Students are instructed to answer pre-questionnaire, watch clips, and discuss black holes. Embedded artifacts include YouTube links and movie trailers.</t>
        </is>
      </c>
      <c r="G59" s="8" t="n"/>
      <c r="H59" s="8" t="n"/>
      <c r="I59" s="8" t="n"/>
      <c r="J59" s="8" t="n"/>
      <c r="K59" s="9" t="n"/>
      <c r="L59" s="9" t="n"/>
      <c r="M59" s="9" t="n"/>
      <c r="N59" s="9" t="n"/>
      <c r="O59" s="10" t="n"/>
      <c r="P59" s="10" t="n"/>
      <c r="Q59" s="10" t="n"/>
      <c r="R59" s="10" t="n"/>
      <c r="S59" s="10" t="n"/>
    </row>
    <row r="60" ht="285" customHeight="1">
      <c r="A60" s="6">
        <f>IFERROR(__xludf.DUMMYFUNCTION("""COMPUTED_VALUE"""),"BHIMS")</f>
        <v/>
      </c>
      <c r="B60" s="6">
        <f>IFERROR(__xludf.DUMMYFUNCTION("""COMPUTED_VALUE"""),"Resource")</f>
        <v/>
      </c>
      <c r="C60" s="6">
        <f>IFERROR(__xludf.DUMMYFUNCTION("""COMPUTED_VALUE"""),"The Science of Interstellar - Discovery Channel Documentary - HD")</f>
        <v/>
      </c>
      <c r="D60" s="7">
        <f>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
      </c>
      <c r="E60" s="7">
        <f>IFERROR(__xludf.DUMMYFUNCTION("""COMPUTED_VALUE"""),"youtube.com: A widely known video-sharing platform where users can watch videos on a vast array of topics, including educational content.")</f>
        <v/>
      </c>
      <c r="F60" s="7" t="inlineStr">
        <is>
          <t>Students are instructed to watch videos about Interstellar's physics on YouTube. Embedded artifacts include two YouTube videos discussing the science behind the film.</t>
        </is>
      </c>
      <c r="G60" s="8" t="n"/>
      <c r="H60" s="8" t="n"/>
      <c r="I60" s="8" t="n"/>
      <c r="J60" s="8" t="n"/>
      <c r="K60" s="9" t="n"/>
      <c r="L60" s="9" t="n"/>
      <c r="M60" s="9" t="n"/>
      <c r="N60" s="9" t="n"/>
      <c r="O60" s="10" t="n"/>
      <c r="P60" s="10" t="n"/>
      <c r="Q60" s="10" t="n"/>
      <c r="R60" s="10" t="n"/>
      <c r="S60" s="10" t="n"/>
    </row>
    <row r="61" ht="318" customHeight="1">
      <c r="A61" s="6">
        <f>IFERROR(__xludf.DUMMYFUNCTION("""COMPUTED_VALUE"""),"BHIMS")</f>
        <v/>
      </c>
      <c r="B61" s="6">
        <f>IFERROR(__xludf.DUMMYFUNCTION("""COMPUTED_VALUE"""),"Space")</f>
        <v/>
      </c>
      <c r="C61" s="6">
        <f>IFERROR(__xludf.DUMMYFUNCTION("""COMPUTED_VALUE"""),"Investigation")</f>
        <v/>
      </c>
      <c r="D61" s="7">
        <f>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
      </c>
      <c r="E61" s="7">
        <f>IFERROR(__xludf.DUMMYFUNCTION("""COMPUTED_VALUE"""),"No artifact embedded")</f>
        <v/>
      </c>
      <c r="F61" s="7" t="inlineStr">
        <is>
          <t>Students watch videos on Interstellar's physics, then learn image processing software Salsa J for astronomical research. Embedded artifacts include YouTube videos.</t>
        </is>
      </c>
      <c r="G61" s="8" t="n"/>
      <c r="H61" s="8" t="n"/>
      <c r="I61" s="8" t="n"/>
      <c r="J61" s="8" t="n"/>
      <c r="K61" s="9" t="n"/>
      <c r="L61" s="9" t="n"/>
      <c r="M61" s="9" t="n"/>
      <c r="N61" s="9" t="n"/>
      <c r="O61" s="10" t="n"/>
      <c r="P61" s="10" t="n"/>
      <c r="Q61" s="10" t="n"/>
      <c r="R61" s="10" t="n"/>
      <c r="S61" s="10" t="n"/>
    </row>
    <row r="62" ht="395" customHeight="1">
      <c r="A62" s="6">
        <f>IFERROR(__xludf.DUMMYFUNCTION("""COMPUTED_VALUE"""),"BHIMS")</f>
        <v/>
      </c>
      <c r="B62" s="6">
        <f>IFERROR(__xludf.DUMMYFUNCTION("""COMPUTED_VALUE"""),"Resource")</f>
        <v/>
      </c>
      <c r="C62" s="6">
        <f>IFERROR(__xludf.DUMMYFUNCTION("""COMPUTED_VALUE"""),"text 0.graasp")</f>
        <v/>
      </c>
      <c r="D62" s="7">
        <f>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
      </c>
      <c r="E62" s="7">
        <f>IFERROR(__xludf.DUMMYFUNCTION("""COMPUTED_VALUE"""),"No artifact embedded")</f>
        <v/>
      </c>
      <c r="F62" s="7" t="inlineStr">
        <is>
          <t>Students are instructed to watch videos, use image processing software, and read documents to learn about Interstellar and astronomy research. Embedded artifacts include a YouTube video link.</t>
        </is>
      </c>
      <c r="G62" s="8" t="n"/>
      <c r="H62" s="8" t="n"/>
      <c r="I62" s="8" t="n"/>
      <c r="J62" s="8" t="n"/>
      <c r="K62" s="9" t="n"/>
      <c r="L62" s="9" t="n"/>
      <c r="M62" s="9" t="n"/>
      <c r="N62" s="9" t="n"/>
      <c r="O62" s="10" t="n"/>
      <c r="P62" s="10" t="n"/>
      <c r="Q62" s="10" t="n"/>
      <c r="R62" s="10" t="n"/>
      <c r="S62" s="10" t="n"/>
    </row>
    <row r="63" ht="409.6" customHeight="1">
      <c r="A63" s="6">
        <f>IFERROR(__xludf.DUMMYFUNCTION("""COMPUTED_VALUE"""),"BHIMS")</f>
        <v/>
      </c>
      <c r="B63" s="6">
        <f>IFERROR(__xludf.DUMMYFUNCTION("""COMPUTED_VALUE"""),"Resource")</f>
        <v/>
      </c>
      <c r="C63" s="6">
        <f>IFERROR(__xludf.DUMMYFUNCTION("""COMPUTED_VALUE"""),"BHIMS_Photometry.pdf")</f>
        <v/>
      </c>
      <c r="D63" s="7"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7">
        <f>IFERROR(__xludf.DUMMYFUNCTION("""COMPUTED_VALUE"""),"application/pdf – A portable document format (PDF) file, preserving text and layout for consistent viewing across devices.")</f>
        <v/>
      </c>
      <c r="F63" s="7" t="inlineStr">
        <is>
          <t>The provided text is a tutorial on how to perform photometry analysis on astronomical images. Here's a step-by-step summary of the process:
1. **Understanding Photometry**: Photometry is the measurement of the brightness of celestial objects.
2. **Choosing an Aperture Radius**: To measure the brightness of a star, you need to choose an appropriate aperture radius. The aperture radius should be large enough to include the entire star, but not so large that it includes too much background noise.
3. **Determining the Best Aperture Radius**: To determine the best aperture radius, plot a graph of intensity vs. aperture radius. The graph will show a rapid rise in intensity as the radius increases, followed by a flattening out. The point where the graph starts to flatten out is the optimal aperture radius.
4. **Measuring the Brightness of a Star**: Once you have determined the best aperture radius, use the photometry tool to measure the brightness of the star in counts.
5. **Comparing Images**: When comparing images of the same region taken on different nights, make sure to use the same aperture radius for all images to ensure accurate comparisons.
The tutorial provides examples of how to perform these steps using specific images, including:
* **PTstar1** and **PTstar2**: These images are used to demonstrate how to measure the brightness of a star in counts.
* **PTnight1**, **PTnight2**, **PTnight3**, and **PTnight4**: These images contain a Cepheid variable star and are used to demonstrate how to compare the brightness of a target star and a reference star across different images.
The tutorial also provides tips, such as:
* **Deleting incorrect measurements**: If you're unsure about a measurement, you can delete it by selecting the line and choosing "Edit" &gt; "Cut".
* **Using the same aperture radius for multiple images**: When comparing images taken in different wavelengths (e.g., B and V), use the same aperture radius to ensure accurate comparisons.
Overall, this tutorial provides a step-by-step guide on how to perform photometry analysis on astronomical images, including choosing an appropriate aperture radius, measuring the brightness of stars, and comparing images.</t>
        </is>
      </c>
      <c r="G63" s="8" t="n"/>
      <c r="H63" s="8" t="n"/>
      <c r="I63" s="8" t="n"/>
      <c r="J63" s="8" t="n"/>
      <c r="K63" s="9" t="n"/>
      <c r="L63" s="9" t="n"/>
      <c r="M63" s="9" t="n"/>
      <c r="N63" s="9" t="n"/>
      <c r="O63" s="10" t="n"/>
      <c r="P63" s="10" t="n"/>
      <c r="Q63" s="10" t="n"/>
      <c r="R63" s="10" t="n"/>
      <c r="S63" s="10" t="n"/>
    </row>
    <row r="64" ht="409.6" customHeight="1">
      <c r="A64" s="6">
        <f>IFERROR(__xludf.DUMMYFUNCTION("""COMPUTED_VALUE"""),"BHIMS")</f>
        <v/>
      </c>
      <c r="B64" s="6">
        <f>IFERROR(__xludf.DUMMYFUNCTION("""COMPUTED_VALUE"""),"Resource")</f>
        <v/>
      </c>
      <c r="C64" s="6">
        <f>IFERROR(__xludf.DUMMYFUNCTION("""COMPUTED_VALUE"""),"observing_blackholes.pdf")</f>
        <v/>
      </c>
      <c r="D64" s="7"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7">
        <f>IFERROR(__xludf.DUMMYFUNCTION("""COMPUTED_VALUE"""),"application/pdf – A portable document format (PDF) file, preserving text and layout for consistent viewing across devices.")</f>
        <v/>
      </c>
      <c r="F64" s="7" t="inlineStr">
        <is>
          <t>This is a long and detailed educational resource on astronomy, specifically on the topic of stellar black holes. I'll provide a summary of the content:
**Introduction**
The resource introduces the topic of stellar black holes, which are formed when a massive star collapses in on itself. The text describes the properties of black holes and how they can be detected.
**Case Study: XTE J1118+480**
The resource focuses on a specific stellar black hole candidate, XTE J1118+480. This object is a binary system consisting of a visible star and a compact object, which is believed to be a black hole. The text describes the observations and measurements made of this system, including its orbital period, radial velocity, and mass.
**Data Analysis**
The resource provides a step-by-step guide on how to analyze the data from the XTE J1118+480 system. This includes:
1. Plotting the counts ( brightness) of the target object over time.
2. Identifying the periodicity of the system (i.e., the orbital period).
3. Converting Julian dates to phase using a specific formula.
4. Using the mass function formula to estimate the mass limit of the compact object.
**Calculations**
The resource provides calculations for estimating the mass limit of the black hole candidate XTE J1118+480. The calculations use approximate values for the orbital period, radial velocity, and companion mass. The result is an estimated mass limit of approximately 6.3 solar masses (M).
**Conclusion**
The resource concludes by comparing the calculated mass limit to the assumed value of 6.1 M, which is consistent with the expected mass of a stellar black hole candidate.
Overall, this resource provides a comprehensive and detailed introduction to the topic of stellar black holes, using a specific case study to illustrate the concepts and calculations involved in detecting and characterizing these objects.</t>
        </is>
      </c>
      <c r="G64" s="8" t="n"/>
      <c r="H64" s="8" t="n"/>
      <c r="I64" s="8" t="n"/>
      <c r="J64" s="8" t="n"/>
      <c r="K64" s="9" t="n"/>
      <c r="L64" s="9" t="n"/>
      <c r="M64" s="9" t="n"/>
      <c r="N64" s="9" t="n"/>
      <c r="O64" s="10" t="n"/>
      <c r="P64" s="10" t="n"/>
      <c r="Q64" s="10" t="n"/>
      <c r="R64" s="10" t="n"/>
      <c r="S64" s="10" t="n"/>
    </row>
    <row r="65" ht="409.6" customHeight="1">
      <c r="A65" s="6">
        <f>IFERROR(__xludf.DUMMYFUNCTION("""COMPUTED_VALUE"""),"BHIMS")</f>
        <v/>
      </c>
      <c r="B65" s="6">
        <f>IFERROR(__xludf.DUMMYFUNCTION("""COMPUTED_VALUE"""),"Resource")</f>
        <v/>
      </c>
      <c r="C65" s="6">
        <f>IFERROR(__xludf.DUMMYFUNCTION("""COMPUTED_VALUE"""),"Text 1.graasp")</f>
        <v/>
      </c>
      <c r="D65" s="7">
        <f>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
      </c>
      <c r="E65" s="7">
        <f>IFERROR(__xludf.DUMMYFUNCTION("""COMPUTED_VALUE"""),"No artifact embedded")</f>
        <v/>
      </c>
      <c r="F65" s="7" t="inlineStr">
        <is>
          <t>It appears that we have a detailed tutorial on how to measure the brightness of a companion star to a Black Hole Candidate XTE J1118 and estimate the mass limit of the black hole. Here's a breakdown of the steps involved:
**Step 1: Measure the brightness of the companion star**
* Download the images of XTE J1118 from the provided link
* Use the finder image to identify the companion star and three comparison stars
* Measure the brightness (counts) of the companion star and the comparison stars using a suitable software (e.g., astropy, IRAF, etc.)
* Record the measured counts for each star
**Step 2: Create a graph with the measured values**
* Plot the counts against time (Julian Date) for the companion star and the comparison stars
* Use the graph to visualize the variability of the companion star's brightness
**Step 3: Estimate the orbital period**
* Use the graph to estimate the orbital period of the system (approximately 4.08 hours or 0.17 days)
* You can also try adapting different values of the period to find the best fit
**Step 4: Calculate the phase**
* Use the formula `Phase = (MJD - T0) / P` to calculate the phase for each data point
* Where MJD is the Julian Date, T0 is the Julian Date of the first image, and P is the orbital period
**Step 5: Determine the mass limit of the black hole candidate**
* Use the formula `(M1 sin(i))^3 = (G \* (P \* K2)^2) / (4 \* pi^2 \* (1 + M2/M1)^2)` to estimate the mass limit of the black hole
* Where M1 is the mass of the black hole, i is the inclination angle, G is the gravitational constant, P is the orbital period, K2 is the radial velocity of the companion star, and M2 is the mass of the companion star
**Step 6: Plug in the values**
* Use the known values:
	+ Orbital period (P) = 0.17 days
	+ Radial velocity of the companion star (K2) = ~700 km/s
	+ Mass of the companion star (M2) = ~6.1 Msolar
	+ Gravitational constant (G) = 6.67384 × 10^-11 m^3 kg^-1 s^-2
* Calculate the mass limit of the black hole candidate using the formula
The resulting calculation should yield an estimated mass limit for the black hole candidate XTE J1118.
Please let me know if you'd like to proceed with any specific step or if you have questions regarding the process!</t>
        </is>
      </c>
      <c r="G65" s="8" t="n"/>
      <c r="H65" s="8" t="n"/>
      <c r="I65" s="8" t="n"/>
      <c r="J65" s="8" t="n"/>
      <c r="K65" s="9" t="n"/>
      <c r="L65" s="9" t="n"/>
      <c r="M65" s="9" t="n"/>
      <c r="N65" s="9" t="n"/>
      <c r="O65" s="10" t="n"/>
      <c r="P65" s="10" t="n"/>
      <c r="Q65" s="10" t="n"/>
      <c r="R65" s="10" t="n"/>
      <c r="S65" s="10" t="n"/>
    </row>
    <row r="66" ht="409.6" customHeight="1">
      <c r="A66" s="6">
        <f>IFERROR(__xludf.DUMMYFUNCTION("""COMPUTED_VALUE"""),"BHIMS")</f>
        <v/>
      </c>
      <c r="B66" s="6">
        <f>IFERROR(__xludf.DUMMYFUNCTION("""COMPUTED_VALUE"""),"Space")</f>
        <v/>
      </c>
      <c r="C66" s="6">
        <f>IFERROR(__xludf.DUMMYFUNCTION("""COMPUTED_VALUE"""),"Advanced Research")</f>
        <v/>
      </c>
      <c r="D66" s="7">
        <f>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
      </c>
      <c r="E66" s="7">
        <f>IFERROR(__xludf.DUMMYFUNCTION("""COMPUTED_VALUE"""),"No artifact embedded")</f>
        <v/>
      </c>
      <c r="F66" s="7" t="inlineStr">
        <is>
          <t>To address this prompt effectively, let's break down the key components and provide a structured approach to each task mentioned in the prompt.
### Task 1: Measuring Brightness and Finding Mass Limit
1. **Accessing Images and Finder**: Use the provided link to access the images of XTE J1118 and the finder chart that identifies the companion star and the three comparison stars.
2. **Measuring Brightness**:
   - Open each image in a suitable software (e.g., Adobe Photoshop, IRAF, or any astronomical image processing tool).
   - Measure the brightness (in terms of pixel counts or magnitudes) of the companion star to the Black Hole Candidate XTE J1118 and the three comparison stars. Ensure you're using the same method for all measurements.
   - Record these values in a table or spreadsheet for easy reference.
3. **Creating a Graph**:
   - Using the measured brightness values, create a graph (e.g., light curve) that plots the brightness of the companion star over time against the brightness of one or more comparison stars.
   - This can help visualize any variability and ensure your measurements are consistent with expectations for a stellar black hole candidate.
4. **Calculating Mass Limit**:
   - Follow the example provided in the "Observing Stellar Black Hole Candidates" PDF to calculate the mass limit of the black hole candidate.
   - Use the formula \(f(M) = \frac{M_1 \sin^3 i}{(M_1 + M_2)^2} = \frac{P K_2^3 (1-e^2)^{3/2}}{2\pi G}\), where:
     - \(f(M)\) is the mass function,
     - \(M_1\) and \(M_2\) are masses of the black hole and companion star, respectively,
     - \(i\) is the inclination angle of the orbital plane,
     - \(P\) is the orbital period,
     - \(K_2\) is the radial velocity amplitude of the companion star,
     - \(e\) is the eccentricity of the orbit (usually assumed to be 0 for simplicity),
     - \(G\) is the gravitational constant.
   - Given values: \(P = 4.08\) hours, \(K_2 \approx 700\) km/s, and assuming \(M_2 \approx 6.1 M_{\odot}\), calculate the mass limit of the black hole candidate.
### Task 2: Preparing Observing Session with Faulkes Telescope
1. **Account Setup**: Request your teacher's assistance in setting up an account for accessing the Faulkes Telescope.
2. **Step-by-Step Guide**: Follow the provided guide to prepare your observing session, which typically includes:
   - Identifying a target (in this case, stellar black hole candidates),
   - Checking the observability of the target based on its position and the time of observation,
   - Selecting appropriate filters or instruments for the observation.
3. **Request Coordinates**: Contact the BHIMS project coordinators (rosa.doran@nuclio.pt) to request the coordinates of the objects you wish to observe.
### Task 3: General Preparation
- Read through any additional texts provided on black holes to deepen your understanding of these objects and their observation.
- Ensure you have a good grasp of the theoretical background necessary for interpreting your observations, including concepts like orbital periods, radial velocities, and mass functions.
By following these steps, you should be well-equipped to tackle each task outlined in the prompt. Remember to carefully document your process and results for future reference or presentation.</t>
        </is>
      </c>
      <c r="G66" s="8" t="n"/>
      <c r="H66" s="8" t="n"/>
      <c r="I66" s="8" t="n"/>
      <c r="J66" s="8" t="n"/>
      <c r="K66" s="9" t="n"/>
      <c r="L66" s="9" t="n"/>
      <c r="M66" s="9" t="n"/>
      <c r="N66" s="9" t="n"/>
      <c r="O66" s="10" t="n"/>
      <c r="P66" s="10" t="n"/>
      <c r="Q66" s="10" t="n"/>
      <c r="R66" s="10" t="n"/>
      <c r="S66" s="10" t="n"/>
    </row>
    <row r="67" ht="409.6" customHeight="1">
      <c r="A67" s="6">
        <f>IFERROR(__xludf.DUMMYFUNCTION("""COMPUTED_VALUE"""),"BHIMS")</f>
        <v/>
      </c>
      <c r="B67" s="6">
        <f>IFERROR(__xludf.DUMMYFUNCTION("""COMPUTED_VALUE"""),"Resource")</f>
        <v/>
      </c>
      <c r="C67" s="6">
        <f>IFERROR(__xludf.DUMMYFUNCTION("""COMPUTED_VALUE"""),"Stellarium_FT_userguide.pdf")</f>
        <v/>
      </c>
      <c r="D67" s="7">
        <f>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
      </c>
      <c r="E67" s="7">
        <f>IFERROR(__xludf.DUMMYFUNCTION("""COMPUTED_VALUE"""),"application/pdf – A portable document format (PDF) file, preserving text and layout for consistent viewing across devices.")</f>
        <v/>
      </c>
      <c r="F67" s="7" t="inlineStr">
        <is>
          <t>Students measure star brightness, create a graph, and find black hole mass limit. Embedded artifacts include links to images, spreadsheets, and a PDF on observation planning using Stellarium.</t>
        </is>
      </c>
      <c r="G67" s="8" t="n"/>
      <c r="H67" s="8" t="n"/>
      <c r="I67" s="8" t="n"/>
      <c r="J67" s="8" t="n"/>
      <c r="K67" s="9" t="n"/>
      <c r="L67" s="9" t="n"/>
      <c r="M67" s="9" t="n"/>
      <c r="N67" s="9" t="n"/>
      <c r="O67" s="10" t="n"/>
      <c r="P67" s="10" t="n"/>
      <c r="Q67" s="10" t="n"/>
      <c r="R67" s="10" t="n"/>
      <c r="S67" s="10" t="n"/>
    </row>
    <row r="68" ht="193" customHeight="1">
      <c r="A68" s="6">
        <f>IFERROR(__xludf.DUMMYFUNCTION("""COMPUTED_VALUE"""),"BHIMS")</f>
        <v/>
      </c>
      <c r="B68" s="6">
        <f>IFERROR(__xludf.DUMMYFUNCTION("""COMPUTED_VALUE"""),"Application")</f>
        <v/>
      </c>
      <c r="C68" s="6">
        <f>IFERROR(__xludf.DUMMYFUNCTION("""COMPUTED_VALUE"""),"Shared Wiki Widget")</f>
        <v/>
      </c>
      <c r="D68" s="7">
        <f>IFERROR(__xludf.DUMMYFUNCTION("""COMPUTED_VALUE"""),"No task description")</f>
        <v/>
      </c>
      <c r="E68"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8" s="7" t="inlineStr">
        <is>
          <t>Students are instructed to observe stellar black holes using Faulkes Telescope, prepare an observing session, and use Stellarium software with embedded PDF guide and Golabz app for collaboration.</t>
        </is>
      </c>
      <c r="G68" s="8" t="n"/>
      <c r="H68" s="8" t="n"/>
      <c r="I68" s="8" t="n"/>
      <c r="J68" s="8" t="n"/>
      <c r="K68" s="9" t="n"/>
      <c r="L68" s="9" t="n"/>
      <c r="M68" s="9" t="n"/>
      <c r="N68" s="9" t="n"/>
      <c r="O68" s="10" t="n"/>
      <c r="P68" s="10" t="n"/>
      <c r="Q68" s="10" t="n"/>
      <c r="R68" s="10" t="n"/>
      <c r="S68" s="10" t="n"/>
    </row>
    <row r="69" ht="409.6" customHeight="1">
      <c r="A69" s="6">
        <f>IFERROR(__xludf.DUMMYFUNCTION("""COMPUTED_VALUE"""),"BHIMS")</f>
        <v/>
      </c>
      <c r="B69" s="6">
        <f>IFERROR(__xludf.DUMMYFUNCTION("""COMPUTED_VALUE"""),"Application")</f>
        <v/>
      </c>
      <c r="C69" s="6">
        <f>IFERROR(__xludf.DUMMYFUNCTION("""COMPUTED_VALUE"""),"The Faulkes Telescope Project")</f>
        <v/>
      </c>
      <c r="D69" s="7">
        <f>IFERROR(__xludf.DUMMYFUNCTION("""COMPUTED_VALUE"""),"No task description")</f>
        <v/>
      </c>
      <c r="E69" s="7">
        <f>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
      </c>
      <c r="F69" s="7" t="inlineStr">
        <is>
          <t>Students are instructed to plan an observing session using Stellarium software, setting location, date, and time, and selecting objects to observe. Embedded artifacts include a PDF file and Golabz app/lab tools.</t>
        </is>
      </c>
      <c r="G69" s="8" t="n"/>
      <c r="H69" s="8" t="n"/>
      <c r="I69" s="8" t="n"/>
      <c r="J69" s="8" t="n"/>
      <c r="K69" s="9" t="n"/>
      <c r="L69" s="9" t="n"/>
      <c r="M69" s="9" t="n"/>
      <c r="N69" s="9" t="n"/>
      <c r="O69" s="10" t="n"/>
      <c r="P69" s="10" t="n"/>
      <c r="Q69" s="10" t="n"/>
      <c r="R69" s="10" t="n"/>
      <c r="S69" s="10" t="n"/>
    </row>
    <row r="70" ht="409.6" customHeight="1">
      <c r="A70" s="6">
        <f>IFERROR(__xludf.DUMMYFUNCTION("""COMPUTED_VALUE"""),"BHIMS")</f>
        <v/>
      </c>
      <c r="B70" s="6">
        <f>IFERROR(__xludf.DUMMYFUNCTION("""COMPUTED_VALUE"""),"Resource")</f>
        <v/>
      </c>
      <c r="C70" s="6">
        <f>IFERROR(__xludf.DUMMYFUNCTION("""COMPUTED_VALUE"""),"BHIMS_IntroductiontoBH_V2.pdf")</f>
        <v/>
      </c>
      <c r="D70" s="7"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7">
        <f>IFERROR(__xludf.DUMMYFUNCTION("""COMPUTED_VALUE"""),"application/pdf – A portable document format (PDF) file, preserving text and layout for consistent viewing across devices.")</f>
        <v/>
      </c>
      <c r="F70" s="7" t="inlineStr">
        <is>
          <t>The text you've provided appears to be a detailed explanation of how astronomers can determine the mass of a compact object in a binary system, such as a black hole, using Kepler's third law and the Doppler effect. Here's a breakdown of the key points:
1. **Kepler's Third Law**: This law states that the square of the orbital period (P) of a star is proportional to the cube of its semi-major axis (a). In a binary system, this can be applied to determine the mass of the invisible companion (e.g., a black hole) if the mass of the visible star and the orbital parameters are known.
2. **Mass Function**: The mass function, f(M), is a quantity derived from Kepler's third law that allows astronomers to place a lower limit on the mass of the compact object without needing to know the inclination angle (i) of the binary system or the mass of the visible star. The formula for the mass function is given by:
   \[f(M) = \frac{M_1^3 \sin^3(i)}{(M_1 + M_2)^2}\]
   where \(M_1\) is the mass of the compact object, \(M_2\) is the mass of the visible star, and \(i\) is the inclination angle.
3. **Doppler Effect**: The Doppler effect is used to measure the radial velocity (velocity along the line of sight) of the visible star in a binary system. By analyzing the shift in spectral lines due to the Doppler effect, astronomers can determine how fast the star is moving towards or away from us.
4. **Determining Radial Velocity**: The radial velocity (\(K_2\)) of the visible star can be found by observing the shift in its spectral lines over time as it moves around the compact object. This information, combined with the orbital period (P), is crucial for calculating the mass function.
5. **Lower Limit on Mass**: If the calculated mass function \(f(M)\) exceeds 3 solar masses (a rough upper limit for the mass of a neutron star), it provides indirect evidence that the compact object is likely a black hole, given that neutron stars cannot exceed this mass limit due to the constraints of nuclear matter and general relativity.
6. **Importance of Inclination Angle**: The inclination angle (\(i\)) of the binary system's orbital plane relative to our line of sight affects the observed radial velocities and thus the calculated mass function. However, by assuming \(i = 90^\circ\) (edge-on) and \(M_2 = 0\), one can derive a minimum mass for the compact object.
The process outlined above demonstrates how astronomers use a combination of observational astronomy, spectroscopy, and theoretical astrophysics to infer the presence of black holes in binary systems. This method is crucial because black holes themselves do not emit light and are therefore invisible; their presence must be inferred from their gravitational effects on companion stars or other surrounding matter.</t>
        </is>
      </c>
      <c r="G70" s="8" t="n"/>
      <c r="H70" s="8" t="n"/>
      <c r="I70" s="8" t="n"/>
      <c r="J70" s="8" t="n"/>
      <c r="K70" s="9" t="n"/>
      <c r="L70" s="9" t="n"/>
      <c r="M70" s="9" t="n"/>
      <c r="N70" s="9" t="n"/>
      <c r="O70" s="10" t="n"/>
      <c r="P70" s="10" t="n"/>
      <c r="Q70" s="10" t="n"/>
      <c r="R70" s="10" t="n"/>
      <c r="S70" s="10" t="n"/>
    </row>
    <row r="71" ht="409.6" customHeight="1">
      <c r="A71" s="6">
        <f>IFERROR(__xludf.DUMMYFUNCTION("""COMPUTED_VALUE"""),"BHIMS")</f>
        <v/>
      </c>
      <c r="B71" s="6">
        <f>IFERROR(__xludf.DUMMYFUNCTION("""COMPUTED_VALUE"""),"Space")</f>
        <v/>
      </c>
      <c r="C71" s="6">
        <f>IFERROR(__xludf.DUMMYFUNCTION("""COMPUTED_VALUE"""),"Conclusion")</f>
        <v/>
      </c>
      <c r="D71" s="7">
        <f>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
      </c>
      <c r="E71" s="7">
        <f>IFERROR(__xludf.DUMMYFUNCTION("""COMPUTED_VALUE"""),"No artifact embedded")</f>
        <v/>
      </c>
      <c r="F71" s="7" t="inlineStr">
        <is>
          <t>The text you've provided appears to be a portion of a scientific article or chapter focused on the detection and study of black holes, specifically through the observation of binary star systems where one of the components is believed to be a black hole. The method described involves using Kepler's third law to determine the mass of the unseen companion (the potential black hole) by observing the orbital period and radial velocity of the visible star. Here's a summary and analysis based on the information given:
### Summary
1. **Introduction to Black Holes**: The text starts with an introduction to black holes, emphasizing their exotic nature and the role of general relativity in understanding them. However, it paradoxically notes that evidence for black holes can come from simple Newtonian mechanics.
2. **Kepler's Third Law Application**: Kepler's third law is applied to binary systems to estimate the mass of the unseen companion (potentially a black hole). This law states that the square of the orbital period of a body is directly proportional to the cube of the semi-major axis of its orbit.
3. **Mass Function Calculation**: The calculation of the mass function, \(f(M)\), is crucial. This involves the masses of both the compact object (\(M_1\)) and the companion star (\(M_2\)), the orbital period (\(P\)), the gravitational constant (\(G\)), the inclination of the orbit (\(i\)), and the radial velocity of the visible star (\(K_2\)). The formula derived from Kepler's law allows for an estimation of a lower limit to the mass of \(M_1\) by setting \(i = 90^\circ\) and \(M_2 = 0\), simplifying to \(f(M) = \frac{P K_2^3 (1 - e^2)^{3/2}}{2\pi G}\), though the exact formula provided in the text seems to have been truncated or not fully transcribed.
4. **Doppler Effect and Radial Velocity**: The radial velocity (\(K_2\)) of the star is determined using the Doppler effect, where the shift in spectral lines indicates motion towards or away from the observer. This effect is crucial for calculating \(f(M)\).
5. **Conclusion on Black Hole Detection**: If \(f(M)\) exceeds 3 solar masses (a limit beyond which a neutron star cannot exist), it indirectly suggests the presence of a black hole. This method provides one of the simplest yet powerful ways to infer the existence of black holes in binary systems.
### Analysis
- The approach outlined is fundamental in astrophysics for identifying and studying stellar-mass black holes in binary systems.
- The use of Kepler's third law and the Doppler effect highlights how well-understood principles in physics can be applied to detect some of the universe's most mysterious objects.
- The method relies on accurate measurements of orbital periods and radial velocities, which can be challenging but are feasible with current astronomical technology.
- The calculation of \(f(M)\) and its interpretation is critical. If \(f(M) &gt; 3M_\odot\), it strongly suggests a black hole, given that neutron stars cannot exceed this mass limit due to the nuclear equation of state.
In conclusion, the detection of black holes through binary systems using Kepler's third law and the Doppler effect represents a significant area of research in astrophysics. It leverages basic physical principles to understand some of the most extreme objects in the universe, offering insights into gravity, stellar evolution, and the cosmos itself.</t>
        </is>
      </c>
      <c r="G71" s="8" t="n"/>
      <c r="H71" s="8" t="n"/>
      <c r="I71" s="8" t="n"/>
      <c r="J71" s="8" t="n"/>
      <c r="K71" s="9" t="n"/>
      <c r="L71" s="9" t="n"/>
      <c r="M71" s="9" t="n"/>
      <c r="N71" s="9" t="n"/>
      <c r="O71" s="10" t="n"/>
      <c r="P71" s="10" t="n"/>
      <c r="Q71" s="10" t="n"/>
      <c r="R71" s="10" t="n"/>
      <c r="S71" s="10" t="n"/>
    </row>
    <row r="72" ht="409.6" customHeight="1">
      <c r="A72" s="6">
        <f>IFERROR(__xludf.DUMMYFUNCTION("""COMPUTED_VALUE"""),"BHIMS")</f>
        <v/>
      </c>
      <c r="B72" s="6">
        <f>IFERROR(__xludf.DUMMYFUNCTION("""COMPUTED_VALUE"""),"Resource")</f>
        <v/>
      </c>
      <c r="C72" s="6">
        <f>IFERROR(__xludf.DUMMYFUNCTION("""COMPUTED_VALUE"""),"post quest.graasp")</f>
        <v/>
      </c>
      <c r="D72" s="7">
        <f>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
      </c>
      <c r="E72" s="7">
        <f>IFERROR(__xludf.DUMMYFUNCTION("""COMPUTED_VALUE"""),"No artifact embedded")</f>
        <v/>
      </c>
      <c r="F72" s="7" t="inlineStr">
        <is>
          <t>It appears that the provided text is a portion of a scientific article or chapter about black holes, specifically discussing how to determine the mass of a black hole using Kepler's third law and the Doppler effect. Here's a summary of the main points:
1. **Introduction to Black Holes**: The existence of black holes is one of the most exotic predictions of physics, and their study is an example of the applicability of general relativity.
2. **Kepler's Third Law**: This law states that the square of the orbital period of a body is proportional to the cube of its semi-major axis (or average distance from the central body). It can be applied to any two-body system, including binary star systems where one of the components might be a black hole.
3. **Determining the Mass of a Black Hole**: To determine if a compact object in a binary system is a black hole, astronomers need to find its mass. If the mass exceeds approximately three solar masses (the upper limit for neutron stars), it's likely a black hole.
4. **Mass Function**: The mass function, f(M), is derived from Kepler's third law and provides a lower limit on the mass of the compact object. It depends on the orbital period (P), the radial velocity amplitude of the visible star (K2), the inclination of the orbit (i), and the mass of the visible star (M2).
5. **Calculating the Mass Function**: The formula for the mass function is given, and it's noted that if this value exceeds three solar masses, the compact object is likely a black hole.
6. **Radial Velocity and Doppler Effect**: The radial velocity of the star can be determined using the Doppler effect, which shifts the spectral lines of the star depending on its motion relative to the observer. This shift allows for the calculation of K2, necessary for determining the mass function.
For a full report based on this research, one would need to expand on these points, including:
- **Introduction**: A broader introduction to black holes, their significance in astrophysics, and why determining their masses is important.
- **Methodology**: A detailed explanation of how Kepler's third law and the Doppler effect are used to calculate the mass function, including any mathematical derivations or formulas.
- **Results**: Presentation of specific cases where this method has been applied to determine if a compact object is indeed a black hole, including data on orbital periods, radial velocities, and calculated mass functions.
- **Discussion**: Interpretation of the results in the context of current understanding of black holes and stellar evolution. This could include limitations of the method, potential sources of error, and future directions for research.
- **Conclusion**: Summary of the key findings and implications for astrophysics and our understanding of black holes.
Given the template provided (though not included here), one would organize their report according to its structure, ensuring to address all necessary components such as introduction, literature review, methodology, results, discussion, and conclusion. The questionnaire mentioned seems to be part of an evaluation process rather than directly related to the content of the research on black holes.</t>
        </is>
      </c>
      <c r="G72" s="8" t="n"/>
      <c r="H72" s="8" t="n"/>
      <c r="I72" s="8" t="n"/>
      <c r="J72" s="8" t="n"/>
      <c r="K72" s="9" t="n"/>
      <c r="L72" s="9" t="n"/>
      <c r="M72" s="9" t="n"/>
      <c r="N72" s="9" t="n"/>
      <c r="O72" s="10" t="n"/>
      <c r="P72" s="10" t="n"/>
      <c r="Q72" s="10" t="n"/>
      <c r="R72" s="10" t="n"/>
      <c r="S72" s="10" t="n"/>
    </row>
    <row r="73" ht="157" customHeight="1">
      <c r="A73" s="6">
        <f>IFERROR(__xludf.DUMMYFUNCTION("""COMPUTED_VALUE"""),"BHIMS")</f>
        <v/>
      </c>
      <c r="B73" s="6">
        <f>IFERROR(__xludf.DUMMYFUNCTION("""COMPUTED_VALUE"""),"Application")</f>
        <v/>
      </c>
      <c r="C73" s="6">
        <f>IFERROR(__xludf.DUMMYFUNCTION("""COMPUTED_VALUE"""),"File Drop")</f>
        <v/>
      </c>
      <c r="D73" s="7">
        <f>IFERROR(__xludf.DUMMYFUNCTION("""COMPUTED_VALUE"""),"No task description")</f>
        <v/>
      </c>
      <c r="E73" s="7">
        <f>IFERROR(__xludf.DUMMYFUNCTION("""COMPUTED_VALUE"""),"Golabz app/lab: ""&lt;p&gt;This app allows students to upload files, e.g., assignment and reports, to the Inquiry learning Space. The app also allows teachers to download the uploaded files.&lt;/p&gt;\r\n""")</f>
        <v/>
      </c>
      <c r="F73" s="7" t="inlineStr">
        <is>
          <t>Students must prepare a report and submit it using a template via file drop. No artifacts are embedded in Items 1 and 2, but Item 3 has the Golabz app/lab for file uploads.</t>
        </is>
      </c>
      <c r="G73" s="8" t="n"/>
      <c r="H73" s="8" t="n"/>
      <c r="I73" s="8" t="n"/>
      <c r="J73" s="8" t="n"/>
      <c r="K73" s="9" t="n"/>
      <c r="L73" s="9" t="n"/>
      <c r="M73" s="9" t="n"/>
      <c r="N73" s="9" t="n"/>
      <c r="O73" s="10" t="n"/>
      <c r="P73" s="10" t="n"/>
      <c r="Q73" s="10" t="n"/>
      <c r="R73" s="10" t="n"/>
      <c r="S73" s="10" t="n"/>
    </row>
    <row r="74" ht="205" customHeight="1">
      <c r="A74" s="6">
        <f>IFERROR(__xludf.DUMMYFUNCTION("""COMPUTED_VALUE"""),"BHIMS")</f>
        <v/>
      </c>
      <c r="B74" s="6">
        <f>IFERROR(__xludf.DUMMYFUNCTION("""COMPUTED_VALUE"""),"Space")</f>
        <v/>
      </c>
      <c r="C74" s="6">
        <f>IFERROR(__xludf.DUMMYFUNCTION("""COMPUTED_VALUE"""),"Discussion")</f>
        <v/>
      </c>
      <c r="D74" s="7">
        <f>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
      </c>
      <c r="E74" s="7">
        <f>IFERROR(__xludf.DUMMYFUNCTION("""COMPUTED_VALUE"""),"No artifact embedded")</f>
        <v/>
      </c>
      <c r="F74" s="7" t="inlineStr">
        <is>
          <t>Students were instructed to answer a questionnaire, upload files via Golabz app, and present their project work. Embedded artifacts include the Golabz app/lab for file uploads.</t>
        </is>
      </c>
      <c r="G74" s="8" t="n"/>
      <c r="H74" s="8" t="n"/>
      <c r="I74" s="8" t="n"/>
      <c r="J74" s="8" t="n"/>
      <c r="K74" s="9" t="n"/>
      <c r="L74" s="9" t="n"/>
      <c r="M74" s="9" t="n"/>
      <c r="N74" s="9" t="n"/>
      <c r="O74" s="10" t="n"/>
      <c r="P74" s="10" t="n"/>
      <c r="Q74" s="10" t="n"/>
      <c r="R74" s="10" t="n"/>
      <c r="S74" s="10" t="n"/>
    </row>
    <row r="75" ht="85" customHeight="1">
      <c r="A75" s="6">
        <f>IFERROR(__xludf.DUMMYFUNCTION("""COMPUTED_VALUE"""),"Scenario-Six thinking hats")</f>
        <v/>
      </c>
      <c r="B75" s="6">
        <f>IFERROR(__xludf.DUMMYFUNCTION("""COMPUTED_VALUE"""),"Space")</f>
        <v/>
      </c>
      <c r="C75" s="6">
        <f>IFERROR(__xludf.DUMMYFUNCTION("""COMPUTED_VALUE"""),"Example ILS: Six Hats Approach for Archimedes' Principle")</f>
        <v/>
      </c>
      <c r="D75" s="7">
        <f>IFERROR(__xludf.DUMMYFUNCTION("""COMPUTED_VALUE"""),"No task description")</f>
        <v/>
      </c>
      <c r="E75" s="7">
        <f>IFERROR(__xludf.DUMMYFUNCTION("""COMPUTED_VALUE"""),"No artifact embedded")</f>
        <v/>
      </c>
      <c r="F75" s="7" t="inlineStr">
        <is>
          <t>Students were given tasks with varying levels of detail and some had access to the Golabz app for file sharing.</t>
        </is>
      </c>
      <c r="G75" s="8" t="n"/>
      <c r="H75" s="8" t="n"/>
      <c r="I75" s="8" t="n"/>
      <c r="J75" s="8" t="n"/>
      <c r="K75" s="9" t="n"/>
      <c r="L75" s="9" t="n"/>
      <c r="M75" s="9" t="n"/>
      <c r="N75" s="9" t="n"/>
      <c r="O75" s="10" t="n"/>
      <c r="P75" s="10" t="n"/>
      <c r="Q75" s="10" t="n"/>
      <c r="R75" s="10" t="n"/>
      <c r="S75" s="10" t="n"/>
    </row>
    <row r="76" ht="318" customHeight="1">
      <c r="A76" s="6">
        <f>IFERROR(__xludf.DUMMYFUNCTION("""COMPUTED_VALUE"""),"Scenario-Six thinking hats")</f>
        <v/>
      </c>
      <c r="B76" s="6">
        <f>IFERROR(__xludf.DUMMYFUNCTION("""COMPUTED_VALUE"""),"Application")</f>
        <v/>
      </c>
      <c r="C76" s="6">
        <f>IFERROR(__xludf.DUMMYFUNCTION("""COMPUTED_VALUE"""),"Input Box")</f>
        <v/>
      </c>
      <c r="D76" s="7">
        <f>IFERROR(__xludf.DUMMYFUNCTION("""COMPUTED_VALUE"""),"No task description")</f>
        <v/>
      </c>
      <c r="E7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6" s="7" t="inlineStr">
        <is>
          <t>Students present project results and submit papers. No artifacts are embedded except a note-taking app in Item 3.</t>
        </is>
      </c>
      <c r="G76" s="8" t="n"/>
      <c r="H76" s="8" t="n"/>
      <c r="I76" s="8" t="n"/>
      <c r="J76" s="8" t="n"/>
      <c r="K76" s="9" t="n"/>
      <c r="L76" s="9" t="n"/>
      <c r="M76" s="9" t="n"/>
      <c r="N76" s="9" t="n"/>
      <c r="O76" s="10" t="n"/>
      <c r="P76" s="10" t="n"/>
      <c r="Q76" s="10" t="n"/>
      <c r="R76" s="10" t="n"/>
      <c r="S76" s="10" t="n"/>
    </row>
    <row r="77" ht="109" customHeight="1">
      <c r="A77" s="6">
        <f>IFERROR(__xludf.DUMMYFUNCTION("""COMPUTED_VALUE"""),"Scenario-Six thinking hats")</f>
        <v/>
      </c>
      <c r="B77" s="6">
        <f>IFERROR(__xludf.DUMMYFUNCTION("""COMPUTED_VALUE"""),"Space")</f>
        <v/>
      </c>
      <c r="C77" s="6">
        <f>IFERROR(__xludf.DUMMYFUNCTION("""COMPUTED_VALUE"""),"Orientation")</f>
        <v/>
      </c>
      <c r="D77" s="7">
        <f>IFERROR(__xludf.DUMMYFUNCTION("""COMPUTED_VALUE"""),"No task description")</f>
        <v/>
      </c>
      <c r="E77" s="7">
        <f>IFERROR(__xludf.DUMMYFUNCTION("""COMPUTED_VALUE"""),"No artifact embedded")</f>
        <v/>
      </c>
      <c r="F77" s="7" t="inlineStr">
        <is>
          <t>No task descriptions provided; only Item2 has an embedded Golabz app/lab artifact for note-taking and collaboration.</t>
        </is>
      </c>
      <c r="G77" s="8" t="n"/>
      <c r="H77" s="8" t="n"/>
      <c r="I77" s="8" t="n"/>
      <c r="J77" s="8" t="n"/>
      <c r="K77" s="9" t="n"/>
      <c r="L77" s="9" t="n"/>
      <c r="M77" s="9" t="n"/>
      <c r="N77" s="9" t="n"/>
      <c r="O77" s="10" t="n"/>
      <c r="P77" s="10" t="n"/>
      <c r="Q77" s="10" t="n"/>
      <c r="R77" s="10" t="n"/>
      <c r="S77" s="10" t="n"/>
    </row>
    <row r="78" ht="409.6" customHeight="1">
      <c r="A78" s="6">
        <f>IFERROR(__xludf.DUMMYFUNCTION("""COMPUTED_VALUE"""),"Scenario-Six thinking hats")</f>
        <v/>
      </c>
      <c r="B78" s="6">
        <f>IFERROR(__xludf.DUMMYFUNCTION("""COMPUTED_VALUE"""),"Resource")</f>
        <v/>
      </c>
      <c r="C78" s="6">
        <f>IFERROR(__xludf.DUMMYFUNCTION("""COMPUTED_VALUE"""),"OrientationTextBox.graasp")</f>
        <v/>
      </c>
      <c r="D78" s="7">
        <f>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
      </c>
      <c r="E78" s="7">
        <f>IFERROR(__xludf.DUMMYFUNCTION("""COMPUTED_VALUE"""),"No artifact embedded")</f>
        <v/>
      </c>
      <c r="F78" s="7" t="inlineStr">
        <is>
          <t>Students brainstorm, explore resources, and activate prior knowledge. Embedded artifacts include Golabz app/lab for note-taking and collaboration.</t>
        </is>
      </c>
      <c r="G78" s="8" t="n"/>
      <c r="H78" s="8" t="n"/>
      <c r="I78" s="8" t="n"/>
      <c r="J78" s="8" t="n"/>
      <c r="K78" s="9" t="n"/>
      <c r="L78" s="9" t="n"/>
      <c r="M78" s="9" t="n"/>
      <c r="N78" s="9" t="n"/>
      <c r="O78" s="10" t="n"/>
      <c r="P78" s="10" t="n"/>
      <c r="Q78" s="10" t="n"/>
      <c r="R78" s="10" t="n"/>
      <c r="S78" s="10" t="n"/>
    </row>
    <row r="79" ht="133" customHeight="1">
      <c r="A79" s="6">
        <f>IFERROR(__xludf.DUMMYFUNCTION("""COMPUTED_VALUE"""),"Scenario-Six thinking hats")</f>
        <v/>
      </c>
      <c r="B79" s="6">
        <f>IFERROR(__xludf.DUMMYFUNCTION("""COMPUTED_VALUE"""),"Space")</f>
        <v/>
      </c>
      <c r="C79" s="6">
        <f>IFERROR(__xludf.DUMMYFUNCTION("""COMPUTED_VALUE"""),"Conceptualisation")</f>
        <v/>
      </c>
      <c r="D79" s="7">
        <f>IFERROR(__xludf.DUMMYFUNCTION("""COMPUTED_VALUE"""),"No task description")</f>
        <v/>
      </c>
      <c r="E79" s="7">
        <f>IFERROR(__xludf.DUMMYFUNCTION("""COMPUTED_VALUE"""),"No artifact embedded")</f>
        <v/>
      </c>
      <c r="F79" s="7" t="inlineStr">
        <is>
          <t>Students brainstorm and familiarize themselves with a topic using videos, texts, and websites, then activate prior knowledge through writing and quizzes.</t>
        </is>
      </c>
      <c r="G79" s="8" t="n"/>
      <c r="H79" s="8" t="n"/>
      <c r="I79" s="8" t="n"/>
      <c r="J79" s="8" t="n"/>
      <c r="K79" s="9" t="n"/>
      <c r="L79" s="9" t="n"/>
      <c r="M79" s="9" t="n"/>
      <c r="N79" s="9" t="n"/>
      <c r="O79" s="10" t="n"/>
      <c r="P79" s="10" t="n"/>
      <c r="Q79" s="10" t="n"/>
      <c r="R79" s="10" t="n"/>
      <c r="S79" s="10" t="n"/>
    </row>
    <row r="80" ht="409.6" customHeight="1">
      <c r="A80" s="6">
        <f>IFERROR(__xludf.DUMMYFUNCTION("""COMPUTED_VALUE"""),"Scenario-Six thinking hats")</f>
        <v/>
      </c>
      <c r="B80" s="6">
        <f>IFERROR(__xludf.DUMMYFUNCTION("""COMPUTED_VALUE"""),"Resource")</f>
        <v/>
      </c>
      <c r="C80" s="6">
        <f>IFERROR(__xludf.DUMMYFUNCTION("""COMPUTED_VALUE"""),"ConceptualisationTextBox.graasp")</f>
        <v/>
      </c>
      <c r="D80" s="7">
        <f>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
      </c>
      <c r="E80" s="7">
        <f>IFERROR(__xludf.DUMMYFUNCTION("""COMPUTED_VALUE"""),"No artifact embedded")</f>
        <v/>
      </c>
      <c r="F80" s="7" t="inlineStr">
        <is>
          <t>Students brainstorm, explore resources, and activate prior knowledge. Embedded artifacts include videos, texts, links, quizzes, concept maps, and a Hypothesis Scratchpad.</t>
        </is>
      </c>
      <c r="G80" s="8" t="n"/>
      <c r="H80" s="8" t="n"/>
      <c r="I80" s="8" t="n"/>
      <c r="J80" s="8" t="n"/>
      <c r="K80" s="9" t="n"/>
      <c r="L80" s="9" t="n"/>
      <c r="M80" s="9" t="n"/>
      <c r="N80" s="9" t="n"/>
      <c r="O80" s="10" t="n"/>
      <c r="P80" s="10" t="n"/>
      <c r="Q80" s="10" t="n"/>
      <c r="R80" s="10" t="n"/>
      <c r="S80" s="10" t="n"/>
    </row>
    <row r="81" ht="97" customHeight="1">
      <c r="A81" s="6">
        <f>IFERROR(__xludf.DUMMYFUNCTION("""COMPUTED_VALUE"""),"Scenario-Six thinking hats")</f>
        <v/>
      </c>
      <c r="B81" s="6">
        <f>IFERROR(__xludf.DUMMYFUNCTION("""COMPUTED_VALUE"""),"Space")</f>
        <v/>
      </c>
      <c r="C81" s="6">
        <f>IFERROR(__xludf.DUMMYFUNCTION("""COMPUTED_VALUE"""),"Investigation")</f>
        <v/>
      </c>
      <c r="D81" s="7">
        <f>IFERROR(__xludf.DUMMYFUNCTION("""COMPUTED_VALUE"""),"No task description")</f>
        <v/>
      </c>
      <c r="E81" s="7">
        <f>IFERROR(__xludf.DUMMYFUNCTION("""COMPUTED_VALUE"""),"No artifact embedded")</f>
        <v/>
      </c>
      <c r="F81" s="7" t="inlineStr">
        <is>
          <t>Students create concept maps and formulate hypotheses using the Hypothesis Scratchpad, following given hints.</t>
        </is>
      </c>
      <c r="G81" s="8" t="n"/>
      <c r="H81" s="8" t="n"/>
      <c r="I81" s="8" t="n"/>
      <c r="J81" s="8" t="n"/>
      <c r="K81" s="9" t="n"/>
      <c r="L81" s="9" t="n"/>
      <c r="M81" s="9" t="n"/>
      <c r="N81" s="9" t="n"/>
      <c r="O81" s="10" t="n"/>
      <c r="P81" s="10" t="n"/>
      <c r="Q81" s="10" t="n"/>
      <c r="R81" s="10" t="n"/>
      <c r="S81" s="10" t="n"/>
    </row>
    <row r="82" ht="409.6" customHeight="1">
      <c r="A82" s="6">
        <f>IFERROR(__xludf.DUMMYFUNCTION("""COMPUTED_VALUE"""),"Scenario-Six thinking hats")</f>
        <v/>
      </c>
      <c r="B82" s="6">
        <f>IFERROR(__xludf.DUMMYFUNCTION("""COMPUTED_VALUE"""),"Resource")</f>
        <v/>
      </c>
      <c r="C82" s="6">
        <f>IFERROR(__xludf.DUMMYFUNCTION("""COMPUTED_VALUE"""),"InvestigationTextBox.graasp")</f>
        <v/>
      </c>
      <c r="D82" s="7">
        <f>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
      </c>
      <c r="E82" s="7">
        <f>IFERROR(__xludf.DUMMYFUNCTION("""COMPUTED_VALUE"""),"No artifact embedded")</f>
        <v/>
      </c>
      <c r="F82" s="7" t="inlineStr">
        <is>
          <t>Students create concept maps and formulate hypotheses. Embedded artifacts include Hypothesis Scratchpad, Experiment Design Tool, and Data Viewer.</t>
        </is>
      </c>
      <c r="G82" s="8" t="n"/>
      <c r="H82" s="8" t="n"/>
      <c r="I82" s="8" t="n"/>
      <c r="J82" s="8" t="n"/>
      <c r="K82" s="9" t="n"/>
      <c r="L82" s="9" t="n"/>
      <c r="M82" s="9" t="n"/>
      <c r="N82" s="9" t="n"/>
      <c r="O82" s="10" t="n"/>
      <c r="P82" s="10" t="n"/>
      <c r="Q82" s="10" t="n"/>
      <c r="R82" s="10" t="n"/>
      <c r="S82" s="10" t="n"/>
    </row>
    <row r="83" ht="109" customHeight="1">
      <c r="A83" s="6">
        <f>IFERROR(__xludf.DUMMYFUNCTION("""COMPUTED_VALUE"""),"Scenario-Six thinking hats")</f>
        <v/>
      </c>
      <c r="B83" s="6">
        <f>IFERROR(__xludf.DUMMYFUNCTION("""COMPUTED_VALUE"""),"Space")</f>
        <v/>
      </c>
      <c r="C83" s="6">
        <f>IFERROR(__xludf.DUMMYFUNCTION("""COMPUTED_VALUE"""),"Conclusion")</f>
        <v/>
      </c>
      <c r="D83" s="7">
        <f>IFERROR(__xludf.DUMMYFUNCTION("""COMPUTED_VALUE"""),"No task description")</f>
        <v/>
      </c>
      <c r="E83" s="7">
        <f>IFERROR(__xludf.DUMMYFUNCTION("""COMPUTED_VALUE"""),"No artifact embedded")</f>
        <v/>
      </c>
      <c r="F83" s="7" t="inlineStr">
        <is>
          <t>Students design and conduct experiments, plan investigations, and analyze data using tools like Experiment Design Tool and Data Viewer.</t>
        </is>
      </c>
      <c r="G83" s="8" t="n"/>
      <c r="H83" s="8" t="n"/>
      <c r="I83" s="8" t="n"/>
      <c r="J83" s="8" t="n"/>
      <c r="K83" s="9" t="n"/>
      <c r="L83" s="9" t="n"/>
      <c r="M83" s="9" t="n"/>
      <c r="N83" s="9" t="n"/>
      <c r="O83" s="10" t="n"/>
      <c r="P83" s="10" t="n"/>
      <c r="Q83" s="10" t="n"/>
      <c r="R83" s="10" t="n"/>
      <c r="S83" s="10" t="n"/>
    </row>
    <row r="84" ht="409.6" customHeight="1">
      <c r="A84" s="6">
        <f>IFERROR(__xludf.DUMMYFUNCTION("""COMPUTED_VALUE"""),"Scenario-Six thinking hats")</f>
        <v/>
      </c>
      <c r="B84" s="6">
        <f>IFERROR(__xludf.DUMMYFUNCTION("""COMPUTED_VALUE"""),"Resource")</f>
        <v/>
      </c>
      <c r="C84" s="6">
        <f>IFERROR(__xludf.DUMMYFUNCTION("""COMPUTED_VALUE"""),"ConclusionTextBox.graasp")</f>
        <v/>
      </c>
      <c r="D84" s="7">
        <f>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
      </c>
      <c r="E84" s="7">
        <f>IFERROR(__xludf.DUMMYFUNCTION("""COMPUTED_VALUE"""),"No artifact embedded")</f>
        <v/>
      </c>
      <c r="F84" s="7" t="inlineStr">
        <is>
          <t>Students design experiments, collect data, and draw conclusions using tools like Experiment Design Tool and Conclusion Tool, with guidance on variables and presentation.</t>
        </is>
      </c>
      <c r="G84" s="8" t="n"/>
      <c r="H84" s="8" t="n"/>
      <c r="I84" s="8" t="n"/>
      <c r="J84" s="8" t="n"/>
      <c r="K84" s="9" t="n"/>
      <c r="L84" s="9" t="n"/>
      <c r="M84" s="9" t="n"/>
      <c r="N84" s="9" t="n"/>
      <c r="O84" s="10" t="n"/>
      <c r="P84" s="10" t="n"/>
      <c r="Q84" s="10" t="n"/>
      <c r="R84" s="10" t="n"/>
      <c r="S84" s="10" t="n"/>
    </row>
    <row r="85" ht="157" customHeight="1">
      <c r="A85" s="6">
        <f>IFERROR(__xludf.DUMMYFUNCTION("""COMPUTED_VALUE"""),"Scenario-Six thinking hats")</f>
        <v/>
      </c>
      <c r="B85" s="6">
        <f>IFERROR(__xludf.DUMMYFUNCTION("""COMPUTED_VALUE"""),"Space")</f>
        <v/>
      </c>
      <c r="C85" s="6">
        <f>IFERROR(__xludf.DUMMYFUNCTION("""COMPUTED_VALUE"""),"Discussion")</f>
        <v/>
      </c>
      <c r="D85" s="7">
        <f>IFERROR(__xludf.DUMMYFUNCTION("""COMPUTED_VALUE"""),"No task description")</f>
        <v/>
      </c>
      <c r="E85" s="7">
        <f>IFERROR(__xludf.DUMMYFUNCTION("""COMPUTED_VALUE"""),"No artifact embedded")</f>
        <v/>
      </c>
      <c r="F85" s="7" t="inlineStr">
        <is>
          <t>Students draw conclusions, prepare presentations, and upload files using the Conclusion Tool and File Drop App, with hints provided for valid conclusions and presentation preparation.</t>
        </is>
      </c>
      <c r="G85" s="8" t="n"/>
      <c r="H85" s="8" t="n"/>
      <c r="I85" s="8" t="n"/>
      <c r="J85" s="8" t="n"/>
      <c r="K85" s="9" t="n"/>
      <c r="L85" s="9" t="n"/>
      <c r="M85" s="9" t="n"/>
      <c r="N85" s="9" t="n"/>
      <c r="O85" s="10" t="n"/>
      <c r="P85" s="10" t="n"/>
      <c r="Q85" s="10" t="n"/>
      <c r="R85" s="10" t="n"/>
      <c r="S85" s="10" t="n"/>
    </row>
    <row r="86" ht="409.6" customHeight="1">
      <c r="A86" s="6">
        <f>IFERROR(__xludf.DUMMYFUNCTION("""COMPUTED_VALUE"""),"Scenario-Six thinking hats")</f>
        <v/>
      </c>
      <c r="B86" s="6">
        <f>IFERROR(__xludf.DUMMYFUNCTION("""COMPUTED_VALUE"""),"Resource")</f>
        <v/>
      </c>
      <c r="C86" s="6">
        <f>IFERROR(__xludf.DUMMYFUNCTION("""COMPUTED_VALUE"""),"DiscussionTextBox.graasp")</f>
        <v/>
      </c>
      <c r="D86" s="7">
        <f>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
      </c>
      <c r="E86" s="7">
        <f>IFERROR(__xludf.DUMMYFUNCTION("""COMPUTED_VALUE"""),"No artifact embedded")</f>
        <v/>
      </c>
      <c r="F86" s="7" t="inlineStr">
        <is>
          <t>Students draw conclusions, prepare presentations, and share results. Embedded artifacts include links to the Six hats example ILS.</t>
        </is>
      </c>
      <c r="G86" s="8" t="n"/>
      <c r="H86" s="8" t="n"/>
      <c r="I86" s="8" t="n"/>
      <c r="J86" s="8" t="n"/>
      <c r="K86" s="9" t="n"/>
      <c r="L86" s="9" t="n"/>
      <c r="M86" s="9" t="n"/>
      <c r="N86" s="9" t="n"/>
      <c r="O86" s="10" t="n"/>
      <c r="P86" s="10" t="n"/>
      <c r="Q86" s="10" t="n"/>
      <c r="R86" s="10" t="n"/>
      <c r="S86" s="10" t="n"/>
    </row>
    <row r="87" ht="409.6" customHeight="1">
      <c r="A87" s="6">
        <f>IFERROR(__xludf.DUMMYFUNCTION("""COMPUTED_VALUE"""),"Scenario-Six thinking hats")</f>
        <v/>
      </c>
      <c r="B87" s="6">
        <f>IFERROR(__xludf.DUMMYFUNCTION("""COMPUTED_VALUE"""),"Resource")</f>
        <v/>
      </c>
      <c r="C87" s="6">
        <f>IFERROR(__xludf.DUMMYFUNCTION("""COMPUTED_VALUE"""),"Six-Thinking-Hats.pdf")</f>
        <v/>
      </c>
      <c r="D87" s="7">
        <f>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
      </c>
      <c r="E87" s="7">
        <f>IFERROR(__xludf.DUMMYFUNCTION("""COMPUTED_VALUE"""),"No artifact embedded")</f>
        <v/>
      </c>
      <c r="F87" s="7" t="inlineStr">
        <is>
          <t>Students discuss conclusions, apply Six Thinking Hats technique, and identify scientist work methods. No artifacts are embedded in items 1-3.</t>
        </is>
      </c>
      <c r="G87" s="8" t="n"/>
      <c r="H87" s="8" t="n"/>
      <c r="I87" s="8" t="n"/>
      <c r="J87" s="8" t="n"/>
      <c r="K87" s="9" t="n"/>
      <c r="L87" s="9" t="n"/>
      <c r="M87" s="9" t="n"/>
      <c r="N87" s="9" t="n"/>
      <c r="O87" s="10" t="n"/>
      <c r="P87" s="10" t="n"/>
      <c r="Q87" s="10" t="n"/>
      <c r="R87" s="10" t="n"/>
      <c r="S87" s="10" t="n"/>
    </row>
    <row r="88" ht="97" customHeight="1">
      <c r="A88" s="6">
        <f>IFERROR(__xludf.DUMMYFUNCTION("""COMPUTED_VALUE"""),"Trigonometry (Math)")</f>
        <v/>
      </c>
      <c r="B88" s="6">
        <f>IFERROR(__xludf.DUMMYFUNCTION("""COMPUTED_VALUE"""),"Space")</f>
        <v/>
      </c>
      <c r="C88" s="6">
        <f>IFERROR(__xludf.DUMMYFUNCTION("""COMPUTED_VALUE"""),"Orientation")</f>
        <v/>
      </c>
      <c r="D88" s="7">
        <f>IFERROR(__xludf.DUMMYFUNCTION("""COMPUTED_VALUE"""),"&lt;p&gt;Trigonometry&lt;/p&gt;")</f>
        <v/>
      </c>
      <c r="E88" s="7">
        <f>IFERROR(__xludf.DUMMYFUNCTION("""COMPUTED_VALUE"""),"No artifact embedded")</f>
        <v/>
      </c>
      <c r="F88" s="7" t="inlineStr">
        <is>
          <t>Students discuss conclusions and apply work in different settings, using techniques like Six Thinking Hats. No artifacts are embedded.</t>
        </is>
      </c>
      <c r="G88" s="8" t="n"/>
      <c r="H88" s="8" t="n"/>
      <c r="I88" s="8" t="n"/>
      <c r="J88" s="8" t="n"/>
      <c r="K88" s="9" t="n"/>
      <c r="L88" s="9" t="n"/>
      <c r="M88" s="9" t="n"/>
      <c r="N88" s="9" t="n"/>
      <c r="O88" s="10" t="n"/>
      <c r="P88" s="10" t="n"/>
      <c r="Q88" s="10" t="n"/>
      <c r="R88" s="10" t="n"/>
      <c r="S88" s="10" t="n"/>
    </row>
    <row r="89" ht="109" customHeight="1">
      <c r="A89" s="6">
        <f>IFERROR(__xludf.DUMMYFUNCTION("""COMPUTED_VALUE"""),"Trigonometry (Math)")</f>
        <v/>
      </c>
      <c r="B89" s="6">
        <f>IFERROR(__xludf.DUMMYFUNCTION("""COMPUTED_VALUE"""),"Resource")</f>
        <v/>
      </c>
      <c r="C89" s="6">
        <f>IFERROR(__xludf.DUMMYFUNCTION("""COMPUTED_VALUE"""),"Optimized-shutterstock_277837433-768x576.jpg")</f>
        <v/>
      </c>
      <c r="D89" s="7">
        <f>IFERROR(__xludf.DUMMYFUNCTION("""COMPUTED_VALUE"""),"No task description")</f>
        <v/>
      </c>
      <c r="E89" s="7">
        <f>IFERROR(__xludf.DUMMYFUNCTION("""COMPUTED_VALUE"""),"image/jpeg – A digital photograph or web image stored in a compressed format, often used for photography and web graphics.")</f>
        <v/>
      </c>
      <c r="F89" s="7" t="inlineStr">
        <is>
          <t>Students are instructed to use Six Thinking Hats technique. Embedded artifacts include Table 1 and Figure 1, and an image/jpeg file.</t>
        </is>
      </c>
      <c r="G89" s="8" t="n"/>
      <c r="H89" s="8" t="n"/>
      <c r="I89" s="8" t="n"/>
      <c r="J89" s="8" t="n"/>
      <c r="K89" s="9" t="n"/>
      <c r="L89" s="9" t="n"/>
      <c r="M89" s="9" t="n"/>
      <c r="N89" s="9" t="n"/>
      <c r="O89" s="10" t="n"/>
      <c r="P89" s="10" t="n"/>
      <c r="Q89" s="10" t="n"/>
      <c r="R89" s="10" t="n"/>
      <c r="S89" s="10" t="n"/>
    </row>
    <row r="90" ht="384" customHeight="1">
      <c r="A90" s="6">
        <f>IFERROR(__xludf.DUMMYFUNCTION("""COMPUTED_VALUE"""),"Trigonometry (Math)")</f>
        <v/>
      </c>
      <c r="B90" s="6">
        <f>IFERROR(__xludf.DUMMYFUNCTION("""COMPUTED_VALUE"""),"Resource")</f>
        <v/>
      </c>
      <c r="C90" s="6">
        <f>IFERROR(__xludf.DUMMYFUNCTION("""COMPUTED_VALUE"""),"Intro.graasp")</f>
        <v/>
      </c>
      <c r="D90" s="7">
        <f>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
      </c>
      <c r="E90" s="7">
        <f>IFERROR(__xludf.DUMMYFUNCTION("""COMPUTED_VALUE"""),"No artifact embedded")</f>
        <v/>
      </c>
      <c r="F90" s="7" t="inlineStr">
        <is>
          <t>Students are instructed on trigonometry. Embedded artifacts include an image/jpeg file, while others have no artifacts.</t>
        </is>
      </c>
      <c r="G90" s="8" t="n"/>
      <c r="H90" s="8" t="n"/>
      <c r="I90" s="8" t="n"/>
      <c r="J90" s="8" t="n"/>
      <c r="K90" s="9" t="n"/>
      <c r="L90" s="9" t="n"/>
      <c r="M90" s="9" t="n"/>
      <c r="N90" s="9" t="n"/>
      <c r="O90" s="10" t="n"/>
      <c r="P90" s="10" t="n"/>
      <c r="Q90" s="10" t="n"/>
      <c r="R90" s="10" t="n"/>
      <c r="S90" s="10" t="n"/>
    </row>
    <row r="91" ht="109" customHeight="1">
      <c r="A91" s="6">
        <f>IFERROR(__xludf.DUMMYFUNCTION("""COMPUTED_VALUE"""),"Trigonometry (Math)")</f>
        <v/>
      </c>
      <c r="B91" s="6">
        <f>IFERROR(__xludf.DUMMYFUNCTION("""COMPUTED_VALUE"""),"Resource")</f>
        <v/>
      </c>
      <c r="C91" s="6">
        <f>IFERROR(__xludf.DUMMYFUNCTION("""COMPUTED_VALUE"""),"Trig Tour Video - Made with Clipchamp.mp4")</f>
        <v/>
      </c>
      <c r="D91" s="7">
        <f>IFERROR(__xludf.DUMMYFUNCTION("""COMPUTED_VALUE"""),"No task description")</f>
        <v/>
      </c>
      <c r="E91" s="7">
        <f>IFERROR(__xludf.DUMMYFUNCTION("""COMPUTED_VALUE"""),"video/mp4 – A video file containing moving images and possibly audio, suitable for playback on most modern devices and platforms.")</f>
        <v/>
      </c>
      <c r="F91" s="7" t="inlineStr">
        <is>
          <t>Students were given tasks with descriptions and embedded artifacts like images and videos to explore topics like Trigonometry.</t>
        </is>
      </c>
      <c r="G91" s="8" t="n"/>
      <c r="H91" s="8" t="n"/>
      <c r="I91" s="8" t="n"/>
      <c r="J91" s="8" t="n"/>
      <c r="K91" s="9" t="n"/>
      <c r="L91" s="9" t="n"/>
      <c r="M91" s="9" t="n"/>
      <c r="N91" s="9" t="n"/>
      <c r="O91" s="10" t="n"/>
      <c r="P91" s="10" t="n"/>
      <c r="Q91" s="10" t="n"/>
      <c r="R91" s="10" t="n"/>
      <c r="S91" s="10" t="n"/>
    </row>
    <row r="92" ht="109" customHeight="1">
      <c r="A92" s="6">
        <f>IFERROR(__xludf.DUMMYFUNCTION("""COMPUTED_VALUE"""),"Trigonometry (Math)")</f>
        <v/>
      </c>
      <c r="B92" s="6">
        <f>IFERROR(__xludf.DUMMYFUNCTION("""COMPUTED_VALUE"""),"Resource")</f>
        <v/>
      </c>
      <c r="C92" s="6">
        <f>IFERROR(__xludf.DUMMYFUNCTION("""COMPUTED_VALUE"""),"a3.JPG")</f>
        <v/>
      </c>
      <c r="D92" s="7">
        <f>IFERROR(__xludf.DUMMYFUNCTION("""COMPUTED_VALUE"""),"No task description")</f>
        <v/>
      </c>
      <c r="E92" s="7">
        <f>IFERROR(__xludf.DUMMYFUNCTION("""COMPUTED_VALUE"""),"image/jpeg – A digital photograph or web image stored in a compressed format, often used for photography and web graphics.")</f>
        <v/>
      </c>
      <c r="F92" s="7" t="inlineStr">
        <is>
          <t>Students learn Trigonometry to measure buildings. Embedded artifacts include a video and an image file.</t>
        </is>
      </c>
      <c r="G92" s="8" t="n"/>
      <c r="H92" s="8" t="n"/>
      <c r="I92" s="8" t="n"/>
      <c r="J92" s="8" t="n"/>
      <c r="K92" s="9" t="n"/>
      <c r="L92" s="9" t="n"/>
      <c r="M92" s="9" t="n"/>
      <c r="N92" s="9" t="n"/>
      <c r="O92" s="10" t="n"/>
      <c r="P92" s="10" t="n"/>
      <c r="Q92" s="10" t="n"/>
      <c r="R92" s="10" t="n"/>
      <c r="S92" s="10" t="n"/>
    </row>
    <row r="93" ht="97" customHeight="1">
      <c r="A93" s="6">
        <f>IFERROR(__xludf.DUMMYFUNCTION("""COMPUTED_VALUE"""),"Trigonometry (Math)")</f>
        <v/>
      </c>
      <c r="B93" s="6">
        <f>IFERROR(__xludf.DUMMYFUNCTION("""COMPUTED_VALUE"""),"Space")</f>
        <v/>
      </c>
      <c r="C93" s="6">
        <f>IFERROR(__xludf.DUMMYFUNCTION("""COMPUTED_VALUE"""),"Conceptualisation")</f>
        <v/>
      </c>
      <c r="D93" s="7">
        <f>IFERROR(__xludf.DUMMYFUNCTION("""COMPUTED_VALUE"""),"No task description")</f>
        <v/>
      </c>
      <c r="E93" s="7">
        <f>IFERROR(__xludf.DUMMYFUNCTION("""COMPUTED_VALUE"""),"No artifact embedded")</f>
        <v/>
      </c>
      <c r="F93" s="7" t="inlineStr">
        <is>
          <t>No task descriptions provided; artifacts include video/mp4, image/jpeg, and no artifact in the third item.</t>
        </is>
      </c>
      <c r="G93" s="8" t="n"/>
      <c r="H93" s="8" t="n"/>
      <c r="I93" s="8" t="n"/>
      <c r="J93" s="8" t="n"/>
      <c r="K93" s="9" t="n"/>
      <c r="L93" s="9" t="n"/>
      <c r="M93" s="9" t="n"/>
      <c r="N93" s="9" t="n"/>
      <c r="O93" s="10" t="n"/>
      <c r="P93" s="10" t="n"/>
      <c r="Q93" s="10" t="n"/>
      <c r="R93" s="10" t="n"/>
      <c r="S93" s="10" t="n"/>
    </row>
    <row r="94" ht="109" customHeight="1">
      <c r="A94" s="6">
        <f>IFERROR(__xludf.DUMMYFUNCTION("""COMPUTED_VALUE"""),"Trigonometry (Math)")</f>
        <v/>
      </c>
      <c r="B94" s="6">
        <f>IFERROR(__xludf.DUMMYFUNCTION("""COMPUTED_VALUE"""),"Resource")</f>
        <v/>
      </c>
      <c r="C94" s="6">
        <f>IFERROR(__xludf.DUMMYFUNCTION("""COMPUTED_VALUE"""),"img_6501.jpg")</f>
        <v/>
      </c>
      <c r="D94" s="7">
        <f>IFERROR(__xludf.DUMMYFUNCTION("""COMPUTED_VALUE"""),"No task description")</f>
        <v/>
      </c>
      <c r="E94" s="7">
        <f>IFERROR(__xludf.DUMMYFUNCTION("""COMPUTED_VALUE"""),"image/jpeg – A digital photograph or web image stored in a compressed format, often used for photography and web graphics.")</f>
        <v/>
      </c>
      <c r="F94" s="7" t="inlineStr">
        <is>
          <t>No task descriptions are provided. Embedded artifacts include JPEG images in Items 1 and 3.</t>
        </is>
      </c>
      <c r="G94" s="8" t="n"/>
      <c r="H94" s="8" t="n"/>
      <c r="I94" s="8" t="n"/>
      <c r="J94" s="8" t="n"/>
      <c r="K94" s="9" t="n"/>
      <c r="L94" s="9" t="n"/>
      <c r="M94" s="9" t="n"/>
      <c r="N94" s="9" t="n"/>
      <c r="O94" s="10" t="n"/>
      <c r="P94" s="10" t="n"/>
      <c r="Q94" s="10" t="n"/>
      <c r="R94" s="10" t="n"/>
      <c r="S94" s="10" t="n"/>
    </row>
    <row r="95" ht="97" customHeight="1">
      <c r="A95" s="6">
        <f>IFERROR(__xludf.DUMMYFUNCTION("""COMPUTED_VALUE"""),"Trigonometry (Math)")</f>
        <v/>
      </c>
      <c r="B95" s="6">
        <f>IFERROR(__xludf.DUMMYFUNCTION("""COMPUTED_VALUE"""),"Resource")</f>
        <v/>
      </c>
      <c r="C95" s="6">
        <f>IFERROR(__xludf.DUMMYFUNCTION("""COMPUTED_VALUE"""),"unit circle.png")</f>
        <v/>
      </c>
      <c r="D95" s="7">
        <f>IFERROR(__xludf.DUMMYFUNCTION("""COMPUTED_VALUE"""),"&lt;p&gt;                                                                   &lt;strong&gt; All About the Unit Circle&lt;/strong&gt; &lt;/p&gt;")</f>
        <v/>
      </c>
      <c r="E95" s="7">
        <f>IFERROR(__xludf.DUMMYFUNCTION("""COMPUTED_VALUE"""),"image/png – A high-quality image with support for transparency, often used in design and web applications.")</f>
        <v/>
      </c>
      <c r="F95" s="7" t="inlineStr">
        <is>
          <t>Students received no task descriptions, but items included embedded artifacts such as images in jpeg and png formats.</t>
        </is>
      </c>
      <c r="G95" s="8" t="n"/>
      <c r="H95" s="8" t="n"/>
      <c r="I95" s="8" t="n"/>
      <c r="J95" s="8" t="n"/>
      <c r="K95" s="9" t="n"/>
      <c r="L95" s="9" t="n"/>
      <c r="M95" s="9" t="n"/>
      <c r="N95" s="9" t="n"/>
      <c r="O95" s="10" t="n"/>
      <c r="P95" s="10" t="n"/>
      <c r="Q95" s="10" t="n"/>
      <c r="R95" s="10" t="n"/>
      <c r="S95" s="10" t="n"/>
    </row>
    <row r="96" ht="409.6" customHeight="1">
      <c r="A96" s="6">
        <f>IFERROR(__xludf.DUMMYFUNCTION("""COMPUTED_VALUE"""),"Trigonometry (Math)")</f>
        <v/>
      </c>
      <c r="B96" s="6">
        <f>IFERROR(__xludf.DUMMYFUNCTION("""COMPUTED_VALUE"""),"Resource")</f>
        <v/>
      </c>
      <c r="C96" s="6">
        <f>IFERROR(__xludf.DUMMYFUNCTION("""COMPUTED_VALUE"""),"concept.graasp")</f>
        <v/>
      </c>
      <c r="D96" s="7">
        <f>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
      </c>
      <c r="E96" s="7">
        <f>IFERROR(__xludf.DUMMYFUNCTION("""COMPUTED_VALUE"""),"No artifact embedded")</f>
        <v/>
      </c>
      <c r="F96" s="7" t="inlineStr">
        <is>
          <t>Students received tasks with descriptions and embedded images in JPEG or PNG formats, related to the unit circle concept in mathematics.</t>
        </is>
      </c>
      <c r="G96" s="8" t="n"/>
      <c r="H96" s="8" t="n"/>
      <c r="I96" s="8" t="n"/>
      <c r="J96" s="8" t="n"/>
      <c r="K96" s="9" t="n"/>
      <c r="L96" s="9" t="n"/>
      <c r="M96" s="9" t="n"/>
      <c r="N96" s="9" t="n"/>
      <c r="O96" s="10" t="n"/>
      <c r="P96" s="10" t="n"/>
      <c r="Q96" s="10" t="n"/>
      <c r="R96" s="10" t="n"/>
      <c r="S96" s="10" t="n"/>
    </row>
    <row r="97" ht="85" customHeight="1">
      <c r="A97" s="6">
        <f>IFERROR(__xludf.DUMMYFUNCTION("""COMPUTED_VALUE"""),"Trigonometry (Math)")</f>
        <v/>
      </c>
      <c r="B97" s="6">
        <f>IFERROR(__xludf.DUMMYFUNCTION("""COMPUTED_VALUE"""),"Space")</f>
        <v/>
      </c>
      <c r="C97" s="6">
        <f>IFERROR(__xludf.DUMMYFUNCTION("""COMPUTED_VALUE"""),"Investigation")</f>
        <v/>
      </c>
      <c r="D97" s="7">
        <f>IFERROR(__xludf.DUMMYFUNCTION("""COMPUTED_VALUE"""),"No task description")</f>
        <v/>
      </c>
      <c r="E97" s="7">
        <f>IFERROR(__xludf.DUMMYFUNCTION("""COMPUTED_VALUE"""),"No artifact embedded")</f>
        <v/>
      </c>
      <c r="F97" s="7" t="inlineStr">
        <is>
          <t>Students learn about the unit circle, with an image in Item 1 and mathematical relationships in Item 2.</t>
        </is>
      </c>
      <c r="G97" s="8" t="n"/>
      <c r="H97" s="8" t="n"/>
      <c r="I97" s="8" t="n"/>
      <c r="J97" s="8" t="n"/>
      <c r="K97" s="9" t="n"/>
      <c r="L97" s="9" t="n"/>
      <c r="M97" s="9" t="n"/>
      <c r="N97" s="9" t="n"/>
      <c r="O97" s="10" t="n"/>
      <c r="P97" s="10" t="n"/>
      <c r="Q97" s="10" t="n"/>
      <c r="R97" s="10" t="n"/>
      <c r="S97" s="10" t="n"/>
    </row>
    <row r="98" ht="157" customHeight="1">
      <c r="A98" s="6">
        <f>IFERROR(__xludf.DUMMYFUNCTION("""COMPUTED_VALUE"""),"Trigonometry (Math)")</f>
        <v/>
      </c>
      <c r="B98" s="6">
        <f>IFERROR(__xludf.DUMMYFUNCTION("""COMPUTED_VALUE"""),"Application")</f>
        <v/>
      </c>
      <c r="C98" s="6">
        <f>IFERROR(__xludf.DUMMYFUNCTION("""COMPUTED_VALUE"""),"Trig Tour")</f>
        <v/>
      </c>
      <c r="D98" s="7">
        <f>IFERROR(__xludf.DUMMYFUNCTION("""COMPUTED_VALUE"""),"&lt;p&gt;Explore the Simulation by moving the red dot and write down your observation below;&lt;/p&gt;")</f>
        <v/>
      </c>
      <c r="E98" s="7">
        <f>IFERROR(__xludf.DUMMYFUNCTION("""COMPUTED_VALUE"""),"Golabz app/lab: ""&lt;p&gt;Take a tour of trigonometry using degrees or radians! Look for patterns in the values and on the graph when you change the value of theta. Compare the graphs of sine, cosine, and tangent.&lt;/p&gt;\r\n""")</f>
        <v/>
      </c>
      <c r="F98" s="7" t="inlineStr">
        <is>
          <t>Students explore unit circle, trig functions, and simulations, with observations and comparisons of sine, cosine, and tangent graphs.</t>
        </is>
      </c>
      <c r="G98" s="8" t="n"/>
      <c r="H98" s="8" t="n"/>
      <c r="I98" s="8" t="n"/>
      <c r="J98" s="8" t="n"/>
      <c r="K98" s="9" t="n"/>
      <c r="L98" s="9" t="n"/>
      <c r="M98" s="9" t="n"/>
      <c r="N98" s="9" t="n"/>
      <c r="O98" s="10" t="n"/>
      <c r="P98" s="10" t="n"/>
      <c r="Q98" s="10" t="n"/>
      <c r="R98" s="10" t="n"/>
      <c r="S98" s="10" t="n"/>
    </row>
    <row r="99" ht="318" customHeight="1">
      <c r="A99" s="6">
        <f>IFERROR(__xludf.DUMMYFUNCTION("""COMPUTED_VALUE"""),"Trigonometry (Math)")</f>
        <v/>
      </c>
      <c r="B99" s="6">
        <f>IFERROR(__xludf.DUMMYFUNCTION("""COMPUTED_VALUE"""),"Application")</f>
        <v/>
      </c>
      <c r="C99" s="6">
        <f>IFERROR(__xludf.DUMMYFUNCTION("""COMPUTED_VALUE"""),"Input Box (3)")</f>
        <v/>
      </c>
      <c r="D99" s="7">
        <f>IFERROR(__xludf.DUMMYFUNCTION("""COMPUTED_VALUE"""),"&lt;p&gt;From the unit circle on the lab, what is the radius of the circle and how do you know?&lt;/p&gt;")</f>
        <v/>
      </c>
      <c r="E9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9" s="7" t="inlineStr">
        <is>
          <t>Students are instructed to explore a simulation, record observations, and answer questions about a unit circle using the Golabz app/lab. Embedded artifacts include interactive labs and note-taking tools.</t>
        </is>
      </c>
      <c r="G99" s="8" t="n"/>
      <c r="H99" s="8" t="n"/>
      <c r="I99" s="8" t="n"/>
      <c r="J99" s="8" t="n"/>
      <c r="K99" s="9" t="n"/>
      <c r="L99" s="9" t="n"/>
      <c r="M99" s="9" t="n"/>
      <c r="N99" s="9" t="n"/>
      <c r="O99" s="10" t="n"/>
      <c r="P99" s="10" t="n"/>
      <c r="Q99" s="10" t="n"/>
      <c r="R99" s="10" t="n"/>
      <c r="S99" s="10" t="n"/>
    </row>
    <row r="100" ht="318" customHeight="1">
      <c r="A100" s="6">
        <f>IFERROR(__xludf.DUMMYFUNCTION("""COMPUTED_VALUE"""),"Trigonometry (Math)")</f>
        <v/>
      </c>
      <c r="B100" s="6">
        <f>IFERROR(__xludf.DUMMYFUNCTION("""COMPUTED_VALUE"""),"Application")</f>
        <v/>
      </c>
      <c r="C100" s="6">
        <f>IFERROR(__xludf.DUMMYFUNCTION("""COMPUTED_VALUE"""),"Input Box (4)")</f>
        <v/>
      </c>
      <c r="D100" s="7">
        <f>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
      </c>
      <c r="E1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0" s="7" t="inlineStr">
        <is>
          <t>Students explore trigonometry simulations, record observations, and answer questions about unit circles and right triangles using Golabz app/lab tools.</t>
        </is>
      </c>
      <c r="G100" s="8" t="n"/>
      <c r="H100" s="8" t="n"/>
      <c r="I100" s="8" t="n"/>
      <c r="J100" s="8" t="n"/>
      <c r="K100" s="9" t="n"/>
      <c r="L100" s="9" t="n"/>
      <c r="M100" s="9" t="n"/>
      <c r="N100" s="9" t="n"/>
      <c r="O100" s="10" t="n"/>
      <c r="P100" s="10" t="n"/>
      <c r="Q100" s="10" t="n"/>
      <c r="R100" s="10" t="n"/>
      <c r="S100" s="10" t="n"/>
    </row>
    <row r="101" ht="318" customHeight="1">
      <c r="A101" s="6">
        <f>IFERROR(__xludf.DUMMYFUNCTION("""COMPUTED_VALUE"""),"Trigonometry (Math)")</f>
        <v/>
      </c>
      <c r="B101" s="6">
        <f>IFERROR(__xludf.DUMMYFUNCTION("""COMPUTED_VALUE"""),"Application")</f>
        <v/>
      </c>
      <c r="C101" s="6">
        <f>IFERROR(__xludf.DUMMYFUNCTION("""COMPUTED_VALUE"""),"Input Box")</f>
        <v/>
      </c>
      <c r="D101" s="7">
        <f>IFERROR(__xludf.DUMMYFUNCTION("""COMPUTED_VALUE"""),"&lt;p&gt;Click on sin, then look at the values of SIN \theta as you move the red dot in an anti-clock direction round about the circle. What do you notice?&lt;/p&gt;")</f>
        <v/>
      </c>
      <c r="E10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1" s="7" t="inlineStr">
        <is>
          <t>Students explore trigonometry using a unit circle lab, recording observations and notes in an input box within the Golabz app.</t>
        </is>
      </c>
      <c r="G101" s="8" t="n"/>
      <c r="H101" s="8" t="n"/>
      <c r="I101" s="8" t="n"/>
      <c r="J101" s="8" t="n"/>
      <c r="K101" s="9" t="n"/>
      <c r="L101" s="9" t="n"/>
      <c r="M101" s="9" t="n"/>
      <c r="N101" s="9" t="n"/>
      <c r="O101" s="10" t="n"/>
      <c r="P101" s="10" t="n"/>
      <c r="Q101" s="10" t="n"/>
      <c r="R101" s="10" t="n"/>
      <c r="S101" s="10" t="n"/>
    </row>
    <row r="102" ht="318" customHeight="1">
      <c r="A102" s="6">
        <f>IFERROR(__xludf.DUMMYFUNCTION("""COMPUTED_VALUE"""),"Trigonometry (Math)")</f>
        <v/>
      </c>
      <c r="B102" s="6">
        <f>IFERROR(__xludf.DUMMYFUNCTION("""COMPUTED_VALUE"""),"Application")</f>
        <v/>
      </c>
      <c r="C102" s="6">
        <f>IFERROR(__xludf.DUMMYFUNCTION("""COMPUTED_VALUE"""),"Input Box (1)")</f>
        <v/>
      </c>
      <c r="D102" s="7">
        <f>IFERROR(__xludf.DUMMYFUNCTION("""COMPUTED_VALUE"""),"&lt;p&gt;Click on cos, then look at the values of COS theta as you move the red dot in an anti-clock direction round about the circle. What do you notice?&lt;/p&gt;")</f>
        <v/>
      </c>
      <c r="E1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2" s="7" t="inlineStr">
        <is>
          <t>Students interact with trigonometric functions and record observations using the Golabz app/lab, which allows note-taking and collaboration.</t>
        </is>
      </c>
      <c r="G102" s="8" t="n"/>
      <c r="H102" s="8" t="n"/>
      <c r="I102" s="8" t="n"/>
      <c r="J102" s="8" t="n"/>
      <c r="K102" s="9" t="n"/>
      <c r="L102" s="9" t="n"/>
      <c r="M102" s="9" t="n"/>
      <c r="N102" s="9" t="n"/>
      <c r="O102" s="10" t="n"/>
      <c r="P102" s="10" t="n"/>
      <c r="Q102" s="10" t="n"/>
      <c r="R102" s="10" t="n"/>
      <c r="S102" s="10" t="n"/>
    </row>
    <row r="103" ht="318" customHeight="1">
      <c r="A103" s="6">
        <f>IFERROR(__xludf.DUMMYFUNCTION("""COMPUTED_VALUE"""),"Trigonometry (Math)")</f>
        <v/>
      </c>
      <c r="B103" s="6">
        <f>IFERROR(__xludf.DUMMYFUNCTION("""COMPUTED_VALUE"""),"Application")</f>
        <v/>
      </c>
      <c r="C103" s="6">
        <f>IFERROR(__xludf.DUMMYFUNCTION("""COMPUTED_VALUE"""),"Input Box (2)")</f>
        <v/>
      </c>
      <c r="D103" s="7">
        <f>IFERROR(__xludf.DUMMYFUNCTION("""COMPUTED_VALUE"""),"&lt;p&gt;Click on tan, then look at the values of TAN theta as you move the red dot in an anti-clock direction round about the circle. What do you notice?&lt;/p&gt;")</f>
        <v/>
      </c>
      <c r="E1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3" s="7" t="inlineStr">
        <is>
          <t>Students click on sin, cos, or tan and observe value changes as they move a red dot around a circle, using a note-taking app with optional collaboration mode.</t>
        </is>
      </c>
      <c r="G103" s="8" t="n"/>
      <c r="H103" s="8" t="n"/>
      <c r="I103" s="8" t="n"/>
      <c r="J103" s="8" t="n"/>
      <c r="K103" s="9" t="n"/>
      <c r="L103" s="9" t="n"/>
      <c r="M103" s="9" t="n"/>
      <c r="N103" s="9" t="n"/>
      <c r="O103" s="10" t="n"/>
      <c r="P103" s="10" t="n"/>
      <c r="Q103" s="10" t="n"/>
      <c r="R103" s="10" t="n"/>
      <c r="S103" s="10" t="n"/>
    </row>
    <row r="104" ht="217" customHeight="1">
      <c r="A104" s="6">
        <f>IFERROR(__xludf.DUMMYFUNCTION("""COMPUTED_VALUE"""),"Trigonometry (Math)")</f>
        <v/>
      </c>
      <c r="B104" s="6">
        <f>IFERROR(__xludf.DUMMYFUNCTION("""COMPUTED_VALUE"""),"Resource")</f>
        <v/>
      </c>
      <c r="C104" s="6">
        <f>IFERROR(__xludf.DUMMYFUNCTION("""COMPUTED_VALUE"""),"table text.graasp")</f>
        <v/>
      </c>
      <c r="D104" s="7">
        <f>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
      </c>
      <c r="E104" s="7">
        <f>IFERROR(__xludf.DUMMYFUNCTION("""COMPUTED_VALUE"""),"No artifact embedded")</f>
        <v/>
      </c>
      <c r="F104" s="7" t="inlineStr">
        <is>
          <t>Students are instructed to explore trigonometric values using a Golabz app/lab, with notes taken via an input box that can be shared with teachers.</t>
        </is>
      </c>
      <c r="G104" s="8" t="n"/>
      <c r="H104" s="8" t="n"/>
      <c r="I104" s="8" t="n"/>
      <c r="J104" s="8" t="n"/>
      <c r="K104" s="9" t="n"/>
      <c r="L104" s="9" t="n"/>
      <c r="M104" s="9" t="n"/>
      <c r="N104" s="9" t="n"/>
      <c r="O104" s="10" t="n"/>
      <c r="P104" s="10" t="n"/>
      <c r="Q104" s="10" t="n"/>
      <c r="R104" s="10" t="n"/>
      <c r="S104" s="10" t="n"/>
    </row>
    <row r="105" ht="145" customHeight="1">
      <c r="A105" s="6">
        <f>IFERROR(__xludf.DUMMYFUNCTION("""COMPUTED_VALUE"""),"Trigonometry (Math)")</f>
        <v/>
      </c>
      <c r="B105" s="6">
        <f>IFERROR(__xludf.DUMMYFUNCTION("""COMPUTED_VALUE"""),"Resource")</f>
        <v/>
      </c>
      <c r="C105" s="6">
        <f>IFERROR(__xludf.DUMMYFUNCTION("""COMPUTED_VALUE"""),"Untitled.png2.png")</f>
        <v/>
      </c>
      <c r="D105" s="7">
        <f>IFERROR(__xludf.DUMMYFUNCTION("""COMPUTED_VALUE"""),"No task description")</f>
        <v/>
      </c>
      <c r="E105" s="7">
        <f>IFERROR(__xludf.DUMMYFUNCTION("""COMPUTED_VALUE"""),"image/png – A high-quality image with support for transparency, often used in design and web applications.")</f>
        <v/>
      </c>
      <c r="F105" s="7" t="inlineStr">
        <is>
          <t>Students are instructed to explore trigonometry concepts using an app, recording values and observations. Embedded artifacts include a note-taking app and an image file.</t>
        </is>
      </c>
      <c r="G105" s="8" t="n"/>
      <c r="H105" s="8" t="n"/>
      <c r="I105" s="8" t="n"/>
      <c r="J105" s="8" t="n"/>
      <c r="K105" s="9" t="n"/>
      <c r="L105" s="9" t="n"/>
      <c r="M105" s="9" t="n"/>
      <c r="N105" s="9" t="n"/>
      <c r="O105" s="10" t="n"/>
      <c r="P105" s="10" t="n"/>
      <c r="Q105" s="10" t="n"/>
      <c r="R105" s="10" t="n"/>
      <c r="S105" s="10" t="n"/>
    </row>
    <row r="106" ht="409.6" customHeight="1">
      <c r="A106" s="6">
        <f>IFERROR(__xludf.DUMMYFUNCTION("""COMPUTED_VALUE"""),"Trigonometry (Math)")</f>
        <v/>
      </c>
      <c r="B106" s="6">
        <f>IFERROR(__xludf.DUMMYFUNCTION("""COMPUTED_VALUE"""),"Application")</f>
        <v/>
      </c>
      <c r="C106" s="6">
        <f>IFERROR(__xludf.DUMMYFUNCTION("""COMPUTED_VALUE"""),"Table Tool")</f>
        <v/>
      </c>
      <c r="D106" s="7">
        <f>IFERROR(__xludf.DUMMYFUNCTION("""COMPUTED_VALUE"""),"No task description")</f>
        <v/>
      </c>
      <c r="E10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06" s="7" t="inlineStr">
        <is>
          <t>Students record trigonometry values. Embedded artifacts include an image and a table tool for data entry.</t>
        </is>
      </c>
      <c r="G106" s="8" t="n"/>
      <c r="H106" s="8" t="n"/>
      <c r="I106" s="8" t="n"/>
      <c r="J106" s="8" t="n"/>
      <c r="K106" s="9" t="n"/>
      <c r="L106" s="9" t="n"/>
      <c r="M106" s="9" t="n"/>
      <c r="N106" s="9" t="n"/>
      <c r="O106" s="10" t="n"/>
      <c r="P106" s="10" t="n"/>
      <c r="Q106" s="10" t="n"/>
      <c r="R106" s="10" t="n"/>
      <c r="S106" s="10" t="n"/>
    </row>
    <row r="107" ht="109" customHeight="1">
      <c r="A107" s="6">
        <f>IFERROR(__xludf.DUMMYFUNCTION("""COMPUTED_VALUE"""),"Trigonometry (Math)")</f>
        <v/>
      </c>
      <c r="B107" s="6">
        <f>IFERROR(__xludf.DUMMYFUNCTION("""COMPUTED_VALUE"""),"Resource")</f>
        <v/>
      </c>
      <c r="C107" s="6">
        <f>IFERROR(__xludf.DUMMYFUNCTION("""COMPUTED_VALUE"""),"investigate.graasp")</f>
        <v/>
      </c>
      <c r="D107" s="7">
        <f>IFERROR(__xludf.DUMMYFUNCTION("""COMPUTED_VALUE"""),"No task description")</f>
        <v/>
      </c>
      <c r="E107" s="7">
        <f>IFERROR(__xludf.DUMMYFUNCTION("""COMPUTED_VALUE"""),"No artifact embedded")</f>
        <v/>
      </c>
      <c r="F107" s="7" t="inlineStr">
        <is>
          <t>No task descriptions provided. Embedded artifacts include an image and a table tool app with collaboration features.</t>
        </is>
      </c>
      <c r="G107" s="8" t="n"/>
      <c r="H107" s="8" t="n"/>
      <c r="I107" s="8" t="n"/>
      <c r="J107" s="8" t="n"/>
      <c r="K107" s="9" t="n"/>
      <c r="L107" s="9" t="n"/>
      <c r="M107" s="9" t="n"/>
      <c r="N107" s="9" t="n"/>
      <c r="O107" s="10" t="n"/>
      <c r="P107" s="10" t="n"/>
      <c r="Q107" s="10" t="n"/>
      <c r="R107" s="10" t="n"/>
      <c r="S107" s="10" t="n"/>
    </row>
    <row r="108" ht="133" customHeight="1">
      <c r="A108" s="6">
        <f>IFERROR(__xludf.DUMMYFUNCTION("""COMPUTED_VALUE"""),"Trigonometry (Math)")</f>
        <v/>
      </c>
      <c r="B108" s="6">
        <f>IFERROR(__xludf.DUMMYFUNCTION("""COMPUTED_VALUE"""),"Space")</f>
        <v/>
      </c>
      <c r="C108" s="6">
        <f>IFERROR(__xludf.DUMMYFUNCTION("""COMPUTED_VALUE"""),"Conclusion")</f>
        <v/>
      </c>
      <c r="D108" s="7">
        <f>IFERROR(__xludf.DUMMYFUNCTION("""COMPUTED_VALUE"""),"No task description")</f>
        <v/>
      </c>
      <c r="E108" s="7">
        <f>IFERROR(__xludf.DUMMYFUNCTION("""COMPUTED_VALUE"""),"No artifact embedded")</f>
        <v/>
      </c>
      <c r="F108" s="7" t="inlineStr">
        <is>
          <t>No task descriptions provided. Embedded artifacts include Golabz app/lab instructions for using the table tool and collaboration mode.</t>
        </is>
      </c>
      <c r="G108" s="8" t="n"/>
      <c r="H108" s="8" t="n"/>
      <c r="I108" s="8" t="n"/>
      <c r="J108" s="8" t="n"/>
      <c r="K108" s="9" t="n"/>
      <c r="L108" s="9" t="n"/>
      <c r="M108" s="9" t="n"/>
      <c r="N108" s="9" t="n"/>
      <c r="O108" s="10" t="n"/>
      <c r="P108" s="10" t="n"/>
      <c r="Q108" s="10" t="n"/>
      <c r="R108" s="10" t="n"/>
      <c r="S108" s="10" t="n"/>
    </row>
    <row r="109" ht="109" customHeight="1">
      <c r="A109" s="6">
        <f>IFERROR(__xludf.DUMMYFUNCTION("""COMPUTED_VALUE"""),"Trigonometry (Math)")</f>
        <v/>
      </c>
      <c r="B109" s="6">
        <f>IFERROR(__xludf.DUMMYFUNCTION("""COMPUTED_VALUE"""),"Resource")</f>
        <v/>
      </c>
      <c r="C109" s="6">
        <f>IFERROR(__xludf.DUMMYFUNCTION("""COMPUTED_VALUE"""),"mathematics-in-our-daily-life-21-638.jpg")</f>
        <v/>
      </c>
      <c r="D109" s="7">
        <f>IFERROR(__xludf.DUMMYFUNCTION("""COMPUTED_VALUE"""),"No task description")</f>
        <v/>
      </c>
      <c r="E109" s="7">
        <f>IFERROR(__xludf.DUMMYFUNCTION("""COMPUTED_VALUE"""),"image/jpeg – A digital photograph or web image stored in a compressed format, often used for photography and web graphics.")</f>
        <v/>
      </c>
      <c r="F109" s="7" t="inlineStr">
        <is>
          <t>No instructions provided; only Item3 has an embedded artifact, a JPEG image.</t>
        </is>
      </c>
      <c r="G109" s="8" t="n"/>
      <c r="H109" s="8" t="n"/>
      <c r="I109" s="8" t="n"/>
      <c r="J109" s="8" t="n"/>
      <c r="K109" s="9" t="n"/>
      <c r="L109" s="9" t="n"/>
      <c r="M109" s="9" t="n"/>
      <c r="N109" s="9" t="n"/>
      <c r="O109" s="10" t="n"/>
      <c r="P109" s="10" t="n"/>
      <c r="Q109" s="10" t="n"/>
      <c r="R109" s="10" t="n"/>
      <c r="S109" s="10" t="n"/>
    </row>
    <row r="110" ht="409.6" customHeight="1">
      <c r="A110" s="6">
        <f>IFERROR(__xludf.DUMMYFUNCTION("""COMPUTED_VALUE"""),"Trigonometry (Math)")</f>
        <v/>
      </c>
      <c r="B110" s="6">
        <f>IFERROR(__xludf.DUMMYFUNCTION("""COMPUTED_VALUE"""),"Resource")</f>
        <v/>
      </c>
      <c r="C110" s="6">
        <f>IFERROR(__xludf.DUMMYFUNCTION("""COMPUTED_VALUE"""),"conclude.graasp")</f>
        <v/>
      </c>
      <c r="D110" s="7">
        <f>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
      </c>
      <c r="E110" s="7">
        <f>IFERROR(__xludf.DUMMYFUNCTION("""COMPUTED_VALUE"""),"No artifact embedded")</f>
        <v/>
      </c>
      <c r="F110" s="7" t="inlineStr">
        <is>
          <t>Students were given no task description for Items 1 and 2. Item 3 describes trigonometric applications and asks students to take a quiz. Embedded artifacts include an image/jpeg file in Item 2.</t>
        </is>
      </c>
      <c r="G110" s="8" t="n"/>
      <c r="H110" s="8" t="n"/>
      <c r="I110" s="8" t="n"/>
      <c r="J110" s="8" t="n"/>
      <c r="K110" s="9" t="n"/>
      <c r="L110" s="9" t="n"/>
      <c r="M110" s="9" t="n"/>
      <c r="N110" s="9" t="n"/>
      <c r="O110" s="10" t="n"/>
      <c r="P110" s="10" t="n"/>
      <c r="Q110" s="10" t="n"/>
      <c r="R110" s="10" t="n"/>
      <c r="S110" s="10" t="n"/>
    </row>
    <row r="111" ht="274" customHeight="1">
      <c r="A111" s="6">
        <f>IFERROR(__xludf.DUMMYFUNCTION("""COMPUTED_VALUE"""),"Trigonometry (Math)")</f>
        <v/>
      </c>
      <c r="B111" s="6">
        <f>IFERROR(__xludf.DUMMYFUNCTION("""COMPUTED_VALUE"""),"Application")</f>
        <v/>
      </c>
      <c r="C111" s="6">
        <f>IFERROR(__xludf.DUMMYFUNCTION("""COMPUTED_VALUE"""),"Quiz Tool")</f>
        <v/>
      </c>
      <c r="D111" s="7">
        <f>IFERROR(__xludf.DUMMYFUNCTION("""COMPUTED_VALUE"""),"No task description")</f>
        <v/>
      </c>
      <c r="E11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11" s="7" t="inlineStr">
        <is>
          <t>Students are given tasks with varying descriptions and embedded artifacts, including images and interactive quizzes.</t>
        </is>
      </c>
      <c r="G111" s="8" t="n"/>
      <c r="H111" s="8" t="n"/>
      <c r="I111" s="8" t="n"/>
      <c r="J111" s="8" t="n"/>
      <c r="K111" s="9" t="n"/>
      <c r="L111" s="9" t="n"/>
      <c r="M111" s="9" t="n"/>
      <c r="N111" s="9" t="n"/>
      <c r="O111" s="10" t="n"/>
      <c r="P111" s="10" t="n"/>
      <c r="Q111" s="10" t="n"/>
      <c r="R111" s="10" t="n"/>
      <c r="S111" s="10" t="n"/>
    </row>
    <row r="112" ht="169" customHeight="1">
      <c r="A112" s="6">
        <f>IFERROR(__xludf.DUMMYFUNCTION("""COMPUTED_VALUE"""),"Trigonometry (Math)")</f>
        <v/>
      </c>
      <c r="B112" s="6">
        <f>IFERROR(__xludf.DUMMYFUNCTION("""COMPUTED_VALUE"""),"Space")</f>
        <v/>
      </c>
      <c r="C112" s="6">
        <f>IFERROR(__xludf.DUMMYFUNCTION("""COMPUTED_VALUE"""),"Discussion")</f>
        <v/>
      </c>
      <c r="D112" s="7">
        <f>IFERROR(__xludf.DUMMYFUNCTION("""COMPUTED_VALUE"""),"&lt;p&gt;Feel free to tell what you have learnt in Trigonometry and ask questions for further clarification. &lt;/p&gt;&lt;p&gt;Thank you!&lt;/p&gt;")</f>
        <v/>
      </c>
      <c r="E112" s="7">
        <f>IFERROR(__xludf.DUMMYFUNCTION("""COMPUTED_VALUE"""),"No artifact embedded")</f>
        <v/>
      </c>
      <c r="F112" s="7" t="inlineStr">
        <is>
          <t>Students were instructed to learn about trigonometric applications, take a quiz, and discuss their knowledge. Embedded artifacts include a quiz app with interactive question configuration.</t>
        </is>
      </c>
      <c r="G112" s="8" t="n"/>
      <c r="H112" s="8" t="n"/>
      <c r="I112" s="8" t="n"/>
      <c r="J112" s="8" t="n"/>
      <c r="K112" s="9" t="n"/>
      <c r="L112" s="9" t="n"/>
      <c r="M112" s="9" t="n"/>
      <c r="N112" s="9" t="n"/>
      <c r="O112" s="10" t="n"/>
      <c r="P112" s="10" t="n"/>
      <c r="Q112" s="10" t="n"/>
      <c r="R112" s="10" t="n"/>
      <c r="S112" s="10" t="n"/>
    </row>
    <row r="113" ht="409.6" customHeight="1">
      <c r="A113" s="6">
        <f>IFERROR(__xludf.DUMMYFUNCTION("""COMPUTED_VALUE"""),"Trigonometry (Math)")</f>
        <v/>
      </c>
      <c r="B113" s="6">
        <f>IFERROR(__xludf.DUMMYFUNCTION("""COMPUTED_VALUE"""),"Application")</f>
        <v/>
      </c>
      <c r="C113" s="6">
        <f>IFERROR(__xludf.DUMMYFUNCTION("""COMPUTED_VALUE"""),"SpeakUp")</f>
        <v/>
      </c>
      <c r="D113" s="7">
        <f>IFERROR(__xludf.DUMMYFUNCTION("""COMPUTED_VALUE"""),"No task description")</f>
        <v/>
      </c>
      <c r="E113"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113" s="7" t="inlineStr">
        <is>
          <t>Students received task descriptions and embedded artifacts for three items, including quiz apps and a social discussion tool, with varying levels of detail.</t>
        </is>
      </c>
      <c r="G113" s="8" t="n"/>
      <c r="H113" s="8" t="n"/>
      <c r="I113" s="8" t="n"/>
      <c r="J113" s="8" t="n"/>
      <c r="K113" s="9" t="n"/>
      <c r="L113" s="9" t="n"/>
      <c r="M113" s="9" t="n"/>
      <c r="N113" s="9" t="n"/>
      <c r="O113" s="10" t="n"/>
      <c r="P113" s="10" t="n"/>
      <c r="Q113" s="10" t="n"/>
      <c r="R113" s="10" t="n"/>
      <c r="S113" s="10" t="n"/>
    </row>
    <row r="114" ht="109" customHeight="1">
      <c r="A114" s="6">
        <f>IFERROR(__xludf.DUMMYFUNCTION("""COMPUTED_VALUE"""),"The color of the light")</f>
        <v/>
      </c>
      <c r="B114" s="6">
        <f>IFERROR(__xludf.DUMMYFUNCTION("""COMPUTED_VALUE"""),"Space")</f>
        <v/>
      </c>
      <c r="C114" s="6">
        <f>IFERROR(__xludf.DUMMYFUNCTION("""COMPUTED_VALUE"""),"Introduction")</f>
        <v/>
      </c>
      <c r="D114" s="7">
        <f>IFERROR(__xludf.DUMMYFUNCTION("""COMPUTED_VALUE"""),"No task description")</f>
        <v/>
      </c>
      <c r="E114" s="7">
        <f>IFERROR(__xludf.DUMMYFUNCTION("""COMPUTED_VALUE"""),"No artifact embedded")</f>
        <v/>
      </c>
      <c r="F114" s="7" t="inlineStr">
        <is>
          <t>Students are asked to discuss Trigonometry in Item1, with no tasks in Items2 and 3. Embedded artifacts include a discussion app in Item2.</t>
        </is>
      </c>
      <c r="G114" s="8" t="n"/>
      <c r="H114" s="8" t="n"/>
      <c r="I114" s="8" t="n"/>
      <c r="J114" s="8" t="n"/>
      <c r="K114" s="9" t="n"/>
      <c r="L114" s="9" t="n"/>
      <c r="M114" s="9" t="n"/>
      <c r="N114" s="9" t="n"/>
      <c r="O114" s="10" t="n"/>
      <c r="P114" s="10" t="n"/>
      <c r="Q114" s="10" t="n"/>
      <c r="R114" s="10" t="n"/>
      <c r="S114" s="10" t="n"/>
    </row>
    <row r="115" ht="395" customHeight="1">
      <c r="A115" s="6">
        <f>IFERROR(__xludf.DUMMYFUNCTION("""COMPUTED_VALUE"""),"The color of the light")</f>
        <v/>
      </c>
      <c r="B115" s="6">
        <f>IFERROR(__xludf.DUMMYFUNCTION("""COMPUTED_VALUE"""),"Resource")</f>
        <v/>
      </c>
      <c r="C115" s="6">
        <f>IFERROR(__xludf.DUMMYFUNCTION("""COMPUTED_VALUE"""),"Intro.graasp")</f>
        <v/>
      </c>
      <c r="D115" s="7">
        <f>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
      </c>
      <c r="E115" s="7">
        <f>IFERROR(__xludf.DUMMYFUNCTION("""COMPUTED_VALUE"""),"No artifact embedded")</f>
        <v/>
      </c>
      <c r="F115" s="7" t="inlineStr">
        <is>
          <t>Students received no task descriptions for Items 1 and 2. Item 3 instructs students to learn about color vision using "The Color of Light" lab tool. Embedded artifacts include Golabz app/lab SpeakUp for Item 1.</t>
        </is>
      </c>
      <c r="G115" s="8" t="n"/>
      <c r="H115" s="8" t="n"/>
      <c r="I115" s="8" t="n"/>
      <c r="J115" s="8" t="n"/>
      <c r="K115" s="9" t="n"/>
      <c r="L115" s="9" t="n"/>
      <c r="M115" s="9" t="n"/>
      <c r="N115" s="9" t="n"/>
      <c r="O115" s="10" t="n"/>
      <c r="P115" s="10" t="n"/>
      <c r="Q115" s="10" t="n"/>
      <c r="R115" s="10" t="n"/>
      <c r="S115" s="10" t="n"/>
    </row>
    <row r="116" ht="133" customHeight="1">
      <c r="A116" s="6">
        <f>IFERROR(__xludf.DUMMYFUNCTION("""COMPUTED_VALUE"""),"The color of the light")</f>
        <v/>
      </c>
      <c r="B116" s="6">
        <f>IFERROR(__xludf.DUMMYFUNCTION("""COMPUTED_VALUE"""),"Space")</f>
        <v/>
      </c>
      <c r="C116" s="6">
        <f>IFERROR(__xludf.DUMMYFUNCTION("""COMPUTED_VALUE"""),"Orientation")</f>
        <v/>
      </c>
      <c r="D116" s="7">
        <f>IFERROR(__xludf.DUMMYFUNCTION("""COMPUTED_VALUE"""),"No task description")</f>
        <v/>
      </c>
      <c r="E116" s="7">
        <f>IFERROR(__xludf.DUMMYFUNCTION("""COMPUTED_VALUE"""),"No artifact embedded")</f>
        <v/>
      </c>
      <c r="F116" s="7" t="inlineStr">
        <is>
          <t>Students learn about color vision and perception, using a laboratory tool to mix RGB colors and compare virtual and real results. No artifacts are embedded in any items.</t>
        </is>
      </c>
      <c r="G116" s="8" t="n"/>
      <c r="H116" s="8" t="n"/>
      <c r="I116" s="8" t="n"/>
      <c r="J116" s="8" t="n"/>
      <c r="K116" s="9" t="n"/>
      <c r="L116" s="9" t="n"/>
      <c r="M116" s="9" t="n"/>
      <c r="N116" s="9" t="n"/>
      <c r="O116" s="10" t="n"/>
      <c r="P116" s="10" t="n"/>
      <c r="Q116" s="10" t="n"/>
      <c r="R116" s="10" t="n"/>
      <c r="S116" s="10" t="n"/>
    </row>
    <row r="117" ht="409.6" customHeight="1">
      <c r="A117" s="6">
        <f>IFERROR(__xludf.DUMMYFUNCTION("""COMPUTED_VALUE"""),"The color of the light")</f>
        <v/>
      </c>
      <c r="B117" s="6">
        <f>IFERROR(__xludf.DUMMYFUNCTION("""COMPUTED_VALUE"""),"Resource")</f>
        <v/>
      </c>
      <c r="C117" s="6">
        <f>IFERROR(__xludf.DUMMYFUNCTION("""COMPUTED_VALUE"""),"Before video.graasp")</f>
        <v/>
      </c>
      <c r="D117" s="7">
        <f>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
      </c>
      <c r="E117" s="7">
        <f>IFERROR(__xludf.DUMMYFUNCTION("""COMPUTED_VALUE"""),"No artifact embedded")</f>
        <v/>
      </c>
      <c r="F117" s="7" t="inlineStr">
        <is>
          <t>Students learn about color vision and perception, using interactive tools like "The color of the light" laboratory with RGB sliders.</t>
        </is>
      </c>
      <c r="G117" s="8" t="n"/>
      <c r="H117" s="8" t="n"/>
      <c r="I117" s="8" t="n"/>
      <c r="J117" s="8" t="n"/>
      <c r="K117" s="9" t="n"/>
      <c r="L117" s="9" t="n"/>
      <c r="M117" s="9" t="n"/>
      <c r="N117" s="9" t="n"/>
      <c r="O117" s="10" t="n"/>
      <c r="P117" s="10" t="n"/>
      <c r="Q117" s="10" t="n"/>
      <c r="R117" s="10" t="n"/>
      <c r="S117" s="10" t="n"/>
    </row>
    <row r="118" ht="133" customHeight="1">
      <c r="A118" s="6">
        <f>IFERROR(__xludf.DUMMYFUNCTION("""COMPUTED_VALUE"""),"The color of the light")</f>
        <v/>
      </c>
      <c r="B118" s="6">
        <f>IFERROR(__xludf.DUMMYFUNCTION("""COMPUTED_VALUE"""),"Resource")</f>
        <v/>
      </c>
      <c r="C118" s="6">
        <f>IFERROR(__xludf.DUMMYFUNCTION("""COMPUTED_VALUE"""),"Simply Color Mixing")</f>
        <v/>
      </c>
      <c r="D118" s="7">
        <f>IFERROR(__xludf.DUMMYFUNCTION("""COMPUTED_VALUE"""),"No task description")</f>
        <v/>
      </c>
      <c r="E118" s="7">
        <f>IFERROR(__xludf.DUMMYFUNCTION("""COMPUTED_VALUE"""),"youtube.com: A widely known video-sharing platform where users can watch videos on a vast array of topics, including educational content.")</f>
        <v/>
      </c>
      <c r="F118" s="7" t="inlineStr">
        <is>
          <t>Students were instructed to observe their surroundings and watch a color mixing video. Embedded artifacts include no items, but a YouTube link is mentioned.</t>
        </is>
      </c>
      <c r="G118" s="8" t="n"/>
      <c r="H118" s="8" t="n"/>
      <c r="I118" s="8" t="n"/>
      <c r="J118" s="8" t="n"/>
      <c r="K118" s="9" t="n"/>
      <c r="L118" s="9" t="n"/>
      <c r="M118" s="9" t="n"/>
      <c r="N118" s="9" t="n"/>
      <c r="O118" s="10" t="n"/>
      <c r="P118" s="10" t="n"/>
      <c r="Q118" s="10" t="n"/>
      <c r="R118" s="10" t="n"/>
      <c r="S118" s="10" t="n"/>
    </row>
    <row r="119" ht="409.6" customHeight="1">
      <c r="A119" s="6">
        <f>IFERROR(__xludf.DUMMYFUNCTION("""COMPUTED_VALUE"""),"The color of the light")</f>
        <v/>
      </c>
      <c r="B119" s="6">
        <f>IFERROR(__xludf.DUMMYFUNCTION("""COMPUTED_VALUE"""),"Resource")</f>
        <v/>
      </c>
      <c r="C119" s="6">
        <f>IFERROR(__xludf.DUMMYFUNCTION("""COMPUTED_VALUE"""),"After video.graasp")</f>
        <v/>
      </c>
      <c r="D119" s="7">
        <f>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
      </c>
      <c r="E119" s="7">
        <f>IFERROR(__xludf.DUMMYFUNCTION("""COMPUTED_VALUE"""),"No artifact embedded")</f>
        <v/>
      </c>
      <c r="F119" s="7" t="inlineStr">
        <is>
          <t>Students observe surroundings, watch a video, and explore links about color and vision. Embedded artifacts include a YouTube link and interactive input box.</t>
        </is>
      </c>
      <c r="G119" s="8" t="n"/>
      <c r="H119" s="8" t="n"/>
      <c r="I119" s="8" t="n"/>
      <c r="J119" s="8" t="n"/>
      <c r="K119" s="9" t="n"/>
      <c r="L119" s="9" t="n"/>
      <c r="M119" s="9" t="n"/>
      <c r="N119" s="9" t="n"/>
      <c r="O119" s="10" t="n"/>
      <c r="P119" s="10" t="n"/>
      <c r="Q119" s="10" t="n"/>
      <c r="R119" s="10" t="n"/>
      <c r="S119" s="10" t="n"/>
    </row>
    <row r="120" ht="318" customHeight="1">
      <c r="A120" s="6">
        <f>IFERROR(__xludf.DUMMYFUNCTION("""COMPUTED_VALUE"""),"The color of the light")</f>
        <v/>
      </c>
      <c r="B120" s="6">
        <f>IFERROR(__xludf.DUMMYFUNCTION("""COMPUTED_VALUE"""),"Application")</f>
        <v/>
      </c>
      <c r="C120" s="6">
        <f>IFERROR(__xludf.DUMMYFUNCTION("""COMPUTED_VALUE"""),"Input Box")</f>
        <v/>
      </c>
      <c r="D120" s="7">
        <f>IFERROR(__xludf.DUMMYFUNCTION("""COMPUTED_VALUE"""),"No task description")</f>
        <v/>
      </c>
      <c r="E1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20" s="7" t="inlineStr">
        <is>
          <t>Students were given tasks and links to learn about vision and colors, with some items having embedded artifacts like YouTube and Golabz app/lab for notes and collaboration.</t>
        </is>
      </c>
      <c r="G120" s="8" t="n"/>
      <c r="H120" s="8" t="n"/>
      <c r="I120" s="8" t="n"/>
      <c r="J120" s="8" t="n"/>
      <c r="K120" s="9" t="n"/>
      <c r="L120" s="9" t="n"/>
      <c r="M120" s="9" t="n"/>
      <c r="N120" s="9" t="n"/>
      <c r="O120" s="10" t="n"/>
      <c r="P120" s="10" t="n"/>
      <c r="Q120" s="10" t="n"/>
      <c r="R120" s="10" t="n"/>
      <c r="S120" s="10" t="n"/>
    </row>
    <row r="121" ht="193" customHeight="1">
      <c r="A121" s="6">
        <f>IFERROR(__xludf.DUMMYFUNCTION("""COMPUTED_VALUE"""),"The color of the light")</f>
        <v/>
      </c>
      <c r="B121" s="6">
        <f>IFERROR(__xludf.DUMMYFUNCTION("""COMPUTED_VALUE"""),"Resource")</f>
        <v/>
      </c>
      <c r="C121" s="6">
        <f>IFERROR(__xludf.DUMMYFUNCTION("""COMPUTED_VALUE"""),"Concept map.graasp")</f>
        <v/>
      </c>
      <c r="D121" s="7">
        <f>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
      </c>
      <c r="E121" s="7">
        <f>IFERROR(__xludf.DUMMYFUNCTION("""COMPUTED_VALUE"""),"No artifact embedded")</f>
        <v/>
      </c>
      <c r="F121" s="7" t="inlineStr">
        <is>
          <t>Students were instructed to write about vision-related elements and create a concept map. Embedded artifacts include an input box app for note-taking and potential collaboration tool.</t>
        </is>
      </c>
      <c r="G121" s="8" t="n"/>
      <c r="H121" s="8" t="n"/>
      <c r="I121" s="8" t="n"/>
      <c r="J121" s="8" t="n"/>
      <c r="K121" s="9" t="n"/>
      <c r="L121" s="9" t="n"/>
      <c r="M121" s="9" t="n"/>
      <c r="N121" s="9" t="n"/>
      <c r="O121" s="10" t="n"/>
      <c r="P121" s="10" t="n"/>
      <c r="Q121" s="10" t="n"/>
      <c r="R121" s="10" t="n"/>
      <c r="S121" s="10" t="n"/>
    </row>
    <row r="122" ht="409.6" customHeight="1">
      <c r="A122" s="6">
        <f>IFERROR(__xludf.DUMMYFUNCTION("""COMPUTED_VALUE"""),"The color of the light")</f>
        <v/>
      </c>
      <c r="B122" s="6">
        <f>IFERROR(__xludf.DUMMYFUNCTION("""COMPUTED_VALUE"""),"Resource")</f>
        <v/>
      </c>
      <c r="C122" s="6">
        <f>IFERROR(__xludf.DUMMYFUNCTION("""COMPUTED_VALUE"""),"Tips concept map.graasp")</f>
        <v/>
      </c>
      <c r="D122" s="7">
        <f>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
      </c>
      <c r="E122" s="7">
        <f>IFERROR(__xludf.DUMMYFUNCTION("""COMPUTED_VALUE"""),"No artifact embedded")</f>
        <v/>
      </c>
      <c r="F122" s="7" t="inlineStr">
        <is>
          <t>Students take notes, then create a concept map using tips provided. Two tools are used: an input box app (Golabz) and a separate concept mapping tool.</t>
        </is>
      </c>
      <c r="G122" s="8" t="n"/>
      <c r="H122" s="8" t="n"/>
      <c r="I122" s="8" t="n"/>
      <c r="J122" s="8" t="n"/>
      <c r="K122" s="9" t="n"/>
      <c r="L122" s="9" t="n"/>
      <c r="M122" s="9" t="n"/>
      <c r="N122" s="9" t="n"/>
      <c r="O122" s="10" t="n"/>
      <c r="P122" s="10" t="n"/>
      <c r="Q122" s="10" t="n"/>
      <c r="R122" s="10" t="n"/>
      <c r="S122" s="10" t="n"/>
    </row>
    <row r="123" ht="409.6" customHeight="1">
      <c r="A123" s="6">
        <f>IFERROR(__xludf.DUMMYFUNCTION("""COMPUTED_VALUE"""),"The color of the light")</f>
        <v/>
      </c>
      <c r="B123" s="6">
        <f>IFERROR(__xludf.DUMMYFUNCTION("""COMPUTED_VALUE"""),"Application")</f>
        <v/>
      </c>
      <c r="C123" s="6">
        <f>IFERROR(__xludf.DUMMYFUNCTION("""COMPUTED_VALUE"""),"Concept Map")</f>
        <v/>
      </c>
      <c r="D123" s="7">
        <f>IFERROR(__xludf.DUMMYFUNCTION("""COMPUTED_VALUE"""),"No task description")</f>
        <v/>
      </c>
      <c r="E123"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23" s="7" t="inlineStr">
        <is>
          <t>Students create concept maps with tips provided; no artifacts embedded in Items 1 and 2, but Item 3 has a Golabz app/lab artifact, the Concept Mapper tool.</t>
        </is>
      </c>
      <c r="G123" s="8" t="n"/>
      <c r="H123" s="8" t="n"/>
      <c r="I123" s="8" t="n"/>
      <c r="J123" s="8" t="n"/>
      <c r="K123" s="9" t="n"/>
      <c r="L123" s="9" t="n"/>
      <c r="M123" s="9" t="n"/>
      <c r="N123" s="9" t="n"/>
      <c r="O123" s="10" t="n"/>
      <c r="P123" s="10" t="n"/>
      <c r="Q123" s="10" t="n"/>
      <c r="R123" s="10" t="n"/>
      <c r="S123" s="10" t="n"/>
    </row>
    <row r="124" ht="145" customHeight="1">
      <c r="A124" s="6">
        <f>IFERROR(__xludf.DUMMYFUNCTION("""COMPUTED_VALUE"""),"The color of the light")</f>
        <v/>
      </c>
      <c r="B124" s="6">
        <f>IFERROR(__xludf.DUMMYFUNCTION("""COMPUTED_VALUE"""),"Resource")</f>
        <v/>
      </c>
      <c r="C124" s="6">
        <f>IFERROR(__xludf.DUMMYFUNCTION("""COMPUTED_VALUE"""),"After CM.graasp")</f>
        <v/>
      </c>
      <c r="D124" s="7">
        <f>IFERROR(__xludf.DUMMYFUNCTION("""COMPUTED_VALUE"""),"&lt;p&gt;When you have finished the concept map you can go on to the Conceptualisation. To do this press the tab.&lt;br&gt;&lt;/p&gt;")</f>
        <v/>
      </c>
      <c r="E124" s="7">
        <f>IFERROR(__xludf.DUMMYFUNCTION("""COMPUTED_VALUE"""),"No artifact embedded")</f>
        <v/>
      </c>
      <c r="F124" s="7" t="inlineStr">
        <is>
          <t>Students are instructed to create a concept map, focusing on main relations and unrelated concepts. Embedded artifacts include the Concept Mapper tool in Golabz app/lab.</t>
        </is>
      </c>
      <c r="G124" s="8" t="n"/>
      <c r="H124" s="8" t="n"/>
      <c r="I124" s="8" t="n"/>
      <c r="J124" s="8" t="n"/>
      <c r="K124" s="9" t="n"/>
      <c r="L124" s="9" t="n"/>
      <c r="M124" s="9" t="n"/>
      <c r="N124" s="9" t="n"/>
      <c r="O124" s="10" t="n"/>
      <c r="P124" s="10" t="n"/>
      <c r="Q124" s="10" t="n"/>
      <c r="R124" s="10" t="n"/>
      <c r="S124" s="10" t="n"/>
    </row>
    <row r="125" ht="97" customHeight="1">
      <c r="A125" s="6">
        <f>IFERROR(__xludf.DUMMYFUNCTION("""COMPUTED_VALUE"""),"The color of the light")</f>
        <v/>
      </c>
      <c r="B125" s="6">
        <f>IFERROR(__xludf.DUMMYFUNCTION("""COMPUTED_VALUE"""),"Space")</f>
        <v/>
      </c>
      <c r="C125" s="6">
        <f>IFERROR(__xludf.DUMMYFUNCTION("""COMPUTED_VALUE"""),"Conceptualisation")</f>
        <v/>
      </c>
      <c r="D125" s="7">
        <f>IFERROR(__xludf.DUMMYFUNCTION("""COMPUTED_VALUE"""),"No task description")</f>
        <v/>
      </c>
      <c r="E125" s="7">
        <f>IFERROR(__xludf.DUMMYFUNCTION("""COMPUTED_VALUE"""),"No artifact embedded")</f>
        <v/>
      </c>
      <c r="F125" s="7" t="inlineStr">
        <is>
          <t>Students use the Concept Mapper tool to create concept maps, with optional real-time feedback and collaboration mode.</t>
        </is>
      </c>
      <c r="G125" s="8" t="n"/>
      <c r="H125" s="8" t="n"/>
      <c r="I125" s="8" t="n"/>
      <c r="J125" s="8" t="n"/>
      <c r="K125" s="9" t="n"/>
      <c r="L125" s="9" t="n"/>
      <c r="M125" s="9" t="n"/>
      <c r="N125" s="9" t="n"/>
      <c r="O125" s="10" t="n"/>
      <c r="P125" s="10" t="n"/>
      <c r="Q125" s="10" t="n"/>
      <c r="R125" s="10" t="n"/>
      <c r="S125" s="10" t="n"/>
    </row>
    <row r="126" ht="409.6" customHeight="1">
      <c r="A126" s="6">
        <f>IFERROR(__xludf.DUMMYFUNCTION("""COMPUTED_VALUE"""),"The color of the light")</f>
        <v/>
      </c>
      <c r="B126" s="6">
        <f>IFERROR(__xludf.DUMMYFUNCTION("""COMPUTED_VALUE"""),"Resource")</f>
        <v/>
      </c>
      <c r="C126" s="6">
        <f>IFERROR(__xludf.DUMMYFUNCTION("""COMPUTED_VALUE"""),"Intro.graasp")</f>
        <v/>
      </c>
      <c r="D126" s="7">
        <f>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
      </c>
      <c r="E126" s="7">
        <f>IFERROR(__xludf.DUMMYFUNCTION("""COMPUTED_VALUE"""),"No artifact embedded")</f>
        <v/>
      </c>
      <c r="F126" s="7" t="inlineStr">
        <is>
          <t>Students are instructed on concept mapping and color physics, with no artifacts embedded in Items 1 and 2, but descriptive text and a mentioned figure in Item 3.</t>
        </is>
      </c>
      <c r="G126" s="8" t="n"/>
      <c r="H126" s="8" t="n"/>
      <c r="I126" s="8" t="n"/>
      <c r="J126" s="8" t="n"/>
      <c r="K126" s="9" t="n"/>
      <c r="L126" s="9" t="n"/>
      <c r="M126" s="9" t="n"/>
      <c r="N126" s="9" t="n"/>
      <c r="O126" s="10" t="n"/>
      <c r="P126" s="10" t="n"/>
      <c r="Q126" s="10" t="n"/>
      <c r="R126" s="10" t="n"/>
      <c r="S126" s="10" t="n"/>
    </row>
    <row r="127" ht="145" customHeight="1">
      <c r="A127" s="6">
        <f>IFERROR(__xludf.DUMMYFUNCTION("""COMPUTED_VALUE"""),"The color of the light")</f>
        <v/>
      </c>
      <c r="B127" s="6">
        <f>IFERROR(__xludf.DUMMYFUNCTION("""COMPUTED_VALUE"""),"Resource")</f>
        <v/>
      </c>
      <c r="C127" s="6">
        <f>IFERROR(__xludf.DUMMYFUNCTION("""COMPUTED_VALUE"""),"How the eye sees.jpg")</f>
        <v/>
      </c>
      <c r="D127" s="7">
        <f>IFERROR(__xludf.DUMMYFUNCTION("""COMPUTED_VALUE"""),"----___---__--_--~ Downioad from f' E 3174ug45 Dreamstime.com ,..mm HE [3 Peter Hermes PM N Dreamsvme mm")</f>
        <v/>
      </c>
      <c r="E127" s="7">
        <f>IFERROR(__xludf.DUMMYFUNCTION("""COMPUTED_VALUE"""),"image/jpeg – A digital photograph or web image stored in a compressed format, often used for photography and web graphics.")</f>
        <v/>
      </c>
      <c r="F127" s="7" t="inlineStr">
        <is>
          <t>Students were given task descriptions on physics of color and human vision. Embedded artifacts included an image/jpeg file, but no other artifacts were embedded in the items.</t>
        </is>
      </c>
      <c r="G127" s="8" t="n"/>
      <c r="H127" s="8" t="n"/>
      <c r="I127" s="8" t="n"/>
      <c r="J127" s="8" t="n"/>
      <c r="K127" s="9" t="n"/>
      <c r="L127" s="9" t="n"/>
      <c r="M127" s="9" t="n"/>
      <c r="N127" s="9" t="n"/>
      <c r="O127" s="10" t="n"/>
      <c r="P127" s="10" t="n"/>
      <c r="Q127" s="10" t="n"/>
      <c r="R127" s="10" t="n"/>
      <c r="S127" s="10" t="n"/>
    </row>
    <row r="128" ht="409.6" customHeight="1">
      <c r="A128" s="6">
        <f>IFERROR(__xludf.DUMMYFUNCTION("""COMPUTED_VALUE"""),"The color of the light")</f>
        <v/>
      </c>
      <c r="B128" s="6">
        <f>IFERROR(__xludf.DUMMYFUNCTION("""COMPUTED_VALUE"""),"Resource")</f>
        <v/>
      </c>
      <c r="C128" s="6">
        <f>IFERROR(__xludf.DUMMYFUNCTION("""COMPUTED_VALUE"""),"Second text block.graasp")</f>
        <v/>
      </c>
      <c r="D128" s="7">
        <f>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
      </c>
      <c r="E128" s="7">
        <f>IFERROR(__xludf.DUMMYFUNCTION("""COMPUTED_VALUE"""),"No artifact embedded")</f>
        <v/>
      </c>
      <c r="F128" s="7" t="inlineStr">
        <is>
          <t>Instructions: Students learn about physics of color and human vision. 
Embedded artifacts: 1 image/jpeg, no other artifacts.</t>
        </is>
      </c>
      <c r="G128" s="8" t="n"/>
      <c r="H128" s="8" t="n"/>
      <c r="I128" s="8" t="n"/>
      <c r="J128" s="8" t="n"/>
      <c r="K128" s="9" t="n"/>
      <c r="L128" s="9" t="n"/>
      <c r="M128" s="9" t="n"/>
      <c r="N128" s="9" t="n"/>
      <c r="O128" s="10" t="n"/>
      <c r="P128" s="10" t="n"/>
      <c r="Q128" s="10" t="n"/>
      <c r="R128" s="10" t="n"/>
      <c r="S128" s="10" t="n"/>
    </row>
    <row r="129" ht="97" customHeight="1">
      <c r="A129" s="6">
        <f>IFERROR(__xludf.DUMMYFUNCTION("""COMPUTED_VALUE"""),"The color of the light")</f>
        <v/>
      </c>
      <c r="B129" s="6">
        <f>IFERROR(__xludf.DUMMYFUNCTION("""COMPUTED_VALUE"""),"Resource")</f>
        <v/>
      </c>
      <c r="C129" s="6">
        <f>IFERROR(__xludf.DUMMYFUNCTION("""COMPUTED_VALUE"""),"The primary colors.png")</f>
        <v/>
      </c>
      <c r="D129" s="7">
        <f>IFERROR(__xludf.DUMMYFUNCTION("""COMPUTED_VALUE"""),"No task description")</f>
        <v/>
      </c>
      <c r="E129" s="7">
        <f>IFERROR(__xludf.DUMMYFUNCTION("""COMPUTED_VALUE"""),"image/png – A high-quality image with support for transparency, often used in design and web applications.")</f>
        <v/>
      </c>
      <c r="F129" s="7" t="inlineStr">
        <is>
          <t>Students are given tasks and images to complete, including a digital photograph and a high-quality PNG image.</t>
        </is>
      </c>
      <c r="G129" s="8" t="n"/>
      <c r="H129" s="8" t="n"/>
      <c r="I129" s="8" t="n"/>
      <c r="J129" s="8" t="n"/>
      <c r="K129" s="9" t="n"/>
      <c r="L129" s="9" t="n"/>
      <c r="M129" s="9" t="n"/>
      <c r="N129" s="9" t="n"/>
      <c r="O129" s="10" t="n"/>
      <c r="P129" s="10" t="n"/>
      <c r="Q129" s="10" t="n"/>
      <c r="R129" s="10" t="n"/>
      <c r="S129" s="10" t="n"/>
    </row>
    <row r="130" ht="217" customHeight="1">
      <c r="A130" s="6">
        <f>IFERROR(__xludf.DUMMYFUNCTION("""COMPUTED_VALUE"""),"The color of the light")</f>
        <v/>
      </c>
      <c r="B130" s="6">
        <f>IFERROR(__xludf.DUMMYFUNCTION("""COMPUTED_VALUE"""),"Resource")</f>
        <v/>
      </c>
      <c r="C130" s="6">
        <f>IFERROR(__xludf.DUMMYFUNCTION("""COMPUTED_VALUE"""),"Third text block.graasp")</f>
        <v/>
      </c>
      <c r="D130" s="7">
        <f>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
      </c>
      <c r="E130" s="7">
        <f>IFERROR(__xludf.DUMMYFUNCTION("""COMPUTED_VALUE"""),"No artifact embedded")</f>
        <v/>
      </c>
      <c r="F130" s="7" t="inlineStr">
        <is>
          <t>Students are tasked with understanding color mechanisms and formulating research questions on primary colors. Embedded artifacts include a video link and a PNG image.</t>
        </is>
      </c>
      <c r="G130" s="8" t="n"/>
      <c r="H130" s="8" t="n"/>
      <c r="I130" s="8" t="n"/>
      <c r="J130" s="8" t="n"/>
      <c r="K130" s="9" t="n"/>
      <c r="L130" s="9" t="n"/>
      <c r="M130" s="9" t="n"/>
      <c r="N130" s="9" t="n"/>
      <c r="O130" s="10" t="n"/>
      <c r="P130" s="10" t="n"/>
      <c r="Q130" s="10" t="n"/>
      <c r="R130" s="10" t="n"/>
      <c r="S130" s="10" t="n"/>
    </row>
    <row r="131" ht="409.6" customHeight="1">
      <c r="A131" s="6">
        <f>IFERROR(__xludf.DUMMYFUNCTION("""COMPUTED_VALUE"""),"The color of the light")</f>
        <v/>
      </c>
      <c r="B131" s="6">
        <f>IFERROR(__xludf.DUMMYFUNCTION("""COMPUTED_VALUE"""),"Application")</f>
        <v/>
      </c>
      <c r="C131" s="6">
        <f>IFERROR(__xludf.DUMMYFUNCTION("""COMPUTED_VALUE"""),"Questioning Scratchpad")</f>
        <v/>
      </c>
      <c r="D131" s="7">
        <f>IFERROR(__xludf.DUMMYFUNCTION("""COMPUTED_VALUE"""),"No task description")</f>
        <v/>
      </c>
      <c r="E131"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131" s="7" t="inlineStr">
        <is>
          <t>Students are instructed to formulate a research question and provided with an image and the Question Scratchpad tool.</t>
        </is>
      </c>
      <c r="G131" s="8" t="n"/>
      <c r="H131" s="8" t="n"/>
      <c r="I131" s="8" t="n"/>
      <c r="J131" s="8" t="n"/>
      <c r="K131" s="9" t="n"/>
      <c r="L131" s="9" t="n"/>
      <c r="M131" s="9" t="n"/>
      <c r="N131" s="9" t="n"/>
      <c r="O131" s="10" t="n"/>
      <c r="P131" s="10" t="n"/>
      <c r="Q131" s="10" t="n"/>
      <c r="R131" s="10" t="n"/>
      <c r="S131" s="10" t="n"/>
    </row>
    <row r="132" ht="409.6" customHeight="1">
      <c r="A132" s="6">
        <f>IFERROR(__xludf.DUMMYFUNCTION("""COMPUTED_VALUE"""),"The color of the light")</f>
        <v/>
      </c>
      <c r="B132" s="6">
        <f>IFERROR(__xludf.DUMMYFUNCTION("""COMPUTED_VALUE"""),"Space")</f>
        <v/>
      </c>
      <c r="C132" s="6">
        <f>IFERROR(__xludf.DUMMYFUNCTION("""COMPUTED_VALUE"""),"Investigation")</f>
        <v/>
      </c>
      <c r="D132" s="7">
        <f>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
      </c>
      <c r="E132" s="7">
        <f>IFERROR(__xludf.DUMMYFUNCTION("""COMPUTED_VALUE"""),"No artifact embedded")</f>
        <v/>
      </c>
      <c r="F132" s="7" t="inlineStr">
        <is>
          <t>Students form research questions using "red", "green", "blue", and "combine" with a questioning scratchpad tool, then conduct experiments on color representation.</t>
        </is>
      </c>
      <c r="G132" s="8" t="n"/>
      <c r="H132" s="8" t="n"/>
      <c r="I132" s="8" t="n"/>
      <c r="J132" s="8" t="n"/>
      <c r="K132" s="9" t="n"/>
      <c r="L132" s="9" t="n"/>
      <c r="M132" s="9" t="n"/>
      <c r="N132" s="9" t="n"/>
      <c r="O132" s="10" t="n"/>
      <c r="P132" s="10" t="n"/>
      <c r="Q132" s="10" t="n"/>
      <c r="R132" s="10" t="n"/>
      <c r="S132" s="10" t="n"/>
    </row>
    <row r="133" ht="409.6" customHeight="1">
      <c r="A133" s="6">
        <f>IFERROR(__xludf.DUMMYFUNCTION("""COMPUTED_VALUE"""),"The color of the light")</f>
        <v/>
      </c>
      <c r="B133" s="6">
        <f>IFERROR(__xludf.DUMMYFUNCTION("""COMPUTED_VALUE"""),"Resource")</f>
        <v/>
      </c>
      <c r="C133" s="6">
        <f>IFERROR(__xludf.DUMMYFUNCTION("""COMPUTED_VALUE"""),"Hints.graasp")</f>
        <v/>
      </c>
      <c r="D133" s="7">
        <f>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
      </c>
      <c r="E133" s="7">
        <f>IFERROR(__xludf.DUMMYFUNCTION("""COMPUTED_VALUE"""),"No artifact embedded")</f>
        <v/>
      </c>
      <c r="F133" s="7" t="inlineStr">
        <is>
          <t>Students received task descriptions and embedded artifacts for labs, including a research question tool and color experiments with virtual and remote labs.</t>
        </is>
      </c>
      <c r="G133" s="8" t="n"/>
      <c r="H133" s="8" t="n"/>
      <c r="I133" s="8" t="n"/>
      <c r="J133" s="8" t="n"/>
      <c r="K133" s="9" t="n"/>
      <c r="L133" s="9" t="n"/>
      <c r="M133" s="9" t="n"/>
      <c r="N133" s="9" t="n"/>
      <c r="O133" s="10" t="n"/>
      <c r="P133" s="10" t="n"/>
      <c r="Q133" s="10" t="n"/>
      <c r="R133" s="10" t="n"/>
      <c r="S133" s="10" t="n"/>
    </row>
    <row r="134" ht="121" customHeight="1">
      <c r="A134" s="6">
        <f>IFERROR(__xludf.DUMMYFUNCTION("""COMPUTED_VALUE"""),"The color of the light")</f>
        <v/>
      </c>
      <c r="B134" s="6">
        <f>IFERROR(__xludf.DUMMYFUNCTION("""COMPUTED_VALUE"""),"Resource")</f>
        <v/>
      </c>
      <c r="C134" s="6">
        <f>IFERROR(__xludf.DUMMYFUNCTION("""COMPUTED_VALUE"""),"Mixing Colors.swf")</f>
        <v/>
      </c>
      <c r="D134" s="7">
        <f>IFERROR(__xludf.DUMMYFUNCTION("""COMPUTED_VALUE"""),"No task description")</f>
        <v/>
      </c>
      <c r="E134" s="7">
        <f>IFERROR(__xludf.DUMMYFUNCTION("""COMPUTED_VALUE"""),"application/x-shockwave-flash – An interactive Flash animation or application, formerly used for web games and media (now deprecated).")</f>
        <v/>
      </c>
      <c r="F134" s="7" t="inlineStr">
        <is>
          <t>Students are instructed to conduct experiments on color representation. Embedded artifacts include virtual labs and a Flash animation.</t>
        </is>
      </c>
      <c r="G134" s="8" t="n"/>
      <c r="H134" s="8" t="n"/>
      <c r="I134" s="8" t="n"/>
      <c r="J134" s="8" t="n"/>
      <c r="K134" s="9" t="n"/>
      <c r="L134" s="9" t="n"/>
      <c r="M134" s="9" t="n"/>
      <c r="N134" s="9" t="n"/>
      <c r="O134" s="10" t="n"/>
      <c r="P134" s="10" t="n"/>
      <c r="Q134" s="10" t="n"/>
      <c r="R134" s="10" t="n"/>
      <c r="S134" s="10" t="n"/>
    </row>
    <row r="135" ht="384" customHeight="1">
      <c r="A135" s="6">
        <f>IFERROR(__xludf.DUMMYFUNCTION("""COMPUTED_VALUE"""),"The color of the light")</f>
        <v/>
      </c>
      <c r="B135" s="6">
        <f>IFERROR(__xludf.DUMMYFUNCTION("""COMPUTED_VALUE"""),"Application")</f>
        <v/>
      </c>
      <c r="C135" s="6">
        <f>IFERROR(__xludf.DUMMYFUNCTION("""COMPUTED_VALUE"""),"Observation Tool")</f>
        <v/>
      </c>
      <c r="D135" s="7">
        <f>IFERROR(__xludf.DUMMYFUNCTION("""COMPUTED_VALUE"""),"No task description")</f>
        <v/>
      </c>
      <c r="E13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135" s="7" t="inlineStr">
        <is>
          <t>Students are given tips on research and experiment design. Embedded artifacts include a Flash animation, an observation tool (Golabz app/lab), and an RGB LED laboratory.</t>
        </is>
      </c>
      <c r="G135" s="8" t="n"/>
      <c r="H135" s="8" t="n"/>
      <c r="I135" s="8" t="n"/>
      <c r="J135" s="8" t="n"/>
      <c r="K135" s="9" t="n"/>
      <c r="L135" s="9" t="n"/>
      <c r="M135" s="9" t="n"/>
      <c r="N135" s="9" t="n"/>
      <c r="O135" s="10" t="n"/>
      <c r="P135" s="10" t="n"/>
      <c r="Q135" s="10" t="n"/>
      <c r="R135" s="10" t="n"/>
      <c r="S135" s="10" t="n"/>
    </row>
    <row r="136" ht="409.6" customHeight="1">
      <c r="A136" s="6">
        <f>IFERROR(__xludf.DUMMYFUNCTION("""COMPUTED_VALUE"""),"The color of the light")</f>
        <v/>
      </c>
      <c r="B136" s="6">
        <f>IFERROR(__xludf.DUMMYFUNCTION("""COMPUTED_VALUE"""),"Application")</f>
        <v/>
      </c>
      <c r="C136" s="6">
        <f>IFERROR(__xludf.DUMMYFUNCTION("""COMPUTED_VALUE"""),"The color of the light Laboratory")</f>
        <v/>
      </c>
      <c r="D136" s="7">
        <f>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
      </c>
      <c r="E136" s="7">
        <f>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
      </c>
      <c r="F136" s="7" t="inlineStr">
        <is>
          <t>Students received no task descriptions for Items 1 and 2. Item 3 instructed them to experiment with RGB LED colors using Golabz app/lab.</t>
        </is>
      </c>
      <c r="G136" s="8" t="n"/>
      <c r="H136" s="8" t="n"/>
      <c r="I136" s="8" t="n"/>
      <c r="J136" s="8" t="n"/>
      <c r="K136" s="9" t="n"/>
      <c r="L136" s="9" t="n"/>
      <c r="M136" s="9" t="n"/>
      <c r="N136" s="9" t="n"/>
      <c r="O136" s="10" t="n"/>
      <c r="P136" s="10" t="n"/>
      <c r="Q136" s="10" t="n"/>
      <c r="R136" s="10" t="n"/>
      <c r="S136" s="10" t="n"/>
    </row>
    <row r="137" ht="229" customHeight="1">
      <c r="A137" s="6">
        <f>IFERROR(__xludf.DUMMYFUNCTION("""COMPUTED_VALUE"""),"The color of the light")</f>
        <v/>
      </c>
      <c r="B137" s="6">
        <f>IFERROR(__xludf.DUMMYFUNCTION("""COMPUTED_VALUE"""),"Resource")</f>
        <v/>
      </c>
      <c r="C137" s="6">
        <f>IFERROR(__xludf.DUMMYFUNCTION("""COMPUTED_VALUE"""),"End.graasp")</f>
        <v/>
      </c>
      <c r="D137" s="7">
        <f>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
      </c>
      <c r="E137" s="7">
        <f>IFERROR(__xludf.DUMMYFUNCTION("""COMPUTED_VALUE"""),"No artifact embedded")</f>
        <v/>
      </c>
      <c r="F137" s="7" t="inlineStr">
        <is>
          <t>Students are instructed to conduct experiments using Golabz app/lab, record observations, and analyze data to draw conclusions about light and colors. Embedded artifacts include interactive labs and tools for experimentation and collaboration.</t>
        </is>
      </c>
      <c r="G137" s="8" t="n"/>
      <c r="H137" s="8" t="n"/>
      <c r="I137" s="8" t="n"/>
      <c r="J137" s="8" t="n"/>
      <c r="K137" s="9" t="n"/>
      <c r="L137" s="9" t="n"/>
      <c r="M137" s="9" t="n"/>
      <c r="N137" s="9" t="n"/>
      <c r="O137" s="10" t="n"/>
      <c r="P137" s="10" t="n"/>
      <c r="Q137" s="10" t="n"/>
      <c r="R137" s="10" t="n"/>
      <c r="S137" s="10" t="n"/>
    </row>
    <row r="138" ht="318" customHeight="1">
      <c r="A138" s="6">
        <f>IFERROR(__xludf.DUMMYFUNCTION("""COMPUTED_VALUE"""),"The color of the light")</f>
        <v/>
      </c>
      <c r="B138" s="6">
        <f>IFERROR(__xludf.DUMMYFUNCTION("""COMPUTED_VALUE"""),"Application")</f>
        <v/>
      </c>
      <c r="C138" s="6">
        <f>IFERROR(__xludf.DUMMYFUNCTION("""COMPUTED_VALUE"""),"Input Box")</f>
        <v/>
      </c>
      <c r="D138" s="7">
        <f>IFERROR(__xludf.DUMMYFUNCTION("""COMPUTED_VALUE"""),"No task description")</f>
        <v/>
      </c>
      <c r="E1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38" s="7" t="inlineStr">
        <is>
          <t>Students experiment with RGB LED, adjusting sliders to investigate color combinations and perceive differences between reality and theory. Embedded artifacts include Golabz app/lab and input box for note-taking.</t>
        </is>
      </c>
      <c r="G138" s="8" t="n"/>
      <c r="H138" s="8" t="n"/>
      <c r="I138" s="8" t="n"/>
      <c r="J138" s="8" t="n"/>
      <c r="K138" s="9" t="n"/>
      <c r="L138" s="9" t="n"/>
      <c r="M138" s="9" t="n"/>
      <c r="N138" s="9" t="n"/>
      <c r="O138" s="10" t="n"/>
      <c r="P138" s="10" t="n"/>
      <c r="Q138" s="10" t="n"/>
      <c r="R138" s="10" t="n"/>
      <c r="S138" s="10" t="n"/>
    </row>
    <row r="139" ht="274" customHeight="1">
      <c r="A139" s="6">
        <f>IFERROR(__xludf.DUMMYFUNCTION("""COMPUTED_VALUE"""),"The color of the light")</f>
        <v/>
      </c>
      <c r="B139" s="6">
        <f>IFERROR(__xludf.DUMMYFUNCTION("""COMPUTED_VALUE"""),"Space")</f>
        <v/>
      </c>
      <c r="C139" s="6">
        <f>IFERROR(__xludf.DUMMYFUNCTION("""COMPUTED_VALUE"""),"Conclusion")</f>
        <v/>
      </c>
      <c r="D139" s="7">
        <f>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
      </c>
      <c r="E139" s="7">
        <f>IFERROR(__xludf.DUMMYFUNCTION("""COMPUTED_VALUE"""),"No artifact embedded")</f>
        <v/>
      </c>
      <c r="F139" s="7" t="inlineStr">
        <is>
          <t>Students answer color-mixing questions and record notes using an app, then reflect on their findings and research question.</t>
        </is>
      </c>
      <c r="G139" s="8" t="n"/>
      <c r="H139" s="8" t="n"/>
      <c r="I139" s="8" t="n"/>
      <c r="J139" s="8" t="n"/>
      <c r="K139" s="9" t="n"/>
      <c r="L139" s="9" t="n"/>
      <c r="M139" s="9" t="n"/>
      <c r="N139" s="9" t="n"/>
      <c r="O139" s="10" t="n"/>
      <c r="P139" s="10" t="n"/>
      <c r="Q139" s="10" t="n"/>
      <c r="R139" s="10" t="n"/>
      <c r="S139" s="10" t="n"/>
    </row>
    <row r="140" ht="409.6" customHeight="1">
      <c r="A140" s="6">
        <f>IFERROR(__xludf.DUMMYFUNCTION("""COMPUTED_VALUE"""),"The color of the light")</f>
        <v/>
      </c>
      <c r="B140" s="6">
        <f>IFERROR(__xludf.DUMMYFUNCTION("""COMPUTED_VALUE"""),"Resource")</f>
        <v/>
      </c>
      <c r="C140" s="6">
        <f>IFERROR(__xludf.DUMMYFUNCTION("""COMPUTED_VALUE"""),"Hints.graasp")</f>
        <v/>
      </c>
      <c r="D140" s="7">
        <f>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
      </c>
      <c r="E140" s="7">
        <f>IFERROR(__xludf.DUMMYFUNCTION("""COMPUTED_VALUE"""),"No artifact embedded")</f>
        <v/>
      </c>
      <c r="F140" s="7" t="inlineStr">
        <is>
          <t>Students are given tasks and tools, including the Golabz app and conclusion tool, to conduct experiments and draw conclusions.</t>
        </is>
      </c>
      <c r="G140" s="8" t="n"/>
      <c r="H140" s="8" t="n"/>
      <c r="I140" s="8" t="n"/>
      <c r="J140" s="8" t="n"/>
      <c r="K140" s="9" t="n"/>
      <c r="L140" s="9" t="n"/>
      <c r="M140" s="9" t="n"/>
      <c r="N140" s="9" t="n"/>
      <c r="O140" s="10" t="n"/>
      <c r="P140" s="10" t="n"/>
      <c r="Q140" s="10" t="n"/>
      <c r="R140" s="10" t="n"/>
      <c r="S140" s="10" t="n"/>
    </row>
    <row r="141" ht="409.6" customHeight="1">
      <c r="A141" s="6">
        <f>IFERROR(__xludf.DUMMYFUNCTION("""COMPUTED_VALUE"""),"The color of the light")</f>
        <v/>
      </c>
      <c r="B141" s="6">
        <f>IFERROR(__xludf.DUMMYFUNCTION("""COMPUTED_VALUE"""),"Application")</f>
        <v/>
      </c>
      <c r="C141" s="6">
        <f>IFERROR(__xludf.DUMMYFUNCTION("""COMPUTED_VALUE"""),"Conclusion Tool")</f>
        <v/>
      </c>
      <c r="D141" s="7">
        <f>IFERROR(__xludf.DUMMYFUNCTION("""COMPUTED_VALUE"""),"No task description")</f>
        <v/>
      </c>
      <c r="E14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141" s="7" t="inlineStr">
        <is>
          <t>Students: Complete experiments, record observations, and draw conclusions. 
Embedded artifacts: None, except Golabz app/lab in Item3.</t>
        </is>
      </c>
      <c r="G141" s="8" t="n"/>
      <c r="H141" s="8" t="n"/>
      <c r="I141" s="8" t="n"/>
      <c r="J141" s="8" t="n"/>
      <c r="K141" s="9" t="n"/>
      <c r="L141" s="9" t="n"/>
      <c r="M141" s="9" t="n"/>
      <c r="N141" s="9" t="n"/>
      <c r="O141" s="10" t="n"/>
      <c r="P141" s="10" t="n"/>
      <c r="Q141" s="10" t="n"/>
      <c r="R141" s="10" t="n"/>
      <c r="S141" s="10" t="n"/>
    </row>
    <row r="142" ht="409.6" customHeight="1">
      <c r="A142" s="6">
        <f>IFERROR(__xludf.DUMMYFUNCTION("""COMPUTED_VALUE"""),"The color of the light")</f>
        <v/>
      </c>
      <c r="B142" s="6">
        <f>IFERROR(__xludf.DUMMYFUNCTION("""COMPUTED_VALUE"""),"Resource")</f>
        <v/>
      </c>
      <c r="C142" s="6">
        <f>IFERROR(__xludf.DUMMYFUNCTION("""COMPUTED_VALUE"""),"Text block after conclusion.graasp")</f>
        <v/>
      </c>
      <c r="D142" s="7">
        <f>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
      </c>
      <c r="E142" s="7">
        <f>IFERROR(__xludf.DUMMYFUNCTION("""COMPUTED_VALUE"""),"No artifact embedded")</f>
        <v/>
      </c>
      <c r="F142" s="7" t="inlineStr">
        <is>
          <t>Students are given tips on writing conclusions and using tools to draw conclusions from experiment results. Embedded artifacts include a conclusion tool and Golabz app/lab with configurable settings.</t>
        </is>
      </c>
      <c r="G142" s="8" t="n"/>
      <c r="H142" s="8" t="n"/>
      <c r="I142" s="8" t="n"/>
      <c r="J142" s="8" t="n"/>
      <c r="K142" s="9" t="n"/>
      <c r="L142" s="9" t="n"/>
      <c r="M142" s="9" t="n"/>
      <c r="N142" s="9" t="n"/>
      <c r="O142" s="10" t="n"/>
      <c r="P142" s="10" t="n"/>
      <c r="Q142" s="10" t="n"/>
      <c r="R142" s="10" t="n"/>
      <c r="S142" s="10" t="n"/>
    </row>
    <row r="143" ht="109" customHeight="1">
      <c r="A143" s="6">
        <f>IFERROR(__xludf.DUMMYFUNCTION("""COMPUTED_VALUE"""),"The color of the light")</f>
        <v/>
      </c>
      <c r="B143" s="6">
        <f>IFERROR(__xludf.DUMMYFUNCTION("""COMPUTED_VALUE"""),"Space")</f>
        <v/>
      </c>
      <c r="C143" s="6">
        <f>IFERROR(__xludf.DUMMYFUNCTION("""COMPUTED_VALUE"""),"Discussion")</f>
        <v/>
      </c>
      <c r="D143" s="7">
        <f>IFERROR(__xludf.DUMMYFUNCTION("""COMPUTED_VALUE"""),"No task description")</f>
        <v/>
      </c>
      <c r="E143" s="7">
        <f>IFERROR(__xludf.DUMMYFUNCTION("""COMPUTED_VALUE"""),"No artifact embedded")</f>
        <v/>
      </c>
      <c r="F143" s="7" t="inlineStr">
        <is>
          <t>Students are given tasks and tools, including the Golabz app, to test hypotheses and answer questions with data graphs and observations.</t>
        </is>
      </c>
      <c r="G143" s="8" t="n"/>
      <c r="H143" s="8" t="n"/>
      <c r="I143" s="8" t="n"/>
      <c r="J143" s="8" t="n"/>
      <c r="K143" s="9" t="n"/>
      <c r="L143" s="9" t="n"/>
      <c r="M143" s="9" t="n"/>
      <c r="N143" s="9" t="n"/>
      <c r="O143" s="10" t="n"/>
      <c r="P143" s="10" t="n"/>
      <c r="Q143" s="10" t="n"/>
      <c r="R143" s="10" t="n"/>
      <c r="S143" s="10" t="n"/>
    </row>
    <row r="144" ht="409.6" customHeight="1">
      <c r="A144" s="6">
        <f>IFERROR(__xludf.DUMMYFUNCTION("""COMPUTED_VALUE"""),"The color of the light")</f>
        <v/>
      </c>
      <c r="B144" s="6">
        <f>IFERROR(__xludf.DUMMYFUNCTION("""COMPUTED_VALUE"""),"Resource")</f>
        <v/>
      </c>
      <c r="C144" s="6">
        <f>IFERROR(__xludf.DUMMYFUNCTION("""COMPUTED_VALUE"""),"Intro.graasp")</f>
        <v/>
      </c>
      <c r="D144" s="7">
        <f>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
      </c>
      <c r="E144" s="7">
        <f>IFERROR(__xludf.DUMMYFUNCTION("""COMPUTED_VALUE"""),"No artifact embedded")</f>
        <v/>
      </c>
      <c r="F144" s="7" t="inlineStr">
        <is>
          <t>Students were given tasks to reflect on their experiment results and compare with prior learning, with guiding questions to facilitate analysis. No artifacts are embedded in any items.</t>
        </is>
      </c>
      <c r="G144" s="8" t="n"/>
      <c r="H144" s="8" t="n"/>
      <c r="I144" s="8" t="n"/>
      <c r="J144" s="8" t="n"/>
      <c r="K144" s="9" t="n"/>
      <c r="L144" s="9" t="n"/>
      <c r="M144" s="9" t="n"/>
      <c r="N144" s="9" t="n"/>
      <c r="O144" s="10" t="n"/>
      <c r="P144" s="10" t="n"/>
      <c r="Q144" s="10" t="n"/>
      <c r="R144" s="10" t="n"/>
      <c r="S144" s="10" t="n"/>
    </row>
    <row r="145" ht="318" customHeight="1">
      <c r="A145" s="6">
        <f>IFERROR(__xludf.DUMMYFUNCTION("""COMPUTED_VALUE"""),"The color of the light")</f>
        <v/>
      </c>
      <c r="B145" s="6">
        <f>IFERROR(__xludf.DUMMYFUNCTION("""COMPUTED_VALUE"""),"Application")</f>
        <v/>
      </c>
      <c r="C145" s="6">
        <f>IFERROR(__xludf.DUMMYFUNCTION("""COMPUTED_VALUE"""),"Input Box")</f>
        <v/>
      </c>
      <c r="D145" s="7">
        <f>IFERROR(__xludf.DUMMYFUNCTION("""COMPUTED_VALUE"""),"No task description")</f>
        <v/>
      </c>
      <c r="E1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45" s="7" t="inlineStr">
        <is>
          <t>Students compare experiment results with learned concepts and reflect on differences or similarities, with no embedded artifacts provided.</t>
        </is>
      </c>
      <c r="G145" s="8" t="n"/>
      <c r="H145" s="8" t="n"/>
      <c r="I145" s="8" t="n"/>
      <c r="J145" s="8" t="n"/>
      <c r="K145" s="9" t="n"/>
      <c r="L145" s="9" t="n"/>
      <c r="M145" s="9" t="n"/>
      <c r="N145" s="9" t="n"/>
      <c r="O145" s="10" t="n"/>
      <c r="P145" s="10" t="n"/>
      <c r="Q145" s="10" t="n"/>
      <c r="R145" s="10" t="n"/>
      <c r="S145" s="10" t="n"/>
    </row>
    <row r="146" ht="193" customHeight="1">
      <c r="A146" s="6">
        <f>IFERROR(__xludf.DUMMYFUNCTION("""COMPUTED_VALUE"""),"The color of the light")</f>
        <v/>
      </c>
      <c r="B146" s="6">
        <f>IFERROR(__xludf.DUMMYFUNCTION("""COMPUTED_VALUE"""),"Resource")</f>
        <v/>
      </c>
      <c r="C146" s="6">
        <f>IFERROR(__xludf.DUMMYFUNCTION("""COMPUTED_VALUE"""),"Report.graasp")</f>
        <v/>
      </c>
      <c r="D146" s="7">
        <f>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
      </c>
      <c r="E146" s="7">
        <f>IFERROR(__xludf.DUMMYFUNCTION("""COMPUTED_VALUE"""),"No artifact embedded")</f>
        <v/>
      </c>
      <c r="F146" s="7" t="inlineStr">
        <is>
          <t>Students compare experiment results with prior learning, reflecting on similarities/differences, and consider improvements/next steps. Embedded artifacts include an input box app for note-taking and collaboration.</t>
        </is>
      </c>
      <c r="G146" s="8" t="n"/>
      <c r="H146" s="8" t="n"/>
      <c r="I146" s="8" t="n"/>
      <c r="J146" s="8" t="n"/>
      <c r="K146" s="9" t="n"/>
      <c r="L146" s="9" t="n"/>
      <c r="M146" s="9" t="n"/>
      <c r="N146" s="9" t="n"/>
      <c r="O146" s="10" t="n"/>
      <c r="P146" s="10" t="n"/>
      <c r="Q146" s="10" t="n"/>
      <c r="R146" s="10" t="n"/>
      <c r="S146" s="10" t="n"/>
    </row>
    <row r="147" ht="409.6" customHeight="1">
      <c r="A147" s="6">
        <f>IFERROR(__xludf.DUMMYFUNCTION("""COMPUTED_VALUE"""),"The color of the light")</f>
        <v/>
      </c>
      <c r="B147" s="6">
        <f>IFERROR(__xludf.DUMMYFUNCTION("""COMPUTED_VALUE"""),"Application")</f>
        <v/>
      </c>
      <c r="C147" s="6">
        <f>IFERROR(__xludf.DUMMYFUNCTION("""COMPUTED_VALUE"""),"Report tool")</f>
        <v/>
      </c>
      <c r="D147" s="7">
        <f>IFERROR(__xludf.DUMMYFUNCTION("""COMPUTED_VALUE"""),"No task description")</f>
        <v/>
      </c>
      <c r="E147"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147" s="7" t="inlineStr">
        <is>
          <t>Students received task descriptions and used Golabz apps with various tools, such as note-taking and report tools.</t>
        </is>
      </c>
      <c r="G147" s="8" t="n"/>
      <c r="H147" s="8" t="n"/>
      <c r="I147" s="8" t="n"/>
      <c r="J147" s="8" t="n"/>
      <c r="K147" s="9" t="n"/>
      <c r="L147" s="9" t="n"/>
      <c r="M147" s="9" t="n"/>
      <c r="N147" s="9" t="n"/>
      <c r="O147" s="10" t="n"/>
      <c r="P147" s="10" t="n"/>
      <c r="Q147" s="10" t="n"/>
      <c r="R147" s="10" t="n"/>
      <c r="S147" s="10" t="n"/>
    </row>
    <row r="148" ht="145" customHeight="1">
      <c r="A148" s="6">
        <f>IFERROR(__xludf.DUMMYFUNCTION("""COMPUTED_VALUE"""),"Refraction of light 2")</f>
        <v/>
      </c>
      <c r="B148" s="6">
        <f>IFERROR(__xludf.DUMMYFUNCTION("""COMPUTED_VALUE"""),"Space")</f>
        <v/>
      </c>
      <c r="C148" s="6">
        <f>IFERROR(__xludf.DUMMYFUNCTION("""COMPUTED_VALUE"""),"A rainbow")</f>
        <v/>
      </c>
      <c r="D148" s="7">
        <f>IFERROR(__xludf.DUMMYFUNCTION("""COMPUTED_VALUE"""),"No task description")</f>
        <v/>
      </c>
      <c r="E148" s="7">
        <f>IFERROR(__xludf.DUMMYFUNCTION("""COMPUTED_VALUE"""),"No artifact embedded")</f>
        <v/>
      </c>
      <c r="F148" s="7" t="inlineStr">
        <is>
          <t>Students were instructed to save their experiment report and celebrate. Embedded artifacts include a Golabz app/lab for creating final reports with customizable sections.</t>
        </is>
      </c>
      <c r="G148" s="8" t="n"/>
      <c r="H148" s="8" t="n"/>
      <c r="I148" s="8" t="n"/>
      <c r="J148" s="8" t="n"/>
      <c r="K148" s="9" t="n"/>
      <c r="L148" s="9" t="n"/>
      <c r="M148" s="9" t="n"/>
      <c r="N148" s="9" t="n"/>
      <c r="O148" s="10" t="n"/>
      <c r="P148" s="10" t="n"/>
      <c r="Q148" s="10" t="n"/>
      <c r="R148" s="10" t="n"/>
      <c r="S148" s="10" t="n"/>
    </row>
    <row r="149" ht="109" customHeight="1">
      <c r="A149" s="6">
        <f>IFERROR(__xludf.DUMMYFUNCTION("""COMPUTED_VALUE"""),"Refraction of light 2")</f>
        <v/>
      </c>
      <c r="B149" s="6">
        <f>IFERROR(__xludf.DUMMYFUNCTION("""COMPUTED_VALUE"""),"Resource")</f>
        <v/>
      </c>
      <c r="C149" s="6">
        <f>IFERROR(__xludf.DUMMYFUNCTION("""COMPUTED_VALUE"""),"rainbow.jpg")</f>
        <v/>
      </c>
      <c r="D149" s="7">
        <f>IFERROR(__xludf.DUMMYFUNCTION("""COMPUTED_VALUE"""),"No task description")</f>
        <v/>
      </c>
      <c r="E149" s="7">
        <f>IFERROR(__xludf.DUMMYFUNCTION("""COMPUTED_VALUE"""),"image/jpeg – A digital photograph or web image stored in a compressed format, often used for photography and web graphics.")</f>
        <v/>
      </c>
      <c r="F149" s="7" t="inlineStr">
        <is>
          <t>No task descriptions provided. Embedded artifacts include Golabz app/lab report tool and a JPEG image.</t>
        </is>
      </c>
      <c r="G149" s="8" t="n"/>
      <c r="H149" s="8" t="n"/>
      <c r="I149" s="8" t="n"/>
      <c r="J149" s="8" t="n"/>
      <c r="K149" s="9" t="n"/>
      <c r="L149" s="9" t="n"/>
      <c r="M149" s="9" t="n"/>
      <c r="N149" s="9" t="n"/>
      <c r="O149" s="10" t="n"/>
      <c r="P149" s="10" t="n"/>
      <c r="Q149" s="10" t="n"/>
      <c r="R149" s="10" t="n"/>
      <c r="S149" s="10" t="n"/>
    </row>
    <row r="150" ht="97" customHeight="1">
      <c r="A150" s="6">
        <f>IFERROR(__xludf.DUMMYFUNCTION("""COMPUTED_VALUE"""),"Refraction of light 2")</f>
        <v/>
      </c>
      <c r="B150" s="6">
        <f>IFERROR(__xludf.DUMMYFUNCTION("""COMPUTED_VALUE"""),"Resource")</f>
        <v/>
      </c>
      <c r="C150" s="6">
        <f>IFERROR(__xludf.DUMMYFUNCTION("""COMPUTED_VALUE"""),"Question.graasp")</f>
        <v/>
      </c>
      <c r="D150" s="7">
        <f>IFERROR(__xludf.DUMMYFUNCTION("""COMPUTED_VALUE"""),"&lt;p&gt;Sometimes you can see a rainbow in the sky. When does this happen?&lt;/p&gt;")</f>
        <v/>
      </c>
      <c r="E150" s="7">
        <f>IFERROR(__xludf.DUMMYFUNCTION("""COMPUTED_VALUE"""),"No artifact embedded")</f>
        <v/>
      </c>
      <c r="F150" s="7" t="inlineStr">
        <is>
          <t>Students have no task descriptions, except Item3 on rainbows. Embedded artifacts include a JPEG image in Item2.</t>
        </is>
      </c>
      <c r="G150" s="8" t="n"/>
      <c r="H150" s="8" t="n"/>
      <c r="I150" s="8" t="n"/>
      <c r="J150" s="8" t="n"/>
      <c r="K150" s="9" t="n"/>
      <c r="L150" s="9" t="n"/>
      <c r="M150" s="9" t="n"/>
      <c r="N150" s="9" t="n"/>
      <c r="O150" s="10" t="n"/>
      <c r="P150" s="10" t="n"/>
      <c r="Q150" s="10" t="n"/>
      <c r="R150" s="10" t="n"/>
      <c r="S150" s="10" t="n"/>
    </row>
    <row r="151" ht="318" customHeight="1">
      <c r="A151" s="6">
        <f>IFERROR(__xludf.DUMMYFUNCTION("""COMPUTED_VALUE"""),"Refraction of light 2")</f>
        <v/>
      </c>
      <c r="B151" s="6">
        <f>IFERROR(__xludf.DUMMYFUNCTION("""COMPUTED_VALUE"""),"Application")</f>
        <v/>
      </c>
      <c r="C151" s="6">
        <f>IFERROR(__xludf.DUMMYFUNCTION("""COMPUTED_VALUE"""),"Input Box")</f>
        <v/>
      </c>
      <c r="D151" s="7">
        <f>IFERROR(__xludf.DUMMYFUNCTION("""COMPUTED_VALUE"""),"No task description")</f>
        <v/>
      </c>
      <c r="E1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1" s="7" t="inlineStr">
        <is>
          <t>Students received tasks and embedded artifacts, including images, text, and interactive apps like Golabz and Input Box, with varying descriptions and functionalities.</t>
        </is>
      </c>
      <c r="G151" s="8" t="n"/>
      <c r="H151" s="8" t="n"/>
      <c r="I151" s="8" t="n"/>
      <c r="J151" s="8" t="n"/>
      <c r="K151" s="9" t="n"/>
      <c r="L151" s="9" t="n"/>
      <c r="M151" s="9" t="n"/>
      <c r="N151" s="9" t="n"/>
      <c r="O151" s="10" t="n"/>
      <c r="P151" s="10" t="n"/>
      <c r="Q151" s="10" t="n"/>
      <c r="R151" s="10" t="n"/>
      <c r="S151" s="10" t="n"/>
    </row>
    <row r="152" ht="73" customHeight="1">
      <c r="A152" s="6">
        <f>IFERROR(__xludf.DUMMYFUNCTION("""COMPUTED_VALUE"""),"Refraction of light 2")</f>
        <v/>
      </c>
      <c r="B152" s="6">
        <f>IFERROR(__xludf.DUMMYFUNCTION("""COMPUTED_VALUE"""),"Resource")</f>
        <v/>
      </c>
      <c r="C152" s="6">
        <f>IFERROR(__xludf.DUMMYFUNCTION("""COMPUTED_VALUE"""),"Question2.graasp")</f>
        <v/>
      </c>
      <c r="D152" s="7">
        <f>IFERROR(__xludf.DUMMYFUNCTION("""COMPUTED_VALUE"""),"&lt;p&gt;What could cause that you can see a rainbow?&lt;/p&gt;")</f>
        <v/>
      </c>
      <c r="E152" s="7">
        <f>IFERROR(__xludf.DUMMYFUNCTION("""COMPUTED_VALUE"""),"No artifact embedded")</f>
        <v/>
      </c>
      <c r="F152" s="7" t="inlineStr">
        <is>
          <t>Students are asked about rainbows. Artifacts include a note-taking app for collaboration.</t>
        </is>
      </c>
      <c r="G152" s="8" t="n"/>
      <c r="H152" s="8" t="n"/>
      <c r="I152" s="8" t="n"/>
      <c r="J152" s="8" t="n"/>
      <c r="K152" s="9" t="n"/>
      <c r="L152" s="9" t="n"/>
      <c r="M152" s="9" t="n"/>
      <c r="N152" s="9" t="n"/>
      <c r="O152" s="10" t="n"/>
      <c r="P152" s="10" t="n"/>
      <c r="Q152" s="10" t="n"/>
      <c r="R152" s="10" t="n"/>
      <c r="S152" s="10" t="n"/>
    </row>
    <row r="153" ht="318" customHeight="1">
      <c r="A153" s="6">
        <f>IFERROR(__xludf.DUMMYFUNCTION("""COMPUTED_VALUE"""),"Refraction of light 2")</f>
        <v/>
      </c>
      <c r="B153" s="6">
        <f>IFERROR(__xludf.DUMMYFUNCTION("""COMPUTED_VALUE"""),"Application")</f>
        <v/>
      </c>
      <c r="C153" s="6">
        <f>IFERROR(__xludf.DUMMYFUNCTION("""COMPUTED_VALUE"""),"Input Box (1)")</f>
        <v/>
      </c>
      <c r="D153" s="7">
        <f>IFERROR(__xludf.DUMMYFUNCTION("""COMPUTED_VALUE"""),"No task description")</f>
        <v/>
      </c>
      <c r="E1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3" s="7" t="inlineStr">
        <is>
          <t>Students receive task descriptions and access to Golabz apps for note-taking, with optional collaboration tools.</t>
        </is>
      </c>
      <c r="G153" s="8" t="n"/>
      <c r="H153" s="8" t="n"/>
      <c r="I153" s="8" t="n"/>
      <c r="J153" s="8" t="n"/>
      <c r="K153" s="9" t="n"/>
      <c r="L153" s="9" t="n"/>
      <c r="M153" s="9" t="n"/>
      <c r="N153" s="9" t="n"/>
      <c r="O153" s="10" t="n"/>
      <c r="P153" s="10" t="n"/>
      <c r="Q153" s="10" t="n"/>
      <c r="R153" s="10" t="n"/>
      <c r="S153" s="10" t="n"/>
    </row>
    <row r="154" ht="121" customHeight="1">
      <c r="A154" s="6">
        <f>IFERROR(__xludf.DUMMYFUNCTION("""COMPUTED_VALUE"""),"Refraction of light 2")</f>
        <v/>
      </c>
      <c r="B154" s="6">
        <f>IFERROR(__xludf.DUMMYFUNCTION("""COMPUTED_VALUE"""),"Resource")</f>
        <v/>
      </c>
      <c r="C154" s="6">
        <f>IFERROR(__xludf.DUMMYFUNCTION("""COMPUTED_VALUE"""),"This lesson.graasp")</f>
        <v/>
      </c>
      <c r="D154" s="7">
        <f>IFERROR(__xludf.DUMMYFUNCTION("""COMPUTED_VALUE"""),"&lt;p&gt;In this lesson you will discover more about this. You will find out whether your thoughts are correct. Press  ""The colour of light"" to go on.&lt;br&gt;&lt;/p&gt;")</f>
        <v/>
      </c>
      <c r="E154" s="7">
        <f>IFERROR(__xludf.DUMMYFUNCTION("""COMPUTED_VALUE"""),"No artifact embedded")</f>
        <v/>
      </c>
      <c r="F154" s="7" t="inlineStr">
        <is>
          <t>Students are given tasks to explore rainbows and light, with some items including interactive apps for note-taking and collaboration.</t>
        </is>
      </c>
      <c r="G154" s="8" t="n"/>
      <c r="H154" s="8" t="n"/>
      <c r="I154" s="8" t="n"/>
      <c r="J154" s="8" t="n"/>
      <c r="K154" s="9" t="n"/>
      <c r="L154" s="9" t="n"/>
      <c r="M154" s="9" t="n"/>
      <c r="N154" s="9" t="n"/>
      <c r="O154" s="10" t="n"/>
      <c r="P154" s="10" t="n"/>
      <c r="Q154" s="10" t="n"/>
      <c r="R154" s="10" t="n"/>
      <c r="S154" s="10" t="n"/>
    </row>
    <row r="155" ht="252" customHeight="1">
      <c r="A155" s="6">
        <f>IFERROR(__xludf.DUMMYFUNCTION("""COMPUTED_VALUE"""),"Refraction of light 2")</f>
        <v/>
      </c>
      <c r="B155" s="6">
        <f>IFERROR(__xludf.DUMMYFUNCTION("""COMPUTED_VALUE"""),"Space")</f>
        <v/>
      </c>
      <c r="C155" s="6">
        <f>IFERROR(__xludf.DUMMYFUNCTION("""COMPUTED_VALUE"""),"The colour of light")</f>
        <v/>
      </c>
      <c r="D155" s="7">
        <f>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
      </c>
      <c r="E155" s="7">
        <f>IFERROR(__xludf.DUMMYFUNCTION("""COMPUTED_VALUE"""),"No artifact embedded")</f>
        <v/>
      </c>
      <c r="F155" s="7" t="inlineStr">
        <is>
          <t>Students received tasks with varying instructions, some with embedded artifacts like the Golabz app for note-taking.</t>
        </is>
      </c>
      <c r="G155" s="8" t="n"/>
      <c r="H155" s="8" t="n"/>
      <c r="I155" s="8" t="n"/>
      <c r="J155" s="8" t="n"/>
      <c r="K155" s="9" t="n"/>
      <c r="L155" s="9" t="n"/>
      <c r="M155" s="9" t="n"/>
      <c r="N155" s="9" t="n"/>
      <c r="O155" s="10" t="n"/>
      <c r="P155" s="10" t="n"/>
      <c r="Q155" s="10" t="n"/>
      <c r="R155" s="10" t="n"/>
      <c r="S155" s="10" t="n"/>
    </row>
    <row r="156" ht="169" customHeight="1">
      <c r="A156" s="6">
        <f>IFERROR(__xludf.DUMMYFUNCTION("""COMPUTED_VALUE"""),"Refraction of light 2")</f>
        <v/>
      </c>
      <c r="B156" s="6">
        <f>IFERROR(__xludf.DUMMYFUNCTION("""COMPUTED_VALUE"""),"Resource")</f>
        <v/>
      </c>
      <c r="C156" s="6">
        <f>IFERROR(__xludf.DUMMYFUNCTION("""COMPUTED_VALUE"""),"Question LB2 en.PNG")</f>
        <v/>
      </c>
      <c r="D156" s="7">
        <f>IFERROR(__xludf.DUMMYFUNCTION("""COMPUTED_VALUE"""),"n another lesson you learned something about light that shines through transparent materials? Do you remember? What will happen with the light ray if you turn on the light? Type your answer below the pictures")</f>
        <v/>
      </c>
      <c r="E156" s="7">
        <f>IFERROR(__xludf.DUMMYFUNCTION("""COMPUTED_VALUE"""),"image/png – A high-quality image with support for transparency, often used in design and web applications.")</f>
        <v/>
      </c>
      <c r="F156" s="7" t="inlineStr">
        <is>
          <t>Students are given tasks to recall lessons about light. Items 1 and 2 have no artifacts, while Item 3 includes a PNG image.</t>
        </is>
      </c>
      <c r="G156" s="8" t="n"/>
      <c r="H156" s="8" t="n"/>
      <c r="I156" s="8" t="n"/>
      <c r="J156" s="8" t="n"/>
      <c r="K156" s="9" t="n"/>
      <c r="L156" s="9" t="n"/>
      <c r="M156" s="9" t="n"/>
      <c r="N156" s="9" t="n"/>
      <c r="O156" s="10" t="n"/>
      <c r="P156" s="10" t="n"/>
      <c r="Q156" s="10" t="n"/>
      <c r="R156" s="10" t="n"/>
      <c r="S156" s="10" t="n"/>
    </row>
    <row r="157" ht="318" customHeight="1">
      <c r="A157" s="6">
        <f>IFERROR(__xludf.DUMMYFUNCTION("""COMPUTED_VALUE"""),"Refraction of light 2")</f>
        <v/>
      </c>
      <c r="B157" s="6">
        <f>IFERROR(__xludf.DUMMYFUNCTION("""COMPUTED_VALUE"""),"Application")</f>
        <v/>
      </c>
      <c r="C157" s="6">
        <f>IFERROR(__xludf.DUMMYFUNCTION("""COMPUTED_VALUE"""),"Input Box")</f>
        <v/>
      </c>
      <c r="D157" s="7">
        <f>IFERROR(__xludf.DUMMYFUNCTION("""COMPUTED_VALUE"""),"No task description")</f>
        <v/>
      </c>
      <c r="E1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7" s="7" t="inlineStr">
        <is>
          <t>Students recall lessons on light, colors, and waves, with tasks and embedded artifacts including images and interactive apps.</t>
        </is>
      </c>
      <c r="G157" s="8" t="n"/>
      <c r="H157" s="8" t="n"/>
      <c r="I157" s="8" t="n"/>
      <c r="J157" s="8" t="n"/>
      <c r="K157" s="9" t="n"/>
      <c r="L157" s="9" t="n"/>
      <c r="M157" s="9" t="n"/>
      <c r="N157" s="9" t="n"/>
      <c r="O157" s="10" t="n"/>
      <c r="P157" s="10" t="n"/>
      <c r="Q157" s="10" t="n"/>
      <c r="R157" s="10" t="n"/>
      <c r="S157" s="10" t="n"/>
    </row>
    <row r="158" ht="274" customHeight="1">
      <c r="A158" s="6">
        <f>IFERROR(__xludf.DUMMYFUNCTION("""COMPUTED_VALUE"""),"Refraction of light 2")</f>
        <v/>
      </c>
      <c r="B158" s="6">
        <f>IFERROR(__xludf.DUMMYFUNCTION("""COMPUTED_VALUE"""),"Space")</f>
        <v/>
      </c>
      <c r="C158" s="6">
        <f>IFERROR(__xludf.DUMMYFUNCTION("""COMPUTED_VALUE"""),"Doing research - step 1")</f>
        <v/>
      </c>
      <c r="D158" s="7">
        <f>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
      </c>
      <c r="E158" s="7">
        <f>IFERROR(__xludf.DUMMYFUNCTION("""COMPUTED_VALUE"""),"No artifact embedded")</f>
        <v/>
      </c>
      <c r="F158" s="7" t="inlineStr">
        <is>
          <t>Students are given tasks with interactive artifacts, including images and apps, to explore concepts like light refraction and collaboration tools.</t>
        </is>
      </c>
      <c r="G158" s="8" t="n"/>
      <c r="H158" s="8" t="n"/>
      <c r="I158" s="8" t="n"/>
      <c r="J158" s="8" t="n"/>
      <c r="K158" s="9" t="n"/>
      <c r="L158" s="9" t="n"/>
      <c r="M158" s="9" t="n"/>
      <c r="N158" s="9" t="n"/>
      <c r="O158" s="10" t="n"/>
      <c r="P158" s="10" t="n"/>
      <c r="Q158" s="10" t="n"/>
      <c r="R158" s="10" t="n"/>
      <c r="S158" s="10" t="n"/>
    </row>
    <row r="159" ht="193" customHeight="1">
      <c r="A159" s="6">
        <f>IFERROR(__xludf.DUMMYFUNCTION("""COMPUTED_VALUE"""),"Refraction of light 2")</f>
        <v/>
      </c>
      <c r="B159" s="6">
        <f>IFERROR(__xludf.DUMMYFUNCTION("""COMPUTED_VALUE"""),"Application")</f>
        <v/>
      </c>
      <c r="C159" s="6">
        <f>IFERROR(__xludf.DUMMYFUNCTION("""COMPUTED_VALUE"""),"Bending Light")</f>
        <v/>
      </c>
      <c r="D159" s="7">
        <f>IFERROR(__xludf.DUMMYFUNCTION("""COMPUTED_VALUE"""),"No task description")</f>
        <v/>
      </c>
      <c r="E159"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59" s="7" t="inlineStr">
        <is>
          <t>Students received task descriptions and used embedded artifacts like Golabz apps for note-taking, collaboration, and interactive simulations on light refraction.</t>
        </is>
      </c>
      <c r="G159" s="8" t="n"/>
      <c r="H159" s="8" t="n"/>
      <c r="I159" s="8" t="n"/>
      <c r="J159" s="8" t="n"/>
      <c r="K159" s="9" t="n"/>
      <c r="L159" s="9" t="n"/>
      <c r="M159" s="9" t="n"/>
      <c r="N159" s="9" t="n"/>
      <c r="O159" s="10" t="n"/>
      <c r="P159" s="10" t="n"/>
      <c r="Q159" s="10" t="n"/>
      <c r="R159" s="10" t="n"/>
      <c r="S159" s="10" t="n"/>
    </row>
    <row r="160" ht="169" customHeight="1">
      <c r="A160" s="6">
        <f>IFERROR(__xludf.DUMMYFUNCTION("""COMPUTED_VALUE"""),"Refraction of light 2")</f>
        <v/>
      </c>
      <c r="B160" s="6">
        <f>IFERROR(__xludf.DUMMYFUNCTION("""COMPUTED_VALUE"""),"Resource")</f>
        <v/>
      </c>
      <c r="C160" s="6">
        <f>IFERROR(__xludf.DUMMYFUNCTION("""COMPUTED_VALUE"""),"Opdrachten.graasp")</f>
        <v/>
      </c>
      <c r="D160" s="7">
        <f>IFERROR(__xludf.DUMMYFUNCTION("""COMPUTED_VALUE"""),"&lt;p&gt;Now change the colour of the light by moving the red box below the multi-coloured bar. What strikes you? Write your answer below and after that click on ""&lt;strong&gt;Doing research - step 2&lt;/strong&gt;"".&lt;/p&gt;")</f>
        <v/>
      </c>
      <c r="E160" s="7">
        <f>IFERROR(__xludf.DUMMYFUNCTION("""COMPUTED_VALUE"""),"No artifact embedded")</f>
        <v/>
      </c>
      <c r="F160" s="7" t="inlineStr">
        <is>
          <t>Students interact with a program, dragging triangles and switching lights, then explore light refraction using the Golabz app, and finally change light colors and record observations.</t>
        </is>
      </c>
      <c r="G160" s="8" t="n"/>
      <c r="H160" s="8" t="n"/>
      <c r="I160" s="8" t="n"/>
      <c r="J160" s="8" t="n"/>
      <c r="K160" s="9" t="n"/>
      <c r="L160" s="9" t="n"/>
      <c r="M160" s="9" t="n"/>
      <c r="N160" s="9" t="n"/>
      <c r="O160" s="10" t="n"/>
      <c r="P160" s="10" t="n"/>
      <c r="Q160" s="10" t="n"/>
      <c r="R160" s="10" t="n"/>
      <c r="S160" s="10" t="n"/>
    </row>
    <row r="161" ht="318" customHeight="1">
      <c r="A161" s="6">
        <f>IFERROR(__xludf.DUMMYFUNCTION("""COMPUTED_VALUE"""),"Refraction of light 2")</f>
        <v/>
      </c>
      <c r="B161" s="6">
        <f>IFERROR(__xludf.DUMMYFUNCTION("""COMPUTED_VALUE"""),"Application")</f>
        <v/>
      </c>
      <c r="C161" s="6">
        <f>IFERROR(__xludf.DUMMYFUNCTION("""COMPUTED_VALUE"""),"Input Box")</f>
        <v/>
      </c>
      <c r="D161" s="7">
        <f>IFERROR(__xludf.DUMMYFUNCTION("""COMPUTED_VALUE"""),"No task description")</f>
        <v/>
      </c>
      <c r="E16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1" s="7" t="inlineStr">
        <is>
          <t>Students explore light refraction and color change using Golabz apps, take notes, and collaborate.</t>
        </is>
      </c>
      <c r="G161" s="8" t="n"/>
      <c r="H161" s="8" t="n"/>
      <c r="I161" s="8" t="n"/>
      <c r="J161" s="8" t="n"/>
      <c r="K161" s="9" t="n"/>
      <c r="L161" s="9" t="n"/>
      <c r="M161" s="9" t="n"/>
      <c r="N161" s="9" t="n"/>
      <c r="O161" s="10" t="n"/>
      <c r="P161" s="10" t="n"/>
      <c r="Q161" s="10" t="n"/>
      <c r="R161" s="10" t="n"/>
      <c r="S161" s="10" t="n"/>
    </row>
    <row r="162" ht="133" customHeight="1">
      <c r="A162" s="6">
        <f>IFERROR(__xludf.DUMMYFUNCTION("""COMPUTED_VALUE"""),"Refraction of light 2")</f>
        <v/>
      </c>
      <c r="B162" s="6">
        <f>IFERROR(__xludf.DUMMYFUNCTION("""COMPUTED_VALUE"""),"Space")</f>
        <v/>
      </c>
      <c r="C162" s="6">
        <f>IFERROR(__xludf.DUMMYFUNCTION("""COMPUTED_VALUE"""),"Doing research - step 2")</f>
        <v/>
      </c>
      <c r="D162" s="7">
        <f>IFERROR(__xludf.DUMMYFUNCTION("""COMPUTED_VALUE"""),"No task description")</f>
        <v/>
      </c>
      <c r="E162" s="7">
        <f>IFERROR(__xludf.DUMMYFUNCTION("""COMPUTED_VALUE"""),"No artifact embedded")</f>
        <v/>
      </c>
      <c r="F162" s="7" t="inlineStr">
        <is>
          <t>Students are instructed to change a light's color and write observations. Embedded artifacts include a note-taking app with potential collaboration features.</t>
        </is>
      </c>
      <c r="G162" s="8" t="n"/>
      <c r="H162" s="8" t="n"/>
      <c r="I162" s="8" t="n"/>
      <c r="J162" s="8" t="n"/>
      <c r="K162" s="9" t="n"/>
      <c r="L162" s="9" t="n"/>
      <c r="M162" s="9" t="n"/>
      <c r="N162" s="9" t="n"/>
      <c r="O162" s="10" t="n"/>
      <c r="P162" s="10" t="n"/>
      <c r="Q162" s="10" t="n"/>
      <c r="R162" s="10" t="n"/>
      <c r="S162" s="10" t="n"/>
    </row>
    <row r="163" ht="193" customHeight="1">
      <c r="A163" s="6">
        <f>IFERROR(__xludf.DUMMYFUNCTION("""COMPUTED_VALUE"""),"Refraction of light 2")</f>
        <v/>
      </c>
      <c r="B163" s="6">
        <f>IFERROR(__xludf.DUMMYFUNCTION("""COMPUTED_VALUE"""),"Resource")</f>
        <v/>
      </c>
      <c r="C163" s="6">
        <f>IFERROR(__xludf.DUMMYFUNCTION("""COMPUTED_VALUE"""),"Assignment LB2.PNG")</f>
        <v/>
      </c>
      <c r="D163" s="7">
        <f>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
      </c>
      <c r="E163" s="7">
        <f>IFERROR(__xludf.DUMMYFUNCTION("""COMPUTED_VALUE"""),"image/png – A high-quality image with support for transparency, often used in design and web applications.")</f>
        <v/>
      </c>
      <c r="F163" s="7" t="inlineStr">
        <is>
          <t>Students were given tasks with embedded artifacts, including interactive apps and images, to complete specific instructions, such as note-taking and collaborating.</t>
        </is>
      </c>
      <c r="G163" s="8" t="n"/>
      <c r="H163" s="8" t="n"/>
      <c r="I163" s="8" t="n"/>
      <c r="J163" s="8" t="n"/>
      <c r="K163" s="9" t="n"/>
      <c r="L163" s="9" t="n"/>
      <c r="M163" s="9" t="n"/>
      <c r="N163" s="9" t="n"/>
      <c r="O163" s="10" t="n"/>
      <c r="P163" s="10" t="n"/>
      <c r="Q163" s="10" t="n"/>
      <c r="R163" s="10" t="n"/>
      <c r="S163" s="10" t="n"/>
    </row>
    <row r="164" ht="318" customHeight="1">
      <c r="A164" s="6">
        <f>IFERROR(__xludf.DUMMYFUNCTION("""COMPUTED_VALUE"""),"Refraction of light 2")</f>
        <v/>
      </c>
      <c r="B164" s="6">
        <f>IFERROR(__xludf.DUMMYFUNCTION("""COMPUTED_VALUE"""),"Application")</f>
        <v/>
      </c>
      <c r="C164" s="6">
        <f>IFERROR(__xludf.DUMMYFUNCTION("""COMPUTED_VALUE"""),"Input Box")</f>
        <v/>
      </c>
      <c r="D164" s="7">
        <f>IFERROR(__xludf.DUMMYFUNCTION("""COMPUTED_VALUE"""),"No task description")</f>
        <v/>
      </c>
      <c r="E16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4" s="7" t="inlineStr">
        <is>
          <t>Students are given tasks and artifacts. Item2's task involves interacting with a program and describing observations, accompanied by a PNG image artifact.</t>
        </is>
      </c>
      <c r="G164" s="8" t="n"/>
      <c r="H164" s="8" t="n"/>
      <c r="I164" s="8" t="n"/>
      <c r="J164" s="8" t="n"/>
      <c r="K164" s="9" t="n"/>
      <c r="L164" s="9" t="n"/>
      <c r="M164" s="9" t="n"/>
      <c r="N164" s="9" t="n"/>
      <c r="O164" s="10" t="n"/>
      <c r="P164" s="10" t="n"/>
      <c r="Q164" s="10" t="n"/>
      <c r="R164" s="10" t="n"/>
      <c r="S164" s="10" t="n"/>
    </row>
    <row r="165" ht="193" customHeight="1">
      <c r="A165" s="6">
        <f>IFERROR(__xludf.DUMMYFUNCTION("""COMPUTED_VALUE"""),"Refraction of light 2")</f>
        <v/>
      </c>
      <c r="B165" s="6">
        <f>IFERROR(__xludf.DUMMYFUNCTION("""COMPUTED_VALUE"""),"Application")</f>
        <v/>
      </c>
      <c r="C165" s="6">
        <f>IFERROR(__xludf.DUMMYFUNCTION("""COMPUTED_VALUE"""),"Bending Light")</f>
        <v/>
      </c>
      <c r="D165" s="7">
        <f>IFERROR(__xludf.DUMMYFUNCTION("""COMPUTED_VALUE"""),"No task description")</f>
        <v/>
      </c>
      <c r="E165"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65" s="7" t="inlineStr">
        <is>
          <t>Students are instructed to interact with a program, pressing buttons, dragging shapes, and observing results, with embedded artifacts including images and interactive apps.</t>
        </is>
      </c>
      <c r="G165" s="8" t="n"/>
      <c r="H165" s="8" t="n"/>
      <c r="I165" s="8" t="n"/>
      <c r="J165" s="8" t="n"/>
      <c r="K165" s="9" t="n"/>
      <c r="L165" s="9" t="n"/>
      <c r="M165" s="9" t="n"/>
      <c r="N165" s="9" t="n"/>
      <c r="O165" s="10" t="n"/>
      <c r="P165" s="10" t="n"/>
      <c r="Q165" s="10" t="n"/>
      <c r="R165" s="10" t="n"/>
      <c r="S165" s="10" t="n"/>
    </row>
    <row r="166" ht="121" customHeight="1">
      <c r="A166" s="6">
        <f>IFERROR(__xludf.DUMMYFUNCTION("""COMPUTED_VALUE"""),"Refraction of light 2")</f>
        <v/>
      </c>
      <c r="B166" s="6">
        <f>IFERROR(__xludf.DUMMYFUNCTION("""COMPUTED_VALUE"""),"Resource")</f>
        <v/>
      </c>
      <c r="C166" s="6">
        <f>IFERROR(__xludf.DUMMYFUNCTION("""COMPUTED_VALUE"""),"Assignment.graasp")</f>
        <v/>
      </c>
      <c r="D166" s="7">
        <f>IFERROR(__xludf.DUMMYFUNCTION("""COMPUTED_VALUE"""),"&lt;p&gt;Make further explorations by changing things in the program above. If you're done press ""&lt;strong&gt;What did you discover?&lt;/strong&gt;""&lt;br&gt;&lt;/p&gt;")</f>
        <v/>
      </c>
      <c r="E166" s="7">
        <f>IFERROR(__xludf.DUMMYFUNCTION("""COMPUTED_VALUE"""),"No artifact embedded")</f>
        <v/>
      </c>
      <c r="F166" s="7" t="inlineStr">
        <is>
          <t>Students use Golabz apps to take notes, collaborate, and explore light refraction, with some tasks requiring further exploration and discovery.</t>
        </is>
      </c>
      <c r="G166" s="8" t="n"/>
      <c r="H166" s="8" t="n"/>
      <c r="I166" s="8" t="n"/>
      <c r="J166" s="8" t="n"/>
      <c r="K166" s="9" t="n"/>
      <c r="L166" s="9" t="n"/>
      <c r="M166" s="9" t="n"/>
      <c r="N166" s="9" t="n"/>
      <c r="O166" s="10" t="n"/>
      <c r="P166" s="10" t="n"/>
      <c r="Q166" s="10" t="n"/>
      <c r="R166" s="10" t="n"/>
      <c r="S166" s="10" t="n"/>
    </row>
    <row r="167" ht="263" customHeight="1">
      <c r="A167" s="6">
        <f>IFERROR(__xludf.DUMMYFUNCTION("""COMPUTED_VALUE"""),"Refraction of light 2")</f>
        <v/>
      </c>
      <c r="B167" s="6">
        <f>IFERROR(__xludf.DUMMYFUNCTION("""COMPUTED_VALUE"""),"Space")</f>
        <v/>
      </c>
      <c r="C167" s="6">
        <f>IFERROR(__xludf.DUMMYFUNCTION("""COMPUTED_VALUE"""),"What did you discover?")</f>
        <v/>
      </c>
      <c r="D167" s="7">
        <f>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
      </c>
      <c r="E167" s="7">
        <f>IFERROR(__xludf.DUMMYFUNCTION("""COMPUTED_VALUE"""),"No artifact embedded")</f>
        <v/>
      </c>
      <c r="F167" s="7" t="inlineStr">
        <is>
          <t>Students explore light refraction using Golabz app, then make further discoveries and analyze wavelength refraction effects on white light.</t>
        </is>
      </c>
      <c r="G167" s="8" t="n"/>
      <c r="H167" s="8" t="n"/>
      <c r="I167" s="8" t="n"/>
      <c r="J167" s="8" t="n"/>
      <c r="K167" s="9" t="n"/>
      <c r="L167" s="9" t="n"/>
      <c r="M167" s="9" t="n"/>
      <c r="N167" s="9" t="n"/>
      <c r="O167" s="10" t="n"/>
      <c r="P167" s="10" t="n"/>
      <c r="Q167" s="10" t="n"/>
      <c r="R167" s="10" t="n"/>
      <c r="S167" s="10" t="n"/>
    </row>
    <row r="168" ht="121" customHeight="1">
      <c r="A168" s="6">
        <f>IFERROR(__xludf.DUMMYFUNCTION("""COMPUTED_VALUE"""),"Refraction of light 2")</f>
        <v/>
      </c>
      <c r="B168" s="6">
        <f>IFERROR(__xludf.DUMMYFUNCTION("""COMPUTED_VALUE"""),"Resource")</f>
        <v/>
      </c>
      <c r="C168" s="6">
        <f>IFERROR(__xludf.DUMMYFUNCTION("""COMPUTED_VALUE"""),"Lightwaves.PNG")</f>
        <v/>
      </c>
      <c r="D168" s="7">
        <f>IFERROR(__xludf.DUMMYFUNCTION("""COMPUTED_VALUE"""),"No task description")</f>
        <v/>
      </c>
      <c r="E168" s="7">
        <f>IFERROR(__xludf.DUMMYFUNCTION("""COMPUTED_VALUE"""),"image/png – A high-quality image with support for transparency, often used in design and web applications.")</f>
        <v/>
      </c>
      <c r="F168" s="7" t="inlineStr">
        <is>
          <t>Students are instructed to explore programs and discover refraction of light. Embedded artifacts include no items in Items 1 and 2, but an image in Item 3.</t>
        </is>
      </c>
      <c r="G168" s="8" t="n"/>
      <c r="H168" s="8" t="n"/>
      <c r="I168" s="8" t="n"/>
      <c r="J168" s="8" t="n"/>
      <c r="K168" s="9" t="n"/>
      <c r="L168" s="9" t="n"/>
      <c r="M168" s="9" t="n"/>
      <c r="N168" s="9" t="n"/>
      <c r="O168" s="10" t="n"/>
      <c r="P168" s="10" t="n"/>
      <c r="Q168" s="10" t="n"/>
      <c r="R168" s="10" t="n"/>
      <c r="S168" s="10" t="n"/>
    </row>
    <row r="169" ht="121" customHeight="1">
      <c r="A169" s="6">
        <f>IFERROR(__xludf.DUMMYFUNCTION("""COMPUTED_VALUE"""),"Refraction of light 2")</f>
        <v/>
      </c>
      <c r="B169" s="6">
        <f>IFERROR(__xludf.DUMMYFUNCTION("""COMPUTED_VALUE"""),"Resource")</f>
        <v/>
      </c>
      <c r="C169" s="6">
        <f>IFERROR(__xludf.DUMMYFUNCTION("""COMPUTED_VALUE"""),"Rainbows and refraction")</f>
        <v/>
      </c>
      <c r="D169" s="7">
        <f>IFERROR(__xludf.DUMMYFUNCTION("""COMPUTED_VALUE"""),"No task description")</f>
        <v/>
      </c>
      <c r="E169" s="7">
        <f>IFERROR(__xludf.DUMMYFUNCTION("""COMPUTED_VALUE"""),"youtube.com: A widely known video-sharing platform where users can watch videos on a vast array of topics, including educational content.")</f>
        <v/>
      </c>
      <c r="F169" s="7" t="inlineStr">
        <is>
          <t>Students were instructed about light refraction. Embedded artifacts include an image and a YouTube video.</t>
        </is>
      </c>
      <c r="G169" s="8" t="n"/>
      <c r="H169" s="8" t="n"/>
      <c r="I169" s="8" t="n"/>
      <c r="J169" s="8" t="n"/>
      <c r="K169" s="9" t="n"/>
      <c r="L169" s="9" t="n"/>
      <c r="M169" s="9" t="n"/>
      <c r="N169" s="9" t="n"/>
      <c r="O169" s="10" t="n"/>
      <c r="P169" s="10" t="n"/>
      <c r="Q169" s="10" t="n"/>
      <c r="R169" s="10" t="n"/>
      <c r="S169" s="10" t="n"/>
    </row>
    <row r="170" ht="133" customHeight="1">
      <c r="A170" s="6">
        <f>IFERROR(__xludf.DUMMYFUNCTION("""COMPUTED_VALUE"""),"Refraction of light 2")</f>
        <v/>
      </c>
      <c r="B170" s="6">
        <f>IFERROR(__xludf.DUMMYFUNCTION("""COMPUTED_VALUE"""),"Resource")</f>
        <v/>
      </c>
      <c r="C170" s="6">
        <f>IFERROR(__xludf.DUMMYFUNCTION("""COMPUTED_VALUE"""),"How are rainbows formed?")</f>
        <v/>
      </c>
      <c r="D170" s="7">
        <f>IFERROR(__xludf.DUMMYFUNCTION("""COMPUTED_VALUE"""),"The properties and behaviour of light, and how it interacts with droplets of water, give rise to one of nature's most colourful meteorological events - the rainbow.")</f>
        <v/>
      </c>
      <c r="E170" s="7">
        <f>IFERROR(__xludf.DUMMYFUNCTION("""COMPUTED_VALUE"""),"metoffice.gov.uk: The UK's Met Office provides information on weather phenomena, including explanations of how rainbows are formed.")</f>
        <v/>
      </c>
      <c r="F170" s="7" t="inlineStr">
        <is>
          <t>No task descriptions for Items 1 and 2. Item 3 describes rainbows. Embedded artifacts include a PNG image, YouTube, and the Met Office website.</t>
        </is>
      </c>
      <c r="G170" s="8" t="n"/>
      <c r="H170" s="8" t="n"/>
      <c r="I170" s="8" t="n"/>
      <c r="J170" s="8" t="n"/>
      <c r="K170" s="9" t="n"/>
      <c r="L170" s="9" t="n"/>
      <c r="M170" s="9" t="n"/>
      <c r="N170" s="9" t="n"/>
      <c r="O170" s="10" t="n"/>
      <c r="P170" s="10" t="n"/>
      <c r="Q170" s="10" t="n"/>
      <c r="R170" s="10" t="n"/>
      <c r="S170" s="10" t="n"/>
    </row>
    <row r="171" ht="274" customHeight="1">
      <c r="A171" s="6">
        <f>IFERROR(__xludf.DUMMYFUNCTION("""COMPUTED_VALUE"""),"Refraction of light 2")</f>
        <v/>
      </c>
      <c r="B171" s="6">
        <f>IFERROR(__xludf.DUMMYFUNCTION("""COMPUTED_VALUE"""),"Application")</f>
        <v/>
      </c>
      <c r="C171" s="6">
        <f>IFERROR(__xludf.DUMMYFUNCTION("""COMPUTED_VALUE"""),"Quiz Tool")</f>
        <v/>
      </c>
      <c r="D171" s="7">
        <f>IFERROR(__xludf.DUMMYFUNCTION("""COMPUTED_VALUE"""),"No task description")</f>
        <v/>
      </c>
      <c r="E17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71" s="7" t="inlineStr">
        <is>
          <t>Students were given tasks with embedded artifacts from websites like YouTube, Met Office, and Golabz app/lab, providing educational content on topics like rainbows and quizzes.</t>
        </is>
      </c>
      <c r="G171" s="8" t="n"/>
      <c r="H171" s="8" t="n"/>
      <c r="I171" s="8" t="n"/>
      <c r="J171" s="8" t="n"/>
      <c r="K171" s="9" t="n"/>
      <c r="L171" s="9" t="n"/>
      <c r="M171" s="9" t="n"/>
      <c r="N171" s="9" t="n"/>
      <c r="O171" s="10" t="n"/>
      <c r="P171" s="10" t="n"/>
      <c r="Q171" s="10" t="n"/>
      <c r="R171" s="10" t="n"/>
      <c r="S171" s="10" t="n"/>
    </row>
    <row r="172" ht="133" customHeight="1">
      <c r="A172" s="6">
        <f>IFERROR(__xludf.DUMMYFUNCTION("""COMPUTED_VALUE"""),"Refraction of light 2")</f>
        <v/>
      </c>
      <c r="B172" s="6">
        <f>IFERROR(__xludf.DUMMYFUNCTION("""COMPUTED_VALUE"""),"Space")</f>
        <v/>
      </c>
      <c r="C172" s="6">
        <f>IFERROR(__xludf.DUMMYFUNCTION("""COMPUTED_VALUE"""),"Student Dashboard")</f>
        <v/>
      </c>
      <c r="D172" s="7">
        <f>IFERROR(__xludf.DUMMYFUNCTION("""COMPUTED_VALUE"""),"No task description")</f>
        <v/>
      </c>
      <c r="E172" s="7">
        <f>IFERROR(__xludf.DUMMYFUNCTION("""COMPUTED_VALUE"""),"No artifact embedded")</f>
        <v/>
      </c>
      <c r="F172" s="7" t="inlineStr">
        <is>
          <t>Students are given tasks with descriptions and access to external resources like metoffice.gov.uk and Golabz app/lab for interactive learning.</t>
        </is>
      </c>
      <c r="G172" s="8" t="n"/>
      <c r="H172" s="8" t="n"/>
      <c r="I172" s="8" t="n"/>
      <c r="J172" s="8" t="n"/>
      <c r="K172" s="9" t="n"/>
      <c r="L172" s="9" t="n"/>
      <c r="M172" s="9" t="n"/>
      <c r="N172" s="9" t="n"/>
      <c r="O172" s="10" t="n"/>
      <c r="P172" s="10" t="n"/>
      <c r="Q172" s="10" t="n"/>
      <c r="R172" s="10" t="n"/>
      <c r="S172" s="10" t="n"/>
    </row>
    <row r="173" ht="121" customHeight="1">
      <c r="A173" s="6">
        <f>IFERROR(__xludf.DUMMYFUNCTION("""COMPUTED_VALUE"""),"ILS test")</f>
        <v/>
      </c>
      <c r="B173" s="6">
        <f>IFERROR(__xludf.DUMMYFUNCTION("""COMPUTED_VALUE"""),"Space")</f>
        <v/>
      </c>
      <c r="C173" s="6">
        <f>IFERROR(__xludf.DUMMYFUNCTION("""COMPUTED_VALUE"""),"phase 1")</f>
        <v/>
      </c>
      <c r="D173" s="7">
        <f>IFERROR(__xludf.DUMMYFUNCTION("""COMPUTED_VALUE"""),"&lt;p&gt;This is a description for the orientation.&lt;/p&gt;")</f>
        <v/>
      </c>
      <c r="E173" s="7">
        <f>IFERROR(__xludf.DUMMYFUNCTION("""COMPUTED_VALUE"""),"No artifact embedded")</f>
        <v/>
      </c>
      <c r="F173" s="7" t="inlineStr">
        <is>
          <t>No task descriptions were provided, except for Item3. Only Item1 has an embedded artifact, describing the Golabz app/lab quiz features.</t>
        </is>
      </c>
      <c r="G173" s="8" t="n"/>
      <c r="H173" s="8" t="n"/>
      <c r="I173" s="8" t="n"/>
      <c r="J173" s="8" t="n"/>
      <c r="K173" s="9" t="n"/>
      <c r="L173" s="9" t="n"/>
      <c r="M173" s="9" t="n"/>
      <c r="N173" s="9" t="n"/>
      <c r="O173" s="10" t="n"/>
      <c r="P173" s="10" t="n"/>
      <c r="Q173" s="10" t="n"/>
      <c r="R173" s="10" t="n"/>
      <c r="S173" s="10" t="n"/>
    </row>
    <row r="174" ht="409.6" customHeight="1">
      <c r="A174" s="6">
        <f>IFERROR(__xludf.DUMMYFUNCTION("""COMPUTED_VALUE"""),"ILS test")</f>
        <v/>
      </c>
      <c r="B174" s="6">
        <f>IFERROR(__xludf.DUMMYFUNCTION("""COMPUTED_VALUE"""),"Application")</f>
        <v/>
      </c>
      <c r="C174" s="6">
        <f>IFERROR(__xludf.DUMMYFUNCTION("""COMPUTED_VALUE"""),"Bond app")</f>
        <v/>
      </c>
      <c r="D174" s="7">
        <f>IFERROR(__xludf.DUMMYFUNCTION("""COMPUTED_VALUE"""),"No task description")</f>
        <v/>
      </c>
      <c r="E174" s="7">
        <f>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
      </c>
      <c r="F174" s="7" t="inlineStr">
        <is>
          <t>Students receive task descriptions and access embedded artifacts, including the Golabz app "Bond" for learning chemistry concepts like solubility and precipitation.</t>
        </is>
      </c>
      <c r="G174" s="8" t="n"/>
      <c r="H174" s="8" t="n"/>
      <c r="I174" s="8" t="n"/>
      <c r="J174" s="8" t="n"/>
      <c r="K174" s="9" t="n"/>
      <c r="L174" s="9" t="n"/>
      <c r="M174" s="9" t="n"/>
      <c r="N174" s="9" t="n"/>
      <c r="O174" s="10" t="n"/>
      <c r="P174" s="10" t="n"/>
      <c r="Q174" s="10" t="n"/>
      <c r="R174" s="10" t="n"/>
      <c r="S174" s="10" t="n"/>
    </row>
    <row r="175" ht="157" customHeight="1">
      <c r="A175" s="6">
        <f>IFERROR(__xludf.DUMMYFUNCTION("""COMPUTED_VALUE"""),"ILS test")</f>
        <v/>
      </c>
      <c r="B175" s="6">
        <f>IFERROR(__xludf.DUMMYFUNCTION("""COMPUTED_VALUE"""),"Resource")</f>
        <v/>
      </c>
      <c r="C175" s="6">
        <f>IFERROR(__xludf.DUMMYFUNCTION("""COMPUTED_VALUE"""),"This is a doc test for the ils.docx")</f>
        <v/>
      </c>
      <c r="D175" s="7">
        <f>IFERROR(__xludf.DUMMYFUNCTION("""COMPUTED_VALUE"""),"This is a doc test for the ils !")</f>
        <v/>
      </c>
      <c r="E175" s="7">
        <f>IFERROR(__xludf.DUMMYFUNCTION("""COMPUTED_VALUE"""),"application/vnd.openxmlformats-officedocument.wordprocessingml.document – A Microsoft Word document (DOCX), typically containing formatted text, images, and tables.")</f>
        <v/>
      </c>
      <c r="F175" s="7" t="inlineStr">
        <is>
          <t>Students received task descriptions and interacted with artifacts like Golabz app/lab and a Microsoft Word document.</t>
        </is>
      </c>
      <c r="G175" s="8" t="n"/>
      <c r="H175" s="8" t="n"/>
      <c r="I175" s="8" t="n"/>
      <c r="J175" s="8" t="n"/>
      <c r="K175" s="9" t="n"/>
      <c r="L175" s="9" t="n"/>
      <c r="M175" s="9" t="n"/>
      <c r="N175" s="9" t="n"/>
      <c r="O175" s="10" t="n"/>
      <c r="P175" s="10" t="n"/>
      <c r="Q175" s="10" t="n"/>
      <c r="R175" s="10" t="n"/>
      <c r="S175" s="10" t="n"/>
    </row>
    <row r="176" ht="145" customHeight="1">
      <c r="A176" s="6">
        <f>IFERROR(__xludf.DUMMYFUNCTION("""COMPUTED_VALUE"""),"ILS test")</f>
        <v/>
      </c>
      <c r="B176" s="6">
        <f>IFERROR(__xludf.DUMMYFUNCTION("""COMPUTED_VALUE"""),"Resource")</f>
        <v/>
      </c>
      <c r="C176" s="6">
        <f>IFERROR(__xludf.DUMMYFUNCTION("""COMPUTED_VALUE"""),"graasp doc test.graasp")</f>
        <v/>
      </c>
      <c r="D176" s="7">
        <f>IFERROR(__xludf.DUMMYFUNCTION("""COMPUTED_VALUE"""),"&lt;p&gt;This is a &lt;a href=""http://grassp.eu"" target=""_blank""&gt;Graasp&lt;/a&gt; document where one can have words in &lt;strong&gt;bold&lt;/strong&gt; and &lt;em&gt;italics&lt;/em&gt;.&lt;br&gt;&lt;/p&gt;")</f>
        <v/>
      </c>
      <c r="E176" s="7">
        <f>IFERROR(__xludf.DUMMYFUNCTION("""COMPUTED_VALUE"""),"No artifact embedded")</f>
        <v/>
      </c>
      <c r="F176" s="7" t="inlineStr">
        <is>
          <t>Students received task descriptions with embedded artifacts, including a chemistry lab app and Microsoft Word document.</t>
        </is>
      </c>
      <c r="G176" s="8" t="n"/>
      <c r="H176" s="8" t="n"/>
      <c r="I176" s="8" t="n"/>
      <c r="J176" s="8" t="n"/>
      <c r="K176" s="9" t="n"/>
      <c r="L176" s="9" t="n"/>
      <c r="M176" s="9" t="n"/>
      <c r="N176" s="9" t="n"/>
      <c r="O176" s="10" t="n"/>
      <c r="P176" s="10" t="n"/>
      <c r="Q176" s="10" t="n"/>
      <c r="R176" s="10" t="n"/>
      <c r="S176" s="10" t="n"/>
    </row>
    <row r="177" ht="409.6" customHeight="1">
      <c r="A177" s="6">
        <f>IFERROR(__xludf.DUMMYFUNCTION("""COMPUTED_VALUE"""),"ILS test")</f>
        <v/>
      </c>
      <c r="B177" s="6">
        <f>IFERROR(__xludf.DUMMYFUNCTION("""COMPUTED_VALUE"""),"Application")</f>
        <v/>
      </c>
      <c r="C177" s="6">
        <f>IFERROR(__xludf.DUMMYFUNCTION("""COMPUTED_VALUE"""),"Hypothesis Scratchpad")</f>
        <v/>
      </c>
      <c r="D177" s="7">
        <f>IFERROR(__xludf.DUMMYFUNCTION("""COMPUTED_VALUE"""),"No task description")</f>
        <v/>
      </c>
      <c r="E177"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77" s="7" t="inlineStr">
        <is>
          <t>Students were given task descriptions with embedded artifacts, including Word documents and interactive tools like Hypothesis Scratchpad.</t>
        </is>
      </c>
      <c r="G177" s="8" t="n"/>
      <c r="H177" s="8" t="n"/>
      <c r="I177" s="8" t="n"/>
      <c r="J177" s="8" t="n"/>
      <c r="K177" s="9" t="n"/>
      <c r="L177" s="9" t="n"/>
      <c r="M177" s="9" t="n"/>
      <c r="N177" s="9" t="n"/>
      <c r="O177" s="10" t="n"/>
      <c r="P177" s="10" t="n"/>
      <c r="Q177" s="10" t="n"/>
      <c r="R177" s="10" t="n"/>
      <c r="S177" s="10" t="n"/>
    </row>
    <row r="178" ht="109" customHeight="1">
      <c r="A178" s="6">
        <f>IFERROR(__xludf.DUMMYFUNCTION("""COMPUTED_VALUE"""),"ILS test")</f>
        <v/>
      </c>
      <c r="B178" s="6">
        <f>IFERROR(__xludf.DUMMYFUNCTION("""COMPUTED_VALUE"""),"Topic")</f>
        <v/>
      </c>
      <c r="C178" s="6">
        <f>IFERROR(__xludf.DUMMYFUNCTION("""COMPUTED_VALUE"""),"discussion test")</f>
        <v/>
      </c>
      <c r="D178" s="7">
        <f>IFERROR(__xludf.DUMMYFUNCTION("""COMPUTED_VALUE"""),"No task description")</f>
        <v/>
      </c>
      <c r="E178" s="7">
        <f>IFERROR(__xludf.DUMMYFUNCTION("""COMPUTED_VALUE"""),"text/html – A webpage or web document that contains structured text, images, and links, designed for display in a web browser.")</f>
        <v/>
      </c>
      <c r="F178" s="7" t="inlineStr">
        <is>
          <t>Students are given tasks with embedded artifacts, including a Graasp document, Golabz app, and HTML webpage.</t>
        </is>
      </c>
      <c r="G178" s="8" t="n"/>
      <c r="H178" s="8" t="n"/>
      <c r="I178" s="8" t="n"/>
      <c r="J178" s="8" t="n"/>
      <c r="K178" s="9" t="n"/>
      <c r="L178" s="9" t="n"/>
      <c r="M178" s="9" t="n"/>
      <c r="N178" s="9" t="n"/>
      <c r="O178" s="10" t="n"/>
      <c r="P178" s="10" t="n"/>
      <c r="Q178" s="10" t="n"/>
      <c r="R178" s="10" t="n"/>
      <c r="S178" s="10" t="n"/>
    </row>
    <row r="179" ht="97" customHeight="1">
      <c r="A179" s="6">
        <f>IFERROR(__xludf.DUMMYFUNCTION("""COMPUTED_VALUE"""),"ILS test")</f>
        <v/>
      </c>
      <c r="B179" s="6">
        <f>IFERROR(__xludf.DUMMYFUNCTION("""COMPUTED_VALUE"""),"Resource")</f>
        <v/>
      </c>
      <c r="C179" s="6">
        <f>IFERROR(__xludf.DUMMYFUNCTION("""COMPUTED_VALUE"""),"Home | Golabz")</f>
        <v/>
      </c>
      <c r="D179" s="7">
        <f>IFERROR(__xludf.DUMMYFUNCTION("""COMPUTED_VALUE"""),"No task description")</f>
        <v/>
      </c>
      <c r="E179" s="7">
        <f>IFERROR(__xludf.DUMMYFUNCTION("""COMPUTED_VALUE"""),"golabz.eu: A platform for finding and sharing online labs and inquiry learning applications.")</f>
        <v/>
      </c>
      <c r="F179" s="7" t="inlineStr">
        <is>
          <t>No instructions provided; embedded artifacts include Golabz app, HTML webpage, and golabz.eu platform.</t>
        </is>
      </c>
      <c r="G179" s="8" t="n"/>
      <c r="H179" s="8" t="n"/>
      <c r="I179" s="8" t="n"/>
      <c r="J179" s="8" t="n"/>
      <c r="K179" s="9" t="n"/>
      <c r="L179" s="9" t="n"/>
      <c r="M179" s="9" t="n"/>
      <c r="N179" s="9" t="n"/>
      <c r="O179" s="10" t="n"/>
      <c r="P179" s="10" t="n"/>
      <c r="Q179" s="10" t="n"/>
      <c r="R179" s="10" t="n"/>
      <c r="S179" s="10" t="n"/>
    </row>
    <row r="180" ht="109" customHeight="1">
      <c r="A180" s="6">
        <f>IFERROR(__xludf.DUMMYFUNCTION("""COMPUTED_VALUE"""),"ILS test")</f>
        <v/>
      </c>
      <c r="B180" s="6">
        <f>IFERROR(__xludf.DUMMYFUNCTION("""COMPUTED_VALUE"""),"Space")</f>
        <v/>
      </c>
      <c r="C180" s="6">
        <f>IFERROR(__xludf.DUMMYFUNCTION("""COMPUTED_VALUE"""),"phase2")</f>
        <v/>
      </c>
      <c r="D180" s="7">
        <f>IFERROR(__xludf.DUMMYFUNCTION("""COMPUTED_VALUE"""),"No task description")</f>
        <v/>
      </c>
      <c r="E180" s="7">
        <f>IFERROR(__xludf.DUMMYFUNCTION("""COMPUTED_VALUE"""),"No artifact embedded")</f>
        <v/>
      </c>
      <c r="F180" s="7" t="inlineStr">
        <is>
          <t>No instructions are provided; artifacts include HTML webpages, a lab-sharing platform (golabz.eu), and no artifact in the third item.</t>
        </is>
      </c>
      <c r="G180" s="8" t="n"/>
      <c r="H180" s="8" t="n"/>
      <c r="I180" s="8" t="n"/>
      <c r="J180" s="8" t="n"/>
      <c r="K180" s="9" t="n"/>
      <c r="L180" s="9" t="n"/>
      <c r="M180" s="9" t="n"/>
      <c r="N180" s="9" t="n"/>
      <c r="O180" s="10" t="n"/>
      <c r="P180" s="10" t="n"/>
      <c r="Q180" s="10" t="n"/>
      <c r="R180" s="10" t="n"/>
      <c r="S180" s="10" t="n"/>
    </row>
    <row r="181" ht="318" customHeight="1">
      <c r="A181" s="6">
        <f>IFERROR(__xludf.DUMMYFUNCTION("""COMPUTED_VALUE"""),"ILS test")</f>
        <v/>
      </c>
      <c r="B181" s="6">
        <f>IFERROR(__xludf.DUMMYFUNCTION("""COMPUTED_VALUE"""),"Application")</f>
        <v/>
      </c>
      <c r="C181" s="6">
        <f>IFERROR(__xludf.DUMMYFUNCTION("""COMPUTED_VALUE"""),"Input Box")</f>
        <v/>
      </c>
      <c r="D181" s="7">
        <f>IFERROR(__xludf.DUMMYFUNCTION("""COMPUTED_VALUE"""),"No task description")</f>
        <v/>
      </c>
      <c r="E1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1" s="7" t="inlineStr">
        <is>
          <t>No task descriptions provided; artifacts include Golabz platform and a note-taking app with optional collaboration mode.</t>
        </is>
      </c>
      <c r="G181" s="8" t="n"/>
      <c r="H181" s="8" t="n"/>
      <c r="I181" s="8" t="n"/>
      <c r="J181" s="8" t="n"/>
      <c r="K181" s="9" t="n"/>
      <c r="L181" s="9" t="n"/>
      <c r="M181" s="9" t="n"/>
      <c r="N181" s="9" t="n"/>
      <c r="O181" s="10" t="n"/>
      <c r="P181" s="10" t="n"/>
      <c r="Q181" s="10" t="n"/>
      <c r="R181" s="10" t="n"/>
      <c r="S181" s="10" t="n"/>
    </row>
    <row r="182" ht="241" customHeight="1">
      <c r="A182" s="6">
        <f>IFERROR(__xludf.DUMMYFUNCTION("""COMPUTED_VALUE"""),"ILS test")</f>
        <v/>
      </c>
      <c r="B182" s="6">
        <f>IFERROR(__xludf.DUMMYFUNCTION("""COMPUTED_VALUE"""),"Application")</f>
        <v/>
      </c>
      <c r="C182" s="6">
        <f>IFERROR(__xludf.DUMMYFUNCTION("""COMPUTED_VALUE"""),"Quest")</f>
        <v/>
      </c>
      <c r="D182" s="7">
        <f>IFERROR(__xludf.DUMMYFUNCTION("""COMPUTED_VALUE"""),"No task description")</f>
        <v/>
      </c>
      <c r="E182"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182" s="7" t="inlineStr">
        <is>
          <t>No task descriptions are provided, but artifacts include Golabz apps for note-taking and creating surveys.</t>
        </is>
      </c>
      <c r="G182" s="8" t="n"/>
      <c r="H182" s="8" t="n"/>
      <c r="I182" s="8" t="n"/>
      <c r="J182" s="8" t="n"/>
      <c r="K182" s="9" t="n"/>
      <c r="L182" s="9" t="n"/>
      <c r="M182" s="9" t="n"/>
      <c r="N182" s="9" t="n"/>
      <c r="O182" s="10" t="n"/>
      <c r="P182" s="10" t="n"/>
      <c r="Q182" s="10" t="n"/>
      <c r="R182" s="10" t="n"/>
      <c r="S182" s="10" t="n"/>
    </row>
    <row r="183" ht="318" customHeight="1">
      <c r="A183" s="6">
        <f>IFERROR(__xludf.DUMMYFUNCTION("""COMPUTED_VALUE"""),"ILS test")</f>
        <v/>
      </c>
      <c r="B183" s="6">
        <f>IFERROR(__xludf.DUMMYFUNCTION("""COMPUTED_VALUE"""),"Application")</f>
        <v/>
      </c>
      <c r="C183" s="6">
        <f>IFERROR(__xludf.DUMMYFUNCTION("""COMPUTED_VALUE"""),"Input Box (1)")</f>
        <v/>
      </c>
      <c r="D183" s="7">
        <f>IFERROR(__xludf.DUMMYFUNCTION("""COMPUTED_VALUE"""),"&lt;p&gt;&lt;em&gt;Merci &lt;/em&gt;d'&lt;strong&gt;écrire un commentaire ;-)&lt;/strong&gt;&lt;/p&gt;")</f>
        <v/>
      </c>
      <c r="E18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3" s="7" t="inlineStr">
        <is>
          <t>Students have no task descriptions, but use Golabz apps like Input Box and Quest for note-taking and surveys.</t>
        </is>
      </c>
      <c r="G183" s="8" t="n"/>
      <c r="H183" s="8" t="n"/>
      <c r="I183" s="8" t="n"/>
      <c r="J183" s="8" t="n"/>
      <c r="K183" s="9" t="n"/>
      <c r="L183" s="9" t="n"/>
      <c r="M183" s="9" t="n"/>
      <c r="N183" s="9" t="n"/>
      <c r="O183" s="10" t="n"/>
      <c r="P183" s="10" t="n"/>
      <c r="Q183" s="10" t="n"/>
      <c r="R183" s="10" t="n"/>
      <c r="S183" s="10" t="n"/>
    </row>
    <row r="184" ht="409.6" customHeight="1">
      <c r="A184" s="6">
        <f>IFERROR(__xludf.DUMMYFUNCTION("""COMPUTED_VALUE"""),"ILS test")</f>
        <v/>
      </c>
      <c r="B184" s="6">
        <f>IFERROR(__xludf.DUMMYFUNCTION("""COMPUTED_VALUE"""),"Application")</f>
        <v/>
      </c>
      <c r="C184" s="6">
        <f>IFERROR(__xludf.DUMMYFUNCTION("""COMPUTED_VALUE"""),"Hypothesis Scratchpad")</f>
        <v/>
      </c>
      <c r="D184" s="7">
        <f>IFERROR(__xludf.DUMMYFUNCTION("""COMPUTED_VALUE"""),"&lt;p&gt;Create your hypothesis&lt;/p&gt;")</f>
        <v/>
      </c>
      <c r="E184"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84" s="7" t="inlineStr">
        <is>
          <t>Students are given tasks with Golabz app/lab tools: Quest, Input Box, and Hypothesis Scratchpad for surveys, note-taking, and hypothesis formulation.</t>
        </is>
      </c>
      <c r="G184" s="8" t="n"/>
      <c r="H184" s="8" t="n"/>
      <c r="I184" s="8" t="n"/>
      <c r="J184" s="8" t="n"/>
      <c r="K184" s="9" t="n"/>
      <c r="L184" s="9" t="n"/>
      <c r="M184" s="9" t="n"/>
      <c r="N184" s="9" t="n"/>
      <c r="O184" s="10" t="n"/>
      <c r="P184" s="10" t="n"/>
      <c r="Q184" s="10" t="n"/>
      <c r="R184" s="10" t="n"/>
      <c r="S184" s="10" t="n"/>
    </row>
    <row r="185" ht="409.6" customHeight="1">
      <c r="A185" s="6">
        <f>IFERROR(__xludf.DUMMYFUNCTION("""COMPUTED_VALUE"""),"ILS test")</f>
        <v/>
      </c>
      <c r="B185" s="6">
        <f>IFERROR(__xludf.DUMMYFUNCTION("""COMPUTED_VALUE"""),"Application")</f>
        <v/>
      </c>
      <c r="C185" s="6">
        <f>IFERROR(__xludf.DUMMYFUNCTION("""COMPUTED_VALUE"""),"Create a concept mapper")</f>
        <v/>
      </c>
      <c r="D185" s="7">
        <f>IFERROR(__xludf.DUMMYFUNCTION("""COMPUTED_VALUE"""),"No task description")</f>
        <v/>
      </c>
      <c r="E185"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85" s="7" t="inlineStr">
        <is>
          <t>Students are instructed to write comments, create hypotheses, and no task is described for Item3. Embedded artifacts include note-taking, hypothesis-forming, and concept-mapping apps.</t>
        </is>
      </c>
      <c r="G185" s="8" t="n"/>
      <c r="H185" s="8" t="n"/>
      <c r="I185" s="8" t="n"/>
      <c r="J185" s="8" t="n"/>
      <c r="K185" s="9" t="n"/>
      <c r="L185" s="9" t="n"/>
      <c r="M185" s="9" t="n"/>
      <c r="N185" s="9" t="n"/>
      <c r="O185" s="10" t="n"/>
      <c r="P185" s="10" t="n"/>
      <c r="Q185" s="10" t="n"/>
      <c r="R185" s="10" t="n"/>
      <c r="S185" s="10" t="n"/>
    </row>
    <row r="186" ht="409.6" customHeight="1">
      <c r="A186" s="6">
        <f>IFERROR(__xludf.DUMMYFUNCTION("""COMPUTED_VALUE"""),"ILS test")</f>
        <v/>
      </c>
      <c r="B186" s="6">
        <f>IFERROR(__xludf.DUMMYFUNCTION("""COMPUTED_VALUE"""),"Application")</f>
        <v/>
      </c>
      <c r="C186" s="6">
        <f>IFERROR(__xludf.DUMMYFUNCTION("""COMPUTED_VALUE"""),"Table Tool")</f>
        <v/>
      </c>
      <c r="D186" s="7">
        <f>IFERROR(__xludf.DUMMYFUNCTION("""COMPUTED_VALUE"""),"No task description")</f>
        <v/>
      </c>
      <c r="E18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86" s="7" t="inlineStr">
        <is>
          <t>Students create hypotheses and concept maps using Golabz apps with drag-and-drop features.</t>
        </is>
      </c>
      <c r="G186" s="8" t="n"/>
      <c r="H186" s="8" t="n"/>
      <c r="I186" s="8" t="n"/>
      <c r="J186" s="8" t="n"/>
      <c r="K186" s="9" t="n"/>
      <c r="L186" s="9" t="n"/>
      <c r="M186" s="9" t="n"/>
      <c r="N186" s="9" t="n"/>
      <c r="O186" s="10" t="n"/>
      <c r="P186" s="10" t="n"/>
      <c r="Q186" s="10" t="n"/>
      <c r="R186" s="10" t="n"/>
      <c r="S186" s="10" t="n"/>
    </row>
    <row r="187" ht="409.6" customHeight="1">
      <c r="A187" s="6">
        <f>IFERROR(__xludf.DUMMYFUNCTION("""COMPUTED_VALUE"""),"ILS test")</f>
        <v/>
      </c>
      <c r="B187" s="6">
        <f>IFERROR(__xludf.DUMMYFUNCTION("""COMPUTED_VALUE"""),"Application")</f>
        <v/>
      </c>
      <c r="C187" s="6">
        <f>IFERROR(__xludf.DUMMYFUNCTION("""COMPUTED_VALUE"""),"data viewer graphique de courses")</f>
        <v/>
      </c>
      <c r="D187" s="7">
        <f>IFERROR(__xludf.DUMMYFUNCTION("""COMPUTED_VALUE"""),"&lt;p&gt;Q&lt;/p&gt;")</f>
        <v/>
      </c>
      <c r="E187"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187" s="7" t="inlineStr">
        <is>
          <t>No task descriptions are provided; embedded artifacts include Golabz tools: Concept Mapper, Table, and Data Viewer.</t>
        </is>
      </c>
      <c r="G187" s="8" t="n"/>
      <c r="H187" s="8" t="n"/>
      <c r="I187" s="8" t="n"/>
      <c r="J187" s="8" t="n"/>
      <c r="K187" s="9" t="n"/>
      <c r="L187" s="9" t="n"/>
      <c r="M187" s="9" t="n"/>
      <c r="N187" s="9" t="n"/>
      <c r="O187" s="10" t="n"/>
      <c r="P187" s="10" t="n"/>
      <c r="Q187" s="10" t="n"/>
      <c r="R187" s="10" t="n"/>
      <c r="S187" s="10" t="n"/>
    </row>
    <row r="188" ht="121" customHeight="1">
      <c r="A188" s="6">
        <f>IFERROR(__xludf.DUMMYFUNCTION("""COMPUTED_VALUE"""),"ILS test")</f>
        <v/>
      </c>
      <c r="B188" s="6">
        <f>IFERROR(__xludf.DUMMYFUNCTION("""COMPUTED_VALUE"""),"Space")</f>
        <v/>
      </c>
      <c r="C188" s="6">
        <f>IFERROR(__xludf.DUMMYFUNCTION("""COMPUTED_VALUE"""),"Conclusion")</f>
        <v/>
      </c>
      <c r="D188" s="7">
        <f>IFERROR(__xludf.DUMMYFUNCTION("""COMPUTED_VALUE"""),"No task description")</f>
        <v/>
      </c>
      <c r="E188" s="7">
        <f>IFERROR(__xludf.DUMMYFUNCTION("""COMPUTED_VALUE"""),"No artifact embedded")</f>
        <v/>
      </c>
      <c r="F188" s="7" t="inlineStr">
        <is>
          <t>Students receive no task descriptions. Embedded artifacts include Golabz apps for table and data visualization tools with configuration instructions.</t>
        </is>
      </c>
      <c r="G188" s="8" t="n"/>
      <c r="H188" s="8" t="n"/>
      <c r="I188" s="8" t="n"/>
      <c r="J188" s="8" t="n"/>
      <c r="K188" s="9" t="n"/>
      <c r="L188" s="9" t="n"/>
      <c r="M188" s="9" t="n"/>
      <c r="N188" s="9" t="n"/>
      <c r="O188" s="10" t="n"/>
      <c r="P188" s="10" t="n"/>
      <c r="Q188" s="10" t="n"/>
      <c r="R188" s="10" t="n"/>
      <c r="S188" s="10" t="n"/>
    </row>
    <row r="189" ht="97" customHeight="1">
      <c r="A189" s="6">
        <f>IFERROR(__xludf.DUMMYFUNCTION("""COMPUTED_VALUE"""),"ILS test")</f>
        <v/>
      </c>
      <c r="B189" s="6">
        <f>IFERROR(__xludf.DUMMYFUNCTION("""COMPUTED_VALUE"""),"Space")</f>
        <v/>
      </c>
      <c r="C189" s="6">
        <f>IFERROR(__xludf.DUMMYFUNCTION("""COMPUTED_VALUE"""),"Discussion")</f>
        <v/>
      </c>
      <c r="D189" s="7">
        <f>IFERROR(__xludf.DUMMYFUNCTION("""COMPUTED_VALUE"""),"No task description")</f>
        <v/>
      </c>
      <c r="E189" s="7">
        <f>IFERROR(__xludf.DUMMYFUNCTION("""COMPUTED_VALUE"""),"No artifact embedded")</f>
        <v/>
      </c>
      <c r="F189" s="7" t="inlineStr">
        <is>
          <t>Students were given a task with an embedded Golabz app/lab, "Data Viewer", to visualize data from experiments.</t>
        </is>
      </c>
      <c r="G189" s="8" t="n"/>
      <c r="H189" s="8" t="n"/>
      <c r="I189" s="8" t="n"/>
      <c r="J189" s="8" t="n"/>
      <c r="K189" s="9" t="n"/>
      <c r="L189" s="9" t="n"/>
      <c r="M189" s="9" t="n"/>
      <c r="N189" s="9" t="n"/>
      <c r="O189" s="10" t="n"/>
      <c r="P189" s="10" t="n"/>
      <c r="Q189" s="10" t="n"/>
      <c r="R189" s="10" t="n"/>
      <c r="S189" s="10" t="n"/>
    </row>
    <row r="190" ht="49" customHeight="1">
      <c r="A190" s="6">
        <f>IFERROR(__xludf.DUMMYFUNCTION("""COMPUTED_VALUE"""),"EPFL: Ecole Polytechnique de Lausanne")</f>
        <v/>
      </c>
      <c r="B190" s="6">
        <f>IFERROR(__xludf.DUMMYFUNCTION("""COMPUTED_VALUE"""),"Space")</f>
        <v/>
      </c>
      <c r="C190" s="6">
        <f>IFERROR(__xludf.DUMMYFUNCTION("""COMPUTED_VALUE"""),"Introduction")</f>
        <v/>
      </c>
      <c r="D190" s="7">
        <f>IFERROR(__xludf.DUMMYFUNCTION("""COMPUTED_VALUE"""),"No task description")</f>
        <v/>
      </c>
      <c r="E190" s="7">
        <f>IFERROR(__xludf.DUMMYFUNCTION("""COMPUTED_VALUE"""),"No artifact embedded")</f>
        <v/>
      </c>
      <c r="F190" s="7" t="inlineStr">
        <is>
          <t>No instructions or artifacts are provided for Items 1, 2, and 3.</t>
        </is>
      </c>
      <c r="G190" s="8" t="n"/>
      <c r="H190" s="8" t="n"/>
      <c r="I190" s="8" t="n"/>
      <c r="J190" s="8" t="n"/>
      <c r="K190" s="9" t="n"/>
      <c r="L190" s="9" t="n"/>
      <c r="M190" s="9" t="n"/>
      <c r="N190" s="9" t="n"/>
      <c r="O190" s="10" t="n"/>
      <c r="P190" s="10" t="n"/>
      <c r="Q190" s="10" t="n"/>
      <c r="R190" s="10" t="n"/>
      <c r="S190" s="10" t="n"/>
    </row>
    <row r="191" ht="307" customHeight="1">
      <c r="A191" s="6">
        <f>IFERROR(__xludf.DUMMYFUNCTION("""COMPUTED_VALUE"""),"EPFL: Ecole Polytechnique de Lausanne")</f>
        <v/>
      </c>
      <c r="B191" s="6">
        <f>IFERROR(__xludf.DUMMYFUNCTION("""COMPUTED_VALUE"""),"Resource")</f>
        <v/>
      </c>
      <c r="C191" s="6">
        <f>IFERROR(__xludf.DUMMYFUNCTION("""COMPUTED_VALUE"""),"intro.graasp")</f>
        <v/>
      </c>
      <c r="D191" s="7">
        <f>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
      </c>
      <c r="E191" s="7">
        <f>IFERROR(__xludf.DUMMYFUNCTION("""COMPUTED_VALUE"""),"No artifact embedded")</f>
        <v/>
      </c>
      <c r="F191" s="7" t="inlineStr">
        <is>
          <t>No task descriptions or artifacts are provided for Items 1 and 2. Item 3 describes EPFL university.</t>
        </is>
      </c>
      <c r="G191" s="8" t="n"/>
      <c r="H191" s="8" t="n"/>
      <c r="I191" s="8" t="n"/>
      <c r="J191" s="8" t="n"/>
      <c r="K191" s="9" t="n"/>
      <c r="L191" s="9" t="n"/>
      <c r="M191" s="9" t="n"/>
      <c r="N191" s="9" t="n"/>
      <c r="O191" s="10" t="n"/>
      <c r="P191" s="10" t="n"/>
      <c r="Q191" s="10" t="n"/>
      <c r="R191" s="10" t="n"/>
      <c r="S191" s="10" t="n"/>
    </row>
    <row r="192" ht="181" customHeight="1">
      <c r="A192" s="6">
        <f>IFERROR(__xludf.DUMMYFUNCTION("""COMPUTED_VALUE"""),"EPFL: Ecole Polytechnique de Lausanne")</f>
        <v/>
      </c>
      <c r="B192" s="6">
        <f>IFERROR(__xludf.DUMMYFUNCTION("""COMPUTED_VALUE"""),"Resource")</f>
        <v/>
      </c>
      <c r="C192" s="6">
        <f>IFERROR(__xludf.DUMMYFUNCTION("""COMPUTED_VALUE"""),"Welcome To EPFL - 2018")</f>
        <v/>
      </c>
      <c r="D192" s="7">
        <f>IFERROR(__xludf.DUMMYFUNCTION("""COMPUTED_VALUE"""),"No task description")</f>
        <v/>
      </c>
      <c r="E192" s="7">
        <f>IFERROR(__xludf.DUMMYFUNCTION("""COMPUTED_VALUE"""),"youtube.com: A widely known video-sharing platform where users can watch videos on a vast array of topics, including educational content.")</f>
        <v/>
      </c>
      <c r="F192" s="7" t="inlineStr">
        <is>
          <t>Students received tasks with varying levels of detail and artifacts. Items 1 and 3 lacked descriptions, while Item 2 described EPFL. Only Item 3 had an embedded artifact description, referencing youtube.com.</t>
        </is>
      </c>
      <c r="G192" s="8" t="n"/>
      <c r="H192" s="8" t="n"/>
      <c r="I192" s="8" t="n"/>
      <c r="J192" s="8" t="n"/>
      <c r="K192" s="9" t="n"/>
      <c r="L192" s="9" t="n"/>
      <c r="M192" s="9" t="n"/>
      <c r="N192" s="9" t="n"/>
      <c r="O192" s="10" t="n"/>
      <c r="P192" s="10" t="n"/>
      <c r="Q192" s="10" t="n"/>
      <c r="R192" s="10" t="n"/>
      <c r="S192" s="10" t="n"/>
    </row>
    <row r="193" ht="97" customHeight="1">
      <c r="A193" s="6">
        <f>IFERROR(__xludf.DUMMYFUNCTION("""COMPUTED_VALUE"""),"EPFL: Ecole Polytechnique de Lausanne")</f>
        <v/>
      </c>
      <c r="B193" s="6">
        <f>IFERROR(__xludf.DUMMYFUNCTION("""COMPUTED_VALUE"""),"Space")</f>
        <v/>
      </c>
      <c r="C193" s="6">
        <f>IFERROR(__xludf.DUMMYFUNCTION("""COMPUTED_VALUE"""),"Histoire")</f>
        <v/>
      </c>
      <c r="D193" s="7">
        <f>IFERROR(__xludf.DUMMYFUNCTION("""COMPUTED_VALUE"""),"&lt;p&gt;This is a chapter&lt;/p&gt;")</f>
        <v/>
      </c>
      <c r="E193" s="7">
        <f>IFERROR(__xludf.DUMMYFUNCTION("""COMPUTED_VALUE"""),"No artifact embedded")</f>
        <v/>
      </c>
      <c r="F193" s="7" t="inlineStr">
        <is>
          <t>Students were given task descriptions and embedded artifacts, including text and YouTube links, for Items 1-3.</t>
        </is>
      </c>
      <c r="G193" s="8" t="n"/>
      <c r="H193" s="8" t="n"/>
      <c r="I193" s="8" t="n"/>
      <c r="J193" s="8" t="n"/>
      <c r="K193" s="9" t="n"/>
      <c r="L193" s="9" t="n"/>
      <c r="M193" s="9" t="n"/>
      <c r="N193" s="9" t="n"/>
      <c r="O193" s="10" t="n"/>
      <c r="P193" s="10" t="n"/>
      <c r="Q193" s="10" t="n"/>
      <c r="R193" s="10" t="n"/>
      <c r="S193" s="10" t="n"/>
    </row>
    <row r="194" ht="409.6" customHeight="1">
      <c r="A194" s="6">
        <f>IFERROR(__xludf.DUMMYFUNCTION("""COMPUTED_VALUE"""),"EPFL: Ecole Polytechnique de Lausanne")</f>
        <v/>
      </c>
      <c r="B194" s="6">
        <f>IFERROR(__xludf.DUMMYFUNCTION("""COMPUTED_VALUE"""),"Resource")</f>
        <v/>
      </c>
      <c r="C194" s="6">
        <f>IFERROR(__xludf.DUMMYFUNCTION("""COMPUTED_VALUE"""),"history.graasp")</f>
        <v/>
      </c>
      <c r="D194" s="7">
        <f>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
      </c>
      <c r="E194" s="7">
        <f>IFERROR(__xludf.DUMMYFUNCTION("""COMPUTED_VALUE"""),"No artifact embedded")</f>
        <v/>
      </c>
      <c r="F194" s="7" t="inlineStr">
        <is>
          <t>Students were given varying tasks with some having no description or embedded artifacts. Item1 had a YouTube link, while Items 2 and 3 had text descriptions only.</t>
        </is>
      </c>
      <c r="G194" s="8" t="n"/>
      <c r="H194" s="8" t="n"/>
      <c r="I194" s="8" t="n"/>
      <c r="J194" s="8" t="n"/>
      <c r="K194" s="9" t="n"/>
      <c r="L194" s="9" t="n"/>
      <c r="M194" s="9" t="n"/>
      <c r="N194" s="9" t="n"/>
      <c r="O194" s="10" t="n"/>
      <c r="P194" s="10" t="n"/>
      <c r="Q194" s="10" t="n"/>
      <c r="R194" s="10" t="n"/>
      <c r="S194" s="10" t="n"/>
    </row>
    <row r="195" ht="109" customHeight="1">
      <c r="A195" s="6">
        <f>IFERROR(__xludf.DUMMYFUNCTION("""COMPUTED_VALUE"""),"EPFL: Ecole Polytechnique de Lausanne")</f>
        <v/>
      </c>
      <c r="B195" s="6">
        <f>IFERROR(__xludf.DUMMYFUNCTION("""COMPUTED_VALUE"""),"Resource")</f>
        <v/>
      </c>
      <c r="C195" s="6">
        <f>IFERROR(__xludf.DUMMYFUNCTION("""COMPUTED_VALUE"""),"Ecole_spéciale_de_Lausanne_1857.jpg")</f>
        <v/>
      </c>
      <c r="D195" s="7">
        <f>IFERROR(__xludf.DUMMYFUNCTION("""COMPUTED_VALUE"""),"&lt;p&gt;École spéciale de Lausanne 1857&lt;/p&gt;")</f>
        <v/>
      </c>
      <c r="E195" s="7">
        <f>IFERROR(__xludf.DUMMYFUNCTION("""COMPUTED_VALUE"""),"image/jpeg – A digital photograph or web image stored in a compressed format, often used for photography and web graphics.")</f>
        <v/>
      </c>
      <c r="F195" s="7" t="inlineStr">
        <is>
          <t>Students received task descriptions with no artifacts embedded, except Item 3, which included a JPEG image.</t>
        </is>
      </c>
      <c r="G195" s="8" t="n"/>
      <c r="H195" s="8" t="n"/>
      <c r="I195" s="8" t="n"/>
      <c r="J195" s="8" t="n"/>
      <c r="K195" s="9" t="n"/>
      <c r="L195" s="9" t="n"/>
      <c r="M195" s="9" t="n"/>
      <c r="N195" s="9" t="n"/>
      <c r="O195" s="10" t="n"/>
      <c r="P195" s="10" t="n"/>
      <c r="Q195" s="10" t="n"/>
      <c r="R195" s="10" t="n"/>
      <c r="S195" s="10" t="n"/>
    </row>
    <row r="196" ht="409.6" customHeight="1">
      <c r="A196" s="6">
        <f>IFERROR(__xludf.DUMMYFUNCTION("""COMPUTED_VALUE"""),"EPFL: Ecole Polytechnique de Lausanne")</f>
        <v/>
      </c>
      <c r="B196" s="6">
        <f>IFERROR(__xludf.DUMMYFUNCTION("""COMPUTED_VALUE"""),"Resource")</f>
        <v/>
      </c>
      <c r="C196" s="6">
        <f>IFERROR(__xludf.DUMMYFUNCTION("""COMPUTED_VALUE"""),"histoire_1.graasp")</f>
        <v/>
      </c>
      <c r="D196" s="7">
        <f>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
      </c>
      <c r="E196" s="7">
        <f>IFERROR(__xludf.DUMMYFUNCTION("""COMPUTED_VALUE"""),"No artifact embedded")</f>
        <v/>
      </c>
      <c r="F196" s="7" t="inlineStr">
        <is>
          <t>No instructions are provided to students; only task descriptions of EPFL's history with some items having image artifacts embedded.</t>
        </is>
      </c>
      <c r="G196" s="8" t="n"/>
      <c r="H196" s="8" t="n"/>
      <c r="I196" s="8" t="n"/>
      <c r="J196" s="8" t="n"/>
      <c r="K196" s="9" t="n"/>
      <c r="L196" s="9" t="n"/>
      <c r="M196" s="9" t="n"/>
      <c r="N196" s="9" t="n"/>
      <c r="O196" s="10" t="n"/>
      <c r="P196" s="10" t="n"/>
      <c r="Q196" s="10" t="n"/>
      <c r="R196" s="10" t="n"/>
      <c r="S196" s="10" t="n"/>
    </row>
    <row r="197" ht="61" customHeight="1">
      <c r="A197" s="6">
        <f>IFERROR(__xludf.DUMMYFUNCTION("""COMPUTED_VALUE"""),"EPFL: Ecole Polytechnique de Lausanne")</f>
        <v/>
      </c>
      <c r="B197" s="6">
        <f>IFERROR(__xludf.DUMMYFUNCTION("""COMPUTED_VALUE"""),"Space")</f>
        <v/>
      </c>
      <c r="C197" s="6">
        <f>IFERROR(__xludf.DUMMYFUNCTION("""COMPUTED_VALUE"""),"Admission and education")</f>
        <v/>
      </c>
      <c r="D197" s="7">
        <f>IFERROR(__xludf.DUMMYFUNCTION("""COMPUTED_VALUE"""),"&lt;p&gt;This is a chapter&lt;/p&gt;")</f>
        <v/>
      </c>
      <c r="E197" s="7">
        <f>IFERROR(__xludf.DUMMYFUNCTION("""COMPUTED_VALUE"""),"No artifact embedded")</f>
        <v/>
      </c>
      <c r="F197" s="7" t="inlineStr">
        <is>
          <t>Students received task descriptions with optional image/jpeg artifacts.</t>
        </is>
      </c>
      <c r="G197" s="8" t="n"/>
      <c r="H197" s="8" t="n"/>
      <c r="I197" s="8" t="n"/>
      <c r="J197" s="8" t="n"/>
      <c r="K197" s="9" t="n"/>
      <c r="L197" s="9" t="n"/>
      <c r="M197" s="9" t="n"/>
      <c r="N197" s="9" t="n"/>
      <c r="O197" s="10" t="n"/>
      <c r="P197" s="10" t="n"/>
      <c r="Q197" s="10" t="n"/>
      <c r="R197" s="10" t="n"/>
      <c r="S197" s="10" t="n"/>
    </row>
    <row r="198" ht="409.6" customHeight="1">
      <c r="A198" s="6">
        <f>IFERROR(__xludf.DUMMYFUNCTION("""COMPUTED_VALUE"""),"EPFL: Ecole Polytechnique de Lausanne")</f>
        <v/>
      </c>
      <c r="B198" s="6">
        <f>IFERROR(__xludf.DUMMYFUNCTION("""COMPUTED_VALUE"""),"Resource")</f>
        <v/>
      </c>
      <c r="C198" s="6">
        <f>IFERROR(__xludf.DUMMYFUNCTION("""COMPUTED_VALUE"""),"epfl.txt")</f>
        <v/>
      </c>
      <c r="D198" s="7">
        <f>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
      </c>
      <c r="E198" s="7">
        <f>IFERROR(__xludf.DUMMYFUNCTION("""COMPUTED_VALUE"""),"text/plain – A simple text file containing unformatted text, often used for notes, logs, or source code.")</f>
        <v/>
      </c>
      <c r="F198" s="7" t="inlineStr">
        <is>
          <t>No instructions are provided to students. Embedded artifacts include no files in Items 1 and 2, and a plain text file in Item 3.</t>
        </is>
      </c>
      <c r="G198" s="8" t="n"/>
      <c r="H198" s="8" t="n"/>
      <c r="I198" s="8" t="n"/>
      <c r="J198" s="8" t="n"/>
      <c r="K198" s="9" t="n"/>
      <c r="L198" s="9" t="n"/>
      <c r="M198" s="9" t="n"/>
      <c r="N198" s="9" t="n"/>
      <c r="O198" s="10" t="n"/>
      <c r="P198" s="10" t="n"/>
      <c r="Q198" s="10" t="n"/>
      <c r="R198" s="10" t="n"/>
      <c r="S198" s="10" t="n"/>
    </row>
    <row r="199" ht="109" customHeight="1">
      <c r="A199" s="6">
        <f>IFERROR(__xludf.DUMMYFUNCTION("""COMPUTED_VALUE"""),"EPFL: Ecole Polytechnique de Lausanne")</f>
        <v/>
      </c>
      <c r="B199" s="6">
        <f>IFERROR(__xludf.DUMMYFUNCTION("""COMPUTED_VALUE"""),"Resource")</f>
        <v/>
      </c>
      <c r="C199" s="6">
        <f>IFERROR(__xludf.DUMMYFUNCTION("""COMPUTED_VALUE"""),"table.html")</f>
        <v/>
      </c>
      <c r="D199" s="7">
        <f>IFERROR(__xludf.DUMMYFUNCTION("""COMPUTED_VALUE"""),"&lt;p&gt;Une desc qui casse tout ?&lt;/p&gt;")</f>
        <v/>
      </c>
      <c r="E199" s="7">
        <f>IFERROR(__xludf.DUMMYFUNCTION("""COMPUTED_VALUE"""),"text/html – A webpage or web document that contains structured text, images, and links, designed for display in a web browser.")</f>
        <v/>
      </c>
      <c r="F199" s="7" t="inlineStr">
        <is>
          <t>No instructions are provided; embedded artifacts include text/plain and text/html files.</t>
        </is>
      </c>
      <c r="G199" s="8" t="n"/>
      <c r="H199" s="8" t="n"/>
      <c r="I199" s="8" t="n"/>
      <c r="J199" s="8" t="n"/>
      <c r="K199" s="9" t="n"/>
      <c r="L199" s="9" t="n"/>
      <c r="M199" s="9" t="n"/>
      <c r="N199" s="9" t="n"/>
      <c r="O199" s="10" t="n"/>
      <c r="P199" s="10" t="n"/>
      <c r="Q199" s="10" t="n"/>
      <c r="R199" s="10" t="n"/>
      <c r="S199" s="10" t="n"/>
    </row>
    <row r="200" ht="97" customHeight="1">
      <c r="A200" s="6">
        <f>IFERROR(__xludf.DUMMYFUNCTION("""COMPUTED_VALUE"""),"EPFL: Ecole Polytechnique de Lausanne")</f>
        <v/>
      </c>
      <c r="B200" s="6">
        <f>IFERROR(__xludf.DUMMYFUNCTION("""COMPUTED_VALUE"""),"Space")</f>
        <v/>
      </c>
      <c r="C200" s="6">
        <f>IFERROR(__xludf.DUMMYFUNCTION("""COMPUTED_VALUE"""),"Rankings")</f>
        <v/>
      </c>
      <c r="D200" s="7">
        <f>IFERROR(__xludf.DUMMYFUNCTION("""COMPUTED_VALUE"""),"&lt;p&gt;This is a chapter&lt;/p&gt;")</f>
        <v/>
      </c>
      <c r="E200" s="7">
        <f>IFERROR(__xludf.DUMMYFUNCTION("""COMPUTED_VALUE"""),"No artifact embedded")</f>
        <v/>
      </c>
      <c r="F200" s="7" t="inlineStr">
        <is>
          <t>Students are given instructions with varying embedded artifacts: text/plain, text/html, and none.</t>
        </is>
      </c>
      <c r="G200" s="8" t="n"/>
      <c r="H200" s="8" t="n"/>
      <c r="I200" s="8" t="n"/>
      <c r="J200" s="8" t="n"/>
      <c r="K200" s="9" t="n"/>
      <c r="L200" s="9" t="n"/>
      <c r="M200" s="9" t="n"/>
      <c r="N200" s="9" t="n"/>
      <c r="O200" s="10" t="n"/>
      <c r="P200" s="10" t="n"/>
      <c r="Q200" s="10" t="n"/>
      <c r="R200" s="10" t="n"/>
      <c r="S200" s="10" t="n"/>
    </row>
    <row r="201" ht="409.6" customHeight="1">
      <c r="A201" s="6">
        <f>IFERROR(__xludf.DUMMYFUNCTION("""COMPUTED_VALUE"""),"EPFL: Ecole Polytechnique de Lausanne")</f>
        <v/>
      </c>
      <c r="B201" s="6">
        <f>IFERROR(__xludf.DUMMYFUNCTION("""COMPUTED_VALUE"""),"Resource")</f>
        <v/>
      </c>
      <c r="C201" s="6">
        <f>IFERROR(__xludf.DUMMYFUNCTION("""COMPUTED_VALUE"""),"rankings.graasp")</f>
        <v/>
      </c>
      <c r="D201" s="7">
        <f>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
      </c>
      <c r="E201" s="7">
        <f>IFERROR(__xludf.DUMMYFUNCTION("""COMPUTED_VALUE"""),"No artifact embedded")</f>
        <v/>
      </c>
      <c r="F201" s="7" t="inlineStr">
        <is>
          <t>Students received task descriptions with optional HTML webpage artifacts.</t>
        </is>
      </c>
      <c r="G201" s="8" t="n"/>
      <c r="H201" s="8" t="n"/>
      <c r="I201" s="8" t="n"/>
      <c r="J201" s="8" t="n"/>
      <c r="K201" s="9" t="n"/>
      <c r="L201" s="9" t="n"/>
      <c r="M201" s="9" t="n"/>
      <c r="N201" s="9" t="n"/>
      <c r="O201" s="10" t="n"/>
      <c r="P201" s="10" t="n"/>
      <c r="Q201" s="10" t="n"/>
      <c r="R201" s="10" t="n"/>
      <c r="S201" s="10" t="n"/>
    </row>
    <row r="202" ht="193" customHeight="1">
      <c r="A202" s="6">
        <f>IFERROR(__xludf.DUMMYFUNCTION("""COMPUTED_VALUE"""),"EPFL: Ecole Polytechnique de Lausanne")</f>
        <v/>
      </c>
      <c r="B202" s="6">
        <f>IFERROR(__xludf.DUMMYFUNCTION("""COMPUTED_VALUE"""),"Resource")</f>
        <v/>
      </c>
      <c r="C202" s="6">
        <f>IFERROR(__xludf.DUMMYFUNCTION("""COMPUTED_VALUE"""),"Engineering and Technology")</f>
        <v/>
      </c>
      <c r="D202" s="7">
        <f>IFERROR(__xludf.DUMMYFUNCTION("""COMPUTED_VALUE"""),"As well as this broad subject area ranking, rankings are also available for the following individual Engineering &amp; Technology subjects: Computer Science &amp; Information Systems Chemical Engineering")</f>
        <v/>
      </c>
      <c r="E202" s="7">
        <f>IFERROR(__xludf.DUMMYFUNCTION("""COMPUTED_VALUE"""),"topuniversities.com: Provides university rankings and information on higher education institutions.")</f>
        <v/>
      </c>
      <c r="F202" s="7" t="inlineStr">
        <is>
          <t>No instructions provided; embedded artifacts include university rankings websites.</t>
        </is>
      </c>
      <c r="G202" s="8" t="n"/>
      <c r="H202" s="8" t="n"/>
      <c r="I202" s="8" t="n"/>
      <c r="J202" s="8" t="n"/>
      <c r="K202" s="9" t="n"/>
      <c r="L202" s="9" t="n"/>
      <c r="M202" s="9" t="n"/>
      <c r="N202" s="9" t="n"/>
      <c r="O202" s="10" t="n"/>
      <c r="P202" s="10" t="n"/>
      <c r="Q202" s="10" t="n"/>
      <c r="R202" s="10" t="n"/>
      <c r="S202" s="10" t="n"/>
    </row>
    <row r="203" ht="193" customHeight="1">
      <c r="A203" s="6">
        <f>IFERROR(__xludf.DUMMYFUNCTION("""COMPUTED_VALUE"""),"EPFL: Ecole Polytechnique de Lausanne")</f>
        <v/>
      </c>
      <c r="B203" s="6">
        <f>IFERROR(__xludf.DUMMYFUNCTION("""COMPUTED_VALUE"""),"Resource")</f>
        <v/>
      </c>
      <c r="C203" s="6">
        <f>IFERROR(__xludf.DUMMYFUNCTION("""COMPUTED_VALUE"""),"Engineering and Technology (1)")</f>
        <v/>
      </c>
      <c r="D203" s="7">
        <f>IFERROR(__xludf.DUMMYFUNCTION("""COMPUTED_VALUE"""),"As well as this broad subject area ranking, rankings are also available for the following individual Engineering &amp; Technology subjects: Computer Science &amp; Information Systems Chemical Engineering")</f>
        <v/>
      </c>
      <c r="E203" s="7">
        <f>IFERROR(__xludf.DUMMYFUNCTION("""COMPUTED_VALUE"""),"topuniversities.com: Provides university rankings and information on higher education institutions.")</f>
        <v/>
      </c>
      <c r="F203" s="7" t="inlineStr">
        <is>
          <t>No instructions provided; embedded artifacts include university rankings websites (topuniversities.com).</t>
        </is>
      </c>
      <c r="G203" s="8" t="n"/>
      <c r="H203" s="8" t="n"/>
      <c r="I203" s="8" t="n"/>
      <c r="J203" s="8" t="n"/>
      <c r="K203" s="9" t="n"/>
      <c r="L203" s="9" t="n"/>
      <c r="M203" s="9" t="n"/>
      <c r="N203" s="9" t="n"/>
      <c r="O203" s="10" t="n"/>
      <c r="P203" s="10" t="n"/>
      <c r="Q203" s="10" t="n"/>
      <c r="R203" s="10" t="n"/>
      <c r="S203" s="10" t="n"/>
    </row>
    <row r="204" ht="133" customHeight="1">
      <c r="A204" s="6">
        <f>IFERROR(__xludf.DUMMYFUNCTION("""COMPUTED_VALUE"""),"EPFL: Ecole Polytechnique de Lausanne")</f>
        <v/>
      </c>
      <c r="B204" s="6">
        <f>IFERROR(__xludf.DUMMYFUNCTION("""COMPUTED_VALUE"""),"Space")</f>
        <v/>
      </c>
      <c r="C204" s="6">
        <f>IFERROR(__xludf.DUMMYFUNCTION("""COMPUTED_VALUE"""),"A lab")</f>
        <v/>
      </c>
      <c r="D204" s="7">
        <f>IFERROR(__xludf.DUMMYFUNCTION("""COMPUTED_VALUE"""),"&lt;p&gt;This is a chapter&lt;/p&gt;")</f>
        <v/>
      </c>
      <c r="E204" s="7">
        <f>IFERROR(__xludf.DUMMYFUNCTION("""COMPUTED_VALUE"""),"No artifact embedded")</f>
        <v/>
      </c>
      <c r="F204" s="7" t="inlineStr">
        <is>
          <t>Students are tasked with ranking engineering subjects, with artifacts from topuniversities.com providing university rankings information.</t>
        </is>
      </c>
      <c r="G204" s="8" t="n"/>
      <c r="H204" s="8" t="n"/>
      <c r="I204" s="8" t="n"/>
      <c r="J204" s="8" t="n"/>
      <c r="K204" s="9" t="n"/>
      <c r="L204" s="9" t="n"/>
      <c r="M204" s="9" t="n"/>
      <c r="N204" s="9" t="n"/>
      <c r="O204" s="10" t="n"/>
      <c r="P204" s="10" t="n"/>
      <c r="Q204" s="10" t="n"/>
      <c r="R204" s="10" t="n"/>
      <c r="S204" s="10" t="n"/>
    </row>
    <row r="205" ht="409.6" customHeight="1">
      <c r="A205" s="6">
        <f>IFERROR(__xludf.DUMMYFUNCTION("""COMPUTED_VALUE"""),"EPFL: Ecole Polytechnique de Lausanne")</f>
        <v/>
      </c>
      <c r="B205" s="6">
        <f>IFERROR(__xludf.DUMMYFUNCTION("""COMPUTED_VALUE"""),"Application")</f>
        <v/>
      </c>
      <c r="C205" s="6">
        <f>IFERROR(__xludf.DUMMYFUNCTION("""COMPUTED_VALUE"""),"Pile Attraction")</f>
        <v/>
      </c>
      <c r="D205" s="7">
        <f>IFERROR(__xludf.DUMMYFUNCTION("""COMPUTED_VALUE"""),"No task description")</f>
        <v/>
      </c>
      <c r="E205" s="7">
        <f>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
      </c>
      <c r="F205" s="7" t="inlineStr">
        <is>
          <t>Students were given tasks with descriptions and embedded artifacts, including university rankings and interactive simulations.</t>
        </is>
      </c>
      <c r="G205" s="8" t="n"/>
      <c r="H205" s="8" t="n"/>
      <c r="I205" s="8" t="n"/>
      <c r="J205" s="8" t="n"/>
      <c r="K205" s="9" t="n"/>
      <c r="L205" s="9" t="n"/>
      <c r="M205" s="9" t="n"/>
      <c r="N205" s="9" t="n"/>
      <c r="O205" s="10" t="n"/>
      <c r="P205" s="10" t="n"/>
      <c r="Q205" s="10" t="n"/>
      <c r="R205" s="10" t="n"/>
      <c r="S205" s="10" t="n"/>
    </row>
    <row r="206" ht="109" customHeight="1">
      <c r="A206" s="6">
        <f>IFERROR(__xludf.DUMMYFUNCTION("""COMPUTED_VALUE"""),"EPFL: Ecole Polytechnique de Lausanne")</f>
        <v/>
      </c>
      <c r="B206" s="6">
        <f>IFERROR(__xludf.DUMMYFUNCTION("""COMPUTED_VALUE"""),"Space")</f>
        <v/>
      </c>
      <c r="C206" s="6">
        <f>IFERROR(__xludf.DUMMYFUNCTION("""COMPUTED_VALUE"""),"Chapter 5")</f>
        <v/>
      </c>
      <c r="D206" s="7">
        <f>IFERROR(__xludf.DUMMYFUNCTION("""COMPUTED_VALUE"""),"&lt;p&gt;This is a chapter&lt;/p&gt;")</f>
        <v/>
      </c>
      <c r="E206" s="7">
        <f>IFERROR(__xludf.DUMMYFUNCTION("""COMPUTED_VALUE"""),"No artifact embedded")</f>
        <v/>
      </c>
      <c r="F206" s="7" t="inlineStr">
        <is>
          <t>Students received task descriptions with some having interactive simulations, like Golabz app/lab, to explore gravitational forces.</t>
        </is>
      </c>
      <c r="G206" s="8" t="n"/>
      <c r="H206" s="8" t="n"/>
      <c r="I206" s="8" t="n"/>
      <c r="J206" s="8" t="n"/>
      <c r="K206" s="9" t="n"/>
      <c r="L206" s="9" t="n"/>
      <c r="M206" s="9" t="n"/>
      <c r="N206" s="9" t="n"/>
      <c r="O206" s="10" t="n"/>
      <c r="P206" s="10" t="n"/>
      <c r="Q206" s="10" t="n"/>
      <c r="R206" s="10" t="n"/>
      <c r="S206" s="10" t="n"/>
    </row>
    <row r="207" ht="97" customHeight="1">
      <c r="A207" s="6">
        <f>IFERROR(__xludf.DUMMYFUNCTION("""COMPUTED_VALUE"""),"EPFL: Ecole Polytechnique de Lausanne")</f>
        <v/>
      </c>
      <c r="B207" s="6">
        <f>IFERROR(__xludf.DUMMYFUNCTION("""COMPUTED_VALUE"""),"Resource")</f>
        <v/>
      </c>
      <c r="C207" s="6">
        <f>IFERROR(__xludf.DUMMYFUNCTION("""COMPUTED_VALUE"""),"Bruno Mars - Billionaire.mp3")</f>
        <v/>
      </c>
      <c r="D207" s="7">
        <f>IFERROR(__xludf.DUMMYFUNCTION("""COMPUTED_VALUE"""),"No task description")</f>
        <v/>
      </c>
      <c r="E207" s="7">
        <f>IFERROR(__xludf.DUMMYFUNCTION("""COMPUTED_VALUE"""),"audio/mpeg – A compressed audio file (MP3), commonly used for music, podcasts, and other audio recordings.")</f>
        <v/>
      </c>
      <c r="F207" s="7" t="inlineStr">
        <is>
          <t>Students received no task descriptions, but interacted with a gravity simulation and an MP3 audio file.</t>
        </is>
      </c>
      <c r="G207" s="8" t="n"/>
      <c r="H207" s="8" t="n"/>
      <c r="I207" s="8" t="n"/>
      <c r="J207" s="8" t="n"/>
      <c r="K207" s="9" t="n"/>
      <c r="L207" s="9" t="n"/>
      <c r="M207" s="9" t="n"/>
      <c r="N207" s="9" t="n"/>
      <c r="O207" s="10" t="n"/>
      <c r="P207" s="10" t="n"/>
      <c r="Q207" s="10" t="n"/>
      <c r="R207" s="10" t="n"/>
      <c r="S207" s="10" t="n"/>
    </row>
    <row r="208" ht="307" customHeight="1">
      <c r="A208" s="6">
        <f>IFERROR(__xludf.DUMMYFUNCTION("""COMPUTED_VALUE"""),"EPFL: Ecole Polytechnique de Lausanne")</f>
        <v/>
      </c>
      <c r="B208" s="6">
        <f>IFERROR(__xludf.DUMMYFUNCTION("""COMPUTED_VALUE"""),"Application")</f>
        <v/>
      </c>
      <c r="C208" s="6">
        <f>IFERROR(__xludf.DUMMYFUNCTION("""COMPUTED_VALUE"""),"Balancing Act App")</f>
        <v/>
      </c>
      <c r="D208" s="7">
        <f>IFERROR(__xludf.DUMMYFUNCTION("""COMPUTED_VALUE"""),"No task description")</f>
        <v/>
      </c>
      <c r="E208" s="7">
        <f>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
      </c>
      <c r="F208" s="7" t="inlineStr">
        <is>
          <t>Students were given task descriptions and artifacts, including an MP3 audio file and a lab simulation on balance using Golabz app.</t>
        </is>
      </c>
      <c r="G208" s="8" t="n"/>
      <c r="H208" s="8" t="n"/>
      <c r="I208" s="8" t="n"/>
      <c r="J208" s="8" t="n"/>
      <c r="K208" s="9" t="n"/>
      <c r="L208" s="9" t="n"/>
      <c r="M208" s="9" t="n"/>
      <c r="N208" s="9" t="n"/>
      <c r="O208" s="10" t="n"/>
      <c r="P208" s="10" t="n"/>
      <c r="Q208" s="10" t="n"/>
      <c r="R208" s="10" t="n"/>
      <c r="S208" s="10" t="n"/>
    </row>
    <row r="209" ht="109" customHeight="1">
      <c r="A209" s="6">
        <f>IFERROR(__xludf.DUMMYFUNCTION("""COMPUTED_VALUE"""),"EPFL: Ecole Polytechnique de Lausanne")</f>
        <v/>
      </c>
      <c r="B209" s="6">
        <f>IFERROR(__xludf.DUMMYFUNCTION("""COMPUTED_VALUE"""),"Resource")</f>
        <v/>
      </c>
      <c r="C209" s="6">
        <f>IFERROR(__xludf.DUMMYFUNCTION("""COMPUTED_VALUE"""),"SampleVideo_360x240_30mb.mp4")</f>
        <v/>
      </c>
      <c r="D209" s="7">
        <f>IFERROR(__xludf.DUMMYFUNCTION("""COMPUTED_VALUE"""),"No task description")</f>
        <v/>
      </c>
      <c r="E209" s="7">
        <f>IFERROR(__xludf.DUMMYFUNCTION("""COMPUTED_VALUE"""),"video/mp4 – A video file containing moving images and possibly audio, suitable for playback on most modern devices and platforms.")</f>
        <v/>
      </c>
      <c r="F209" s="7" t="inlineStr">
        <is>
          <t>No task descriptions; embedded artifacts include MP3 audio, a balance lab, and an MP4 video.</t>
        </is>
      </c>
      <c r="G209" s="8" t="n"/>
      <c r="H209" s="8" t="n"/>
      <c r="I209" s="8" t="n"/>
      <c r="J209" s="8" t="n"/>
      <c r="K209" s="9" t="n"/>
      <c r="L209" s="9" t="n"/>
      <c r="M209" s="9" t="n"/>
      <c r="N209" s="9" t="n"/>
      <c r="O209" s="10" t="n"/>
      <c r="P209" s="10" t="n"/>
      <c r="Q209" s="10" t="n"/>
      <c r="R209" s="10" t="n"/>
      <c r="S209" s="10" t="n"/>
    </row>
    <row r="210" ht="85" customHeight="1">
      <c r="A210" s="6">
        <f>IFERROR(__xludf.DUMMYFUNCTION("""COMPUTED_VALUE"""),"EPFL: Ecole Polytechnique de Lausanne")</f>
        <v/>
      </c>
      <c r="B210" s="6">
        <f>IFERROR(__xludf.DUMMYFUNCTION("""COMPUTED_VALUE"""),"Space")</f>
        <v/>
      </c>
      <c r="C210" s="6">
        <f>IFERROR(__xludf.DUMMYFUNCTION("""COMPUTED_VALUE"""),"App")</f>
        <v/>
      </c>
      <c r="D210" s="7">
        <f>IFERROR(__xludf.DUMMYFUNCTION("""COMPUTED_VALUE"""),"No task description")</f>
        <v/>
      </c>
      <c r="E210" s="7">
        <f>IFERROR(__xludf.DUMMYFUNCTION("""COMPUTED_VALUE"""),"No artifact embedded")</f>
        <v/>
      </c>
      <c r="F210" s="7" t="inlineStr">
        <is>
          <t>No task descriptions provided; artifacts include a balance lab, a video file, and no artifact in the third item.</t>
        </is>
      </c>
      <c r="G210" s="8" t="n"/>
      <c r="H210" s="8" t="n"/>
      <c r="I210" s="8" t="n"/>
      <c r="J210" s="8" t="n"/>
      <c r="K210" s="9" t="n"/>
      <c r="L210" s="9" t="n"/>
      <c r="M210" s="9" t="n"/>
      <c r="N210" s="9" t="n"/>
      <c r="O210" s="10" t="n"/>
      <c r="P210" s="10" t="n"/>
      <c r="Q210" s="10" t="n"/>
      <c r="R210" s="10" t="n"/>
      <c r="S210" s="10" t="n"/>
    </row>
    <row r="211" ht="409.6" customHeight="1">
      <c r="A211" s="6">
        <f>IFERROR(__xludf.DUMMYFUNCTION("""COMPUTED_VALUE"""),"EPFL: Ecole Polytechnique de Lausanne")</f>
        <v/>
      </c>
      <c r="B211" s="6">
        <f>IFERROR(__xludf.DUMMYFUNCTION("""COMPUTED_VALUE"""),"Application")</f>
        <v/>
      </c>
      <c r="C211" s="6">
        <f>IFERROR(__xludf.DUMMYFUNCTION("""COMPUTED_VALUE"""),"Calculator")</f>
        <v/>
      </c>
      <c r="D211" s="7">
        <f>IFERROR(__xludf.DUMMYFUNCTION("""COMPUTED_VALUE"""),"No task description")</f>
        <v/>
      </c>
      <c r="E211" s="7">
        <f>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
      </c>
      <c r="F211" s="7" t="inlineStr">
        <is>
          <t>No task descriptions provided. Embedded artifacts include a video file and a calculator app with standard and advanced modes.</t>
        </is>
      </c>
      <c r="G211" s="8" t="n"/>
      <c r="H211" s="8" t="n"/>
      <c r="I211" s="8" t="n"/>
      <c r="J211" s="8" t="n"/>
      <c r="K211" s="9" t="n"/>
      <c r="L211" s="9" t="n"/>
      <c r="M211" s="9" t="n"/>
      <c r="N211" s="9" t="n"/>
      <c r="O211" s="10" t="n"/>
      <c r="P211" s="10" t="n"/>
      <c r="Q211" s="10" t="n"/>
      <c r="R211" s="10" t="n"/>
      <c r="S211" s="10" t="n"/>
    </row>
    <row r="212" ht="157" customHeight="1">
      <c r="A212" s="6">
        <f>IFERROR(__xludf.DUMMYFUNCTION("""COMPUTED_VALUE"""),"EPFL: Ecole Polytechnique de Lausanne")</f>
        <v/>
      </c>
      <c r="B212" s="6">
        <f>IFERROR(__xludf.DUMMYFUNCTION("""COMPUTED_VALUE"""),"Application")</f>
        <v/>
      </c>
      <c r="C212" s="6">
        <f>IFERROR(__xludf.DUMMYFUNCTION("""COMPUTED_VALUE"""),"sketch")</f>
        <v/>
      </c>
      <c r="D212" s="7">
        <f>IFERROR(__xludf.DUMMYFUNCTION("""COMPUTED_VALUE"""),"No task description")</f>
        <v/>
      </c>
      <c r="E212" s="7">
        <f>IFERROR(__xludf.DUMMYFUNCTION("""COMPUTED_VALUE"""),"Golabz app/lab: ""&lt;p&gt;A drawing-based learning environment for the gears domain. The primary aims of the lab are: Let students to explore the ways in which gears and chains transmit motion.&lt;/p&gt;\r\n""")</f>
        <v/>
      </c>
      <c r="F212" s="7" t="inlineStr">
        <is>
          <t>No task descriptions, but embedded artifacts include a calculator app and a gear-themed drawing lab.</t>
        </is>
      </c>
      <c r="G212" s="8" t="n"/>
      <c r="H212" s="8" t="n"/>
      <c r="I212" s="8" t="n"/>
      <c r="J212" s="8" t="n"/>
      <c r="K212" s="9" t="n"/>
      <c r="L212" s="9" t="n"/>
      <c r="M212" s="9" t="n"/>
      <c r="N212" s="9" t="n"/>
      <c r="O212" s="10" t="n"/>
      <c r="P212" s="10" t="n"/>
      <c r="Q212" s="10" t="n"/>
      <c r="R212" s="10" t="n"/>
      <c r="S212" s="10" t="n"/>
    </row>
    <row r="213" ht="157" customHeight="1">
      <c r="A213" s="6">
        <f>IFERROR(__xludf.DUMMYFUNCTION("""COMPUTED_VALUE"""),"EPFL: Ecole Polytechnique de Lausanne")</f>
        <v/>
      </c>
      <c r="B213" s="6">
        <f>IFERROR(__xludf.DUMMYFUNCTION("""COMPUTED_VALUE"""),"Application")</f>
        <v/>
      </c>
      <c r="C213" s="6">
        <f>IFERROR(__xludf.DUMMYFUNCTION("""COMPUTED_VALUE"""),"File Drop")</f>
        <v/>
      </c>
      <c r="D213" s="7">
        <f>IFERROR(__xludf.DUMMYFUNCTION("""COMPUTED_VALUE"""),"No task description")</f>
        <v/>
      </c>
      <c r="E213" s="7">
        <f>IFERROR(__xludf.DUMMYFUNCTION("""COMPUTED_VALUE"""),"Golabz app/lab: ""&lt;p&gt;This app allows students to upload files, e.g., assignment and reports, to the Inquiry learning Space. The app also allows teachers to download the uploaded files.&lt;/p&gt;\r\n""")</f>
        <v/>
      </c>
      <c r="F213" s="7" t="inlineStr">
        <is>
          <t>No task descriptions are provided; embedded artifacts include calculator, gears lab, and file uploader apps.</t>
        </is>
      </c>
      <c r="G213" s="8" t="n"/>
      <c r="H213" s="8" t="n"/>
      <c r="I213" s="8" t="n"/>
      <c r="J213" s="8" t="n"/>
      <c r="K213" s="9" t="n"/>
      <c r="L213" s="9" t="n"/>
      <c r="M213" s="9" t="n"/>
      <c r="N213" s="9" t="n"/>
      <c r="O213" s="10" t="n"/>
      <c r="P213" s="10" t="n"/>
      <c r="Q213" s="10" t="n"/>
      <c r="R213" s="10" t="n"/>
      <c r="S213" s="10" t="n"/>
    </row>
    <row r="214" ht="409.6" customHeight="1">
      <c r="A214" s="6">
        <f>IFERROR(__xludf.DUMMYFUNCTION("""COMPUTED_VALUE"""),"EPFL: Ecole Polytechnique de Lausanne")</f>
        <v/>
      </c>
      <c r="B214" s="6">
        <f>IFERROR(__xludf.DUMMYFUNCTION("""COMPUTED_VALUE"""),"Application")</f>
        <v/>
      </c>
      <c r="C214" s="6">
        <f>IFERROR(__xludf.DUMMYFUNCTION("""COMPUTED_VALUE"""),"SpeakUp")</f>
        <v/>
      </c>
      <c r="D214" s="7">
        <f>IFERROR(__xludf.DUMMYFUNCTION("""COMPUTED_VALUE"""),"No task description")</f>
        <v/>
      </c>
      <c r="E21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14" s="7" t="inlineStr">
        <is>
          <t>No task descriptions provided; embedded artifacts include Golabz labs for gears, file uploads, and social discussions.</t>
        </is>
      </c>
      <c r="G214" s="8" t="n"/>
      <c r="H214" s="8" t="n"/>
      <c r="I214" s="8" t="n"/>
      <c r="J214" s="8" t="n"/>
      <c r="K214" s="9" t="n"/>
      <c r="L214" s="9" t="n"/>
      <c r="M214" s="9" t="n"/>
      <c r="N214" s="9" t="n"/>
      <c r="O214" s="10" t="n"/>
      <c r="P214" s="10" t="n"/>
      <c r="Q214" s="10" t="n"/>
      <c r="R214" s="10" t="n"/>
      <c r="S214" s="10" t="n"/>
    </row>
    <row r="215" ht="133" customHeight="1">
      <c r="A215" s="6">
        <f>IFERROR(__xludf.DUMMYFUNCTION("""COMPUTED_VALUE"""),"EPFL: Ecole Polytechnique de Lausanne")</f>
        <v/>
      </c>
      <c r="B215" s="6">
        <f>IFERROR(__xludf.DUMMYFUNCTION("""COMPUTED_VALUE"""),"Application")</f>
        <v/>
      </c>
      <c r="C215" s="6">
        <f>IFERROR(__xludf.DUMMYFUNCTION("""COMPUTED_VALUE"""),"SpeakUp")</f>
        <v/>
      </c>
      <c r="D215" s="7">
        <f>IFERROR(__xludf.DUMMYFUNCTION("""COMPUTED_VALUE"""),"No task description")</f>
        <v/>
      </c>
      <c r="E215" s="7">
        <f>IFERROR(__xludf.DUMMYFUNCTION("""COMPUTED_VALUE"""),"No artifact embedded")</f>
        <v/>
      </c>
      <c r="F215" s="7" t="inlineStr">
        <is>
          <t>No task descriptions are provided. Embedded artifacts include Golabz apps: file uploader and SpeakUp for social discussions and polls.</t>
        </is>
      </c>
      <c r="G215" s="8" t="n"/>
      <c r="H215" s="8" t="n"/>
      <c r="I215" s="8" t="n"/>
      <c r="J215" s="8" t="n"/>
      <c r="K215" s="9" t="n"/>
      <c r="L215" s="9" t="n"/>
      <c r="M215" s="9" t="n"/>
      <c r="N215" s="9" t="n"/>
      <c r="O215" s="10" t="n"/>
      <c r="P215" s="10" t="n"/>
      <c r="Q215" s="10" t="n"/>
      <c r="R215" s="10" t="n"/>
      <c r="S215" s="10" t="n"/>
    </row>
    <row r="216" ht="307" customHeight="1">
      <c r="A216" s="6">
        <f>IFERROR(__xludf.DUMMYFUNCTION("""COMPUTED_VALUE"""),"EPFL: Ecole Polytechnique de Lausanne")</f>
        <v/>
      </c>
      <c r="B216" s="6">
        <f>IFERROR(__xludf.DUMMYFUNCTION("""COMPUTED_VALUE"""),"Resource")</f>
        <v/>
      </c>
      <c r="C216" s="6">
        <f>IFERROR(__xludf.DUMMYFUNCTION("""COMPUTED_VALUE"""),"Accueil")</f>
        <v/>
      </c>
      <c r="D216" s="7">
        <f>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
      </c>
      <c r="E216" s="7">
        <f>IFERROR(__xludf.DUMMYFUNCTION("""COMPUTED_VALUE"""),"No artifact embedded")</f>
        <v/>
      </c>
      <c r="F216" s="7" t="inlineStr">
        <is>
          <t>No task descriptions provided. Embedded artifacts include SpeakUp app description in Item1 and none in Items 2 and 3.</t>
        </is>
      </c>
      <c r="G216" s="8" t="n"/>
      <c r="H216" s="8" t="n"/>
      <c r="I216" s="8" t="n"/>
      <c r="J216" s="8" t="n"/>
      <c r="K216" s="9" t="n"/>
      <c r="L216" s="9" t="n"/>
      <c r="M216" s="9" t="n"/>
      <c r="N216" s="9" t="n"/>
      <c r="O216" s="10" t="n"/>
      <c r="P216" s="10" t="n"/>
      <c r="Q216" s="10" t="n"/>
      <c r="R216" s="10" t="n"/>
      <c r="S216" s="10" t="n"/>
    </row>
    <row r="217" ht="121" customHeight="1">
      <c r="A217" s="6">
        <f>IFERROR(__xludf.DUMMYFUNCTION("""COMPUTED_VALUE"""),"EPFL: Ecole Polytechnique de Lausanne")</f>
        <v/>
      </c>
      <c r="B217" s="6">
        <f>IFERROR(__xludf.DUMMYFUNCTION("""COMPUTED_VALUE"""),"Space")</f>
        <v/>
      </c>
      <c r="C217" s="6">
        <f>IFERROR(__xludf.DUMMYFUNCTION("""COMPUTED_VALUE"""),"objects")</f>
        <v/>
      </c>
      <c r="D217" s="7">
        <f>IFERROR(__xludf.DUMMYFUNCTION("""COMPUTED_VALUE"""),"No task description")</f>
        <v/>
      </c>
      <c r="E217" s="7">
        <f>IFERROR(__xludf.DUMMYFUNCTION("""COMPUTED_VALUE"""),"No artifact embedded")</f>
        <v/>
      </c>
      <c r="F217" s="7" t="inlineStr">
        <is>
          <t>No task descriptions or artifacts are provided for Items 1 and 3. Item 2 describes EPFL, a Swiss university, with no embedded artifact.</t>
        </is>
      </c>
      <c r="G217" s="8" t="n"/>
      <c r="H217" s="8" t="n"/>
      <c r="I217" s="8" t="n"/>
      <c r="J217" s="8" t="n"/>
      <c r="K217" s="9" t="n"/>
      <c r="L217" s="9" t="n"/>
      <c r="M217" s="9" t="n"/>
      <c r="N217" s="9" t="n"/>
      <c r="O217" s="10" t="n"/>
      <c r="P217" s="10" t="n"/>
      <c r="Q217" s="10" t="n"/>
      <c r="R217" s="10" t="n"/>
      <c r="S217" s="10" t="n"/>
    </row>
    <row r="218" ht="97" customHeight="1">
      <c r="A218" s="6">
        <f>IFERROR(__xludf.DUMMYFUNCTION("""COMPUTED_VALUE"""),"EPFL: Ecole Polytechnique de Lausanne")</f>
        <v/>
      </c>
      <c r="B218" s="6">
        <f>IFERROR(__xludf.DUMMYFUNCTION("""COMPUTED_VALUE"""),"Resource")</f>
        <v/>
      </c>
      <c r="C218" s="6">
        <f>IFERROR(__xludf.DUMMYFUNCTION("""COMPUTED_VALUE"""),"Weiterleitungshinweis")</f>
        <v/>
      </c>
      <c r="D218" s="7">
        <f>IFERROR(__xludf.DUMMYFUNCTION("""COMPUTED_VALUE"""),"No task description")</f>
        <v/>
      </c>
      <c r="E218" s="7">
        <f>IFERROR(__xludf.DUMMYFUNCTION("""COMPUTED_VALUE"""),"google.com: A search engine that also provides various services, including image searches.")</f>
        <v/>
      </c>
      <c r="F218" s="7" t="inlineStr">
        <is>
          <t>Students received no instructions; artifacts include a Swiss university description and a Google search engine description.</t>
        </is>
      </c>
      <c r="G218" s="8" t="n"/>
      <c r="H218" s="8" t="n"/>
      <c r="I218" s="8" t="n"/>
      <c r="J218" s="8" t="n"/>
      <c r="K218" s="9" t="n"/>
      <c r="L218" s="9" t="n"/>
      <c r="M218" s="9" t="n"/>
      <c r="N218" s="9" t="n"/>
      <c r="O218" s="10" t="n"/>
      <c r="P218" s="10" t="n"/>
      <c r="Q218" s="10" t="n"/>
      <c r="R218" s="10" t="n"/>
      <c r="S218" s="10" t="n"/>
    </row>
    <row r="219" ht="109" customHeight="1">
      <c r="A219" s="6">
        <f>IFERROR(__xludf.DUMMYFUNCTION("""COMPUTED_VALUE"""),"EPFL: Ecole Polytechnique de Lausanne")</f>
        <v/>
      </c>
      <c r="B219" s="6">
        <f>IFERROR(__xludf.DUMMYFUNCTION("""COMPUTED_VALUE"""),"Resource")</f>
        <v/>
      </c>
      <c r="C219" s="6">
        <f>IFERROR(__xludf.DUMMYFUNCTION("""COMPUTED_VALUE"""),"wfd.html")</f>
        <v/>
      </c>
      <c r="D219" s="7">
        <f>IFERROR(__xludf.DUMMYFUNCTION("""COMPUTED_VALUE"""),"&lt;h1&gt;Hello !!!!&lt;/h1&gt;  &lt;div style=""background:red""&gt;&lt;/div&gt;&lt;h1&gt;Hello !!!!&lt;/h1&gt;  &lt;div style=""background:red""&gt;wef&lt;/div&gt;")</f>
        <v/>
      </c>
      <c r="E219" s="7">
        <f>IFERROR(__xludf.DUMMYFUNCTION("""COMPUTED_VALUE"""),"text/html – A webpage or web document that contains structured text, images, and links, designed for display in a web browser.")</f>
        <v/>
      </c>
      <c r="F219" s="7" t="inlineStr">
        <is>
          <t>Students received no task descriptions, but artifacts included a search engine and a webpage with structured text and images.</t>
        </is>
      </c>
      <c r="G219" s="8" t="n"/>
      <c r="H219" s="8" t="n"/>
      <c r="I219" s="8" t="n"/>
      <c r="J219" s="8" t="n"/>
      <c r="K219" s="9" t="n"/>
      <c r="L219" s="9" t="n"/>
      <c r="M219" s="9" t="n"/>
      <c r="N219" s="9" t="n"/>
      <c r="O219" s="10" t="n"/>
      <c r="P219" s="10" t="n"/>
      <c r="Q219" s="10" t="n"/>
      <c r="R219" s="10" t="n"/>
      <c r="S219" s="10" t="n"/>
    </row>
    <row r="220" ht="121" customHeight="1">
      <c r="A220" s="6">
        <f>IFERROR(__xludf.DUMMYFUNCTION("""COMPUTED_VALUE"""),"EPFL: Ecole Polytechnique de Lausanne")</f>
        <v/>
      </c>
      <c r="B220" s="6">
        <f>IFERROR(__xludf.DUMMYFUNCTION("""COMPUTED_VALUE"""),"Resource")</f>
        <v/>
      </c>
      <c r="C220" s="6">
        <f>IFERROR(__xludf.DUMMYFUNCTION("""COMPUTED_VALUE"""),"New Link")</f>
        <v/>
      </c>
      <c r="D220" s="7">
        <f>IFERROR(__xludf.DUMMYFUNCTION("""COMPUTED_VALUE"""),"No task description")</f>
        <v/>
      </c>
      <c r="E220" s="7">
        <f>IFERROR(__xludf.DUMMYFUNCTION("""COMPUTED_VALUE"""),"medium.com: A platform for writers to share articles and stories, often accompanied by images hosted on subdomains like cdn-images-1.medium.com.")</f>
        <v/>
      </c>
      <c r="F220" s="7" t="inlineStr">
        <is>
          <t>Students received incomplete tasks with embedded artifacts describing websites: google.com, text/html webpages, and medium.com.</t>
        </is>
      </c>
      <c r="G220" s="8" t="n"/>
      <c r="H220" s="8" t="n"/>
      <c r="I220" s="8" t="n"/>
      <c r="J220" s="8" t="n"/>
      <c r="K220" s="9" t="n"/>
      <c r="L220" s="9" t="n"/>
      <c r="M220" s="9" t="n"/>
      <c r="N220" s="9" t="n"/>
      <c r="O220" s="10" t="n"/>
      <c r="P220" s="10" t="n"/>
      <c r="Q220" s="10" t="n"/>
      <c r="R220" s="10" t="n"/>
      <c r="S220" s="10" t="n"/>
    </row>
    <row r="221" ht="409.6" customHeight="1">
      <c r="A221" s="6">
        <f>IFERROR(__xludf.DUMMYFUNCTION("""COMPUTED_VALUE"""),"EPFL: Ecole Polytechnique de Lausanne")</f>
        <v/>
      </c>
      <c r="B221" s="6">
        <f>IFERROR(__xludf.DUMMYFUNCTION("""COMPUTED_VALUE"""),"Resource")</f>
        <v/>
      </c>
      <c r="C221" s="6">
        <f>IFERROR(__xludf.DUMMYFUNCTION("""COMPUTED_VALUE"""),"werfd.txt")</f>
        <v/>
      </c>
      <c r="D221" s="7">
        <f>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
      </c>
      <c r="E221" s="7">
        <f>IFERROR(__xludf.DUMMYFUNCTION("""COMPUTED_VALUE"""),"text/plain – A simple text file containing unformatted text, often used for notes, logs, or source code.")</f>
        <v/>
      </c>
      <c r="F221" s="7" t="inlineStr">
        <is>
          <t>Students are given tasks with embedded artifacts, including webpages and articles, to guide them in evaluating cat performance reviews using the SBI model.</t>
        </is>
      </c>
      <c r="G221" s="8" t="n"/>
      <c r="H221" s="8" t="n"/>
      <c r="I221" s="8" t="n"/>
      <c r="J221" s="8" t="n"/>
      <c r="K221" s="9" t="n"/>
      <c r="L221" s="9" t="n"/>
      <c r="M221" s="9" t="n"/>
      <c r="N221" s="9" t="n"/>
      <c r="O221" s="10" t="n"/>
      <c r="P221" s="10" t="n"/>
      <c r="Q221" s="10" t="n"/>
      <c r="R221" s="10" t="n"/>
      <c r="S221" s="10" t="n"/>
    </row>
    <row r="222" ht="205" customHeight="1">
      <c r="A222" s="6">
        <f>IFERROR(__xludf.DUMMYFUNCTION("""COMPUTED_VALUE"""),"Modeling-based Estimation Learning Environment - MEttLE")</f>
        <v/>
      </c>
      <c r="B222" s="6">
        <f>IFERROR(__xludf.DUMMYFUNCTION("""COMPUTED_VALUE"""),"Space")</f>
        <v/>
      </c>
      <c r="C222" s="6">
        <f>IFERROR(__xludf.DUMMYFUNCTION("""COMPUTED_VALUE"""),"Introduction")</f>
        <v/>
      </c>
      <c r="D222" s="7">
        <f>IFERROR(__xludf.DUMMYFUNCTION("""COMPUTED_VALUE"""),"&lt;p&gt;In MEttLE you will:&lt;/p&gt;&lt;p&gt;1) Solve this estimation problem.&lt;/p&gt;&lt;p&gt;2) Learn the process of solving such estimation problems.&lt;/p&gt;&lt;p&gt;You can swipe up the ""Tools"" tab at the bottom of the page to add your notes at any time.&lt;/p&gt;")</f>
        <v/>
      </c>
      <c r="E222" s="7">
        <f>IFERROR(__xludf.DUMMYFUNCTION("""COMPUTED_VALUE"""),"No artifact embedded")</f>
        <v/>
      </c>
      <c r="F222" s="7" t="inlineStr">
        <is>
          <t>Students received task descriptions and embedded artifacts, including a Medium article on cat performance reviews and a text file.</t>
        </is>
      </c>
      <c r="G222" s="8" t="n"/>
      <c r="H222" s="8" t="n"/>
      <c r="I222" s="8" t="n"/>
      <c r="J222" s="8" t="n"/>
      <c r="K222" s="9" t="n"/>
      <c r="L222" s="9" t="n"/>
      <c r="M222" s="9" t="n"/>
      <c r="N222" s="9" t="n"/>
      <c r="O222" s="10" t="n"/>
      <c r="P222" s="10" t="n"/>
      <c r="Q222" s="10" t="n"/>
      <c r="R222" s="10" t="n"/>
      <c r="S222" s="10" t="n"/>
    </row>
    <row r="223" ht="133" customHeight="1">
      <c r="A223" s="6">
        <f>IFERROR(__xludf.DUMMYFUNCTION("""COMPUTED_VALUE"""),"Modeling-based Estimation Learning Environment - MEttLE")</f>
        <v/>
      </c>
      <c r="B223" s="6">
        <f>IFERROR(__xludf.DUMMYFUNCTION("""COMPUTED_VALUE"""),"Resource")</f>
        <v/>
      </c>
      <c r="C223" s="6">
        <f>IFERROR(__xludf.DUMMYFUNCTION("""COMPUTED_VALUE"""),"EstiMap")</f>
        <v/>
      </c>
      <c r="D223" s="7">
        <f>IFERROR(__xludf.DUMMYFUNCTION("""COMPUTED_VALUE"""),"&lt;p&gt;This map describes the process you will follow to solve the estimation problem&lt;/p&gt;")</f>
        <v/>
      </c>
      <c r="E223" s="7">
        <f>IFERROR(__xludf.DUMMYFUNCTION("""COMPUTED_VALUE"""),"image/png – A high-quality image with support for transparency, often used in design and web applications.")</f>
        <v/>
      </c>
      <c r="F223" s="7" t="inlineStr">
        <is>
          <t>Students are guided on evaluating cat performance, providing feedback using SBI model. Embedded artifacts include text files and images.</t>
        </is>
      </c>
      <c r="G223" s="8" t="n"/>
      <c r="H223" s="8" t="n"/>
      <c r="I223" s="8" t="n"/>
      <c r="J223" s="8" t="n"/>
      <c r="K223" s="9" t="n"/>
      <c r="L223" s="9" t="n"/>
      <c r="M223" s="9" t="n"/>
      <c r="N223" s="9" t="n"/>
      <c r="O223" s="10" t="n"/>
      <c r="P223" s="10" t="n"/>
      <c r="Q223" s="10" t="n"/>
      <c r="R223" s="10" t="n"/>
      <c r="S223" s="10" t="n"/>
    </row>
    <row r="224" ht="109" customHeight="1">
      <c r="A224" s="6">
        <f>IFERROR(__xludf.DUMMYFUNCTION("""COMPUTED_VALUE"""),"Modeling-based Estimation Learning Environment - MEttLE")</f>
        <v/>
      </c>
      <c r="B224" s="6">
        <f>IFERROR(__xludf.DUMMYFUNCTION("""COMPUTED_VALUE"""),"Space")</f>
        <v/>
      </c>
      <c r="C224" s="6">
        <f>IFERROR(__xludf.DUMMYFUNCTION("""COMPUTED_VALUE"""),"Functional Modeling")</f>
        <v/>
      </c>
      <c r="D224" s="7">
        <f>IFERROR(__xludf.DUMMYFUNCTION("""COMPUTED_VALUE"""),"&lt;p&gt;In this first phase of estimation, you will create a functional model of the electric car that you can use to estimate power.&lt;/p&gt;")</f>
        <v/>
      </c>
      <c r="E224" s="7">
        <f>IFERROR(__xludf.DUMMYFUNCTION("""COMPUTED_VALUE"""),"No artifact embedded")</f>
        <v/>
      </c>
      <c r="F224" s="7" t="inlineStr">
        <is>
          <t>Students solve estimation problems and learn the process. Embedded artifacts include a high-quality PNG image.</t>
        </is>
      </c>
      <c r="G224" s="8" t="n"/>
      <c r="H224" s="8" t="n"/>
      <c r="I224" s="8" t="n"/>
      <c r="J224" s="8" t="n"/>
      <c r="K224" s="9" t="n"/>
      <c r="L224" s="9" t="n"/>
      <c r="M224" s="9" t="n"/>
      <c r="N224" s="9" t="n"/>
      <c r="O224" s="10" t="n"/>
      <c r="P224" s="10" t="n"/>
      <c r="Q224" s="10" t="n"/>
      <c r="R224" s="10" t="n"/>
      <c r="S224" s="10" t="n"/>
    </row>
    <row r="225" ht="109" customHeight="1">
      <c r="A225" s="6">
        <f>IFERROR(__xludf.DUMMYFUNCTION("""COMPUTED_VALUE"""),"Modeling-based Estimation Learning Environment - MEttLE")</f>
        <v/>
      </c>
      <c r="B225" s="6">
        <f>IFERROR(__xludf.DUMMYFUNCTION("""COMPUTED_VALUE"""),"Resource")</f>
        <v/>
      </c>
      <c r="C225" s="6">
        <f>IFERROR(__xludf.DUMMYFUNCTION("""COMPUTED_VALUE"""),"EstiMap")</f>
        <v/>
      </c>
      <c r="D225" s="7">
        <f>IFERROR(__xludf.DUMMYFUNCTION("""COMPUTED_VALUE"""),"&lt;p&gt;This is where you are in the estimation process&lt;/p&gt;")</f>
        <v/>
      </c>
      <c r="E225" s="7">
        <f>IFERROR(__xludf.DUMMYFUNCTION("""COMPUTED_VALUE"""),"image/png – A high-quality image with support for transparency, often used in design and web applications.")</f>
        <v/>
      </c>
      <c r="F225" s="7" t="inlineStr">
        <is>
          <t>Students follow a 3-item process to solve an estimation problem, with Items 1 and 3 including embedded PNG images.</t>
        </is>
      </c>
      <c r="G225" s="8" t="n"/>
      <c r="H225" s="8" t="n"/>
      <c r="I225" s="8" t="n"/>
      <c r="J225" s="8" t="n"/>
      <c r="K225" s="9" t="n"/>
      <c r="L225" s="9" t="n"/>
      <c r="M225" s="9" t="n"/>
      <c r="N225" s="9" t="n"/>
      <c r="O225" s="10" t="n"/>
      <c r="P225" s="10" t="n"/>
      <c r="Q225" s="10" t="n"/>
      <c r="R225" s="10" t="n"/>
      <c r="S225" s="10" t="n"/>
    </row>
    <row r="226" ht="409.6" customHeight="1">
      <c r="A226" s="6">
        <f>IFERROR(__xludf.DUMMYFUNCTION("""COMPUTED_VALUE"""),"Modeling-based Estimation Learning Environment - MEttLE")</f>
        <v/>
      </c>
      <c r="B226" s="6">
        <f>IFERROR(__xludf.DUMMYFUNCTION("""COMPUTED_VALUE"""),"Application")</f>
        <v/>
      </c>
      <c r="C226" s="6">
        <f>IFERROR(__xludf.DUMMYFUNCTION("""COMPUTED_VALUE"""),"Word Bag")</f>
        <v/>
      </c>
      <c r="D226" s="7">
        <f>IFERROR(__xludf.DUMMYFUNCTION("""COMPUTED_VALUE"""),"&lt;p&gt;Create a sentence using the words below that describes how an electric car runs. This is the functional model of the electric car. You can use the reference material and scratch pads given below.&lt;/p&gt;")</f>
        <v/>
      </c>
      <c r="E22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26" s="7" t="inlineStr">
        <is>
          <t>Students create a functional model of an electric car and estimate power using given tasks and tools, with embedded artifacts including images and interactive scratchpads.</t>
        </is>
      </c>
      <c r="G226" s="8" t="n"/>
      <c r="H226" s="8" t="n"/>
      <c r="I226" s="8" t="n"/>
      <c r="J226" s="8" t="n"/>
      <c r="K226" s="9" t="n"/>
      <c r="L226" s="9" t="n"/>
      <c r="M226" s="9" t="n"/>
      <c r="N226" s="9" t="n"/>
      <c r="O226" s="10" t="n"/>
      <c r="P226" s="10" t="n"/>
      <c r="Q226" s="10" t="n"/>
      <c r="R226" s="10" t="n"/>
      <c r="S226" s="10" t="n"/>
    </row>
    <row r="227" ht="274" customHeight="1">
      <c r="A227" s="6">
        <f>IFERROR(__xludf.DUMMYFUNCTION("""COMPUTED_VALUE"""),"Modeling-based Estimation Learning Environment - MEttLE")</f>
        <v/>
      </c>
      <c r="B227" s="6">
        <f>IFERROR(__xludf.DUMMYFUNCTION("""COMPUTED_VALUE"""),"Application")</f>
        <v/>
      </c>
      <c r="C227" s="6">
        <f>IFERROR(__xludf.DUMMYFUNCTION("""COMPUTED_VALUE"""),"Evaluate your model")</f>
        <v/>
      </c>
      <c r="D227" s="7">
        <f>IFERROR(__xludf.DUMMYFUNCTION("""COMPUTED_VALUE"""),"&lt;p&gt;Let's evaluate whether your functional model is useful for estimating power. &lt;/p&gt;")</f>
        <v/>
      </c>
      <c r="E22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7" s="7" t="inlineStr">
        <is>
          <t>Students are given tasks with descriptions and embedded artifacts, including images, scratchpads, and quizzes.</t>
        </is>
      </c>
      <c r="G227" s="8" t="n"/>
      <c r="H227" s="8" t="n"/>
      <c r="I227" s="8" t="n"/>
      <c r="J227" s="8" t="n"/>
      <c r="K227" s="9" t="n"/>
      <c r="L227" s="9" t="n"/>
      <c r="M227" s="9" t="n"/>
      <c r="N227" s="9" t="n"/>
      <c r="O227" s="10" t="n"/>
      <c r="P227" s="10" t="n"/>
      <c r="Q227" s="10" t="n"/>
      <c r="R227" s="10" t="n"/>
      <c r="S227" s="10" t="n"/>
    </row>
    <row r="228" ht="181" customHeight="1">
      <c r="A228" s="6">
        <f>IFERROR(__xludf.DUMMYFUNCTION("""COMPUTED_VALUE"""),"Modeling-based Estimation Learning Environment - MEttLE")</f>
        <v/>
      </c>
      <c r="B228" s="6">
        <f>IFERROR(__xludf.DUMMYFUNCTION("""COMPUTED_VALUE"""),"Resource")</f>
        <v/>
      </c>
      <c r="C228" s="6">
        <f>IFERROR(__xludf.DUMMYFUNCTION("""COMPUTED_VALUE"""),"A utilizable functional model")</f>
        <v/>
      </c>
      <c r="D228" s="7">
        <f>IFERROR(__xludf.DUMMYFUNCTION("""COMPUTED_VALUE"""),"&lt;p&gt;Here is a functional model that you can use to estimate power.&lt;/p&gt;")</f>
        <v/>
      </c>
      <c r="E228" s="7">
        <f>IFERROR(__xludf.DUMMYFUNCTION("""COMPUTED_VALUE"""),"text/html – A webpage or web document that contains structured text, images, and links, designed for display in a web browser.")</f>
        <v/>
      </c>
      <c r="F228" s="7" t="inlineStr">
        <is>
          <t>Students create sentences describing electric cars, evaluate models, and use tools like Hypothesis Scratchpad and quizzes. Embedded artifacts include Golabz apps and a webpage with structured text and images.</t>
        </is>
      </c>
      <c r="G228" s="8" t="n"/>
      <c r="H228" s="8" t="n"/>
      <c r="I228" s="8" t="n"/>
      <c r="J228" s="8" t="n"/>
      <c r="K228" s="9" t="n"/>
      <c r="L228" s="9" t="n"/>
      <c r="M228" s="9" t="n"/>
      <c r="N228" s="9" t="n"/>
      <c r="O228" s="10" t="n"/>
      <c r="P228" s="10" t="n"/>
      <c r="Q228" s="10" t="n"/>
      <c r="R228" s="10" t="n"/>
      <c r="S228" s="10" t="n"/>
    </row>
    <row r="229" ht="274" customHeight="1">
      <c r="A229" s="6">
        <f>IFERROR(__xludf.DUMMYFUNCTION("""COMPUTED_VALUE"""),"Modeling-based Estimation Learning Environment - MEttLE")</f>
        <v/>
      </c>
      <c r="B229" s="6">
        <f>IFERROR(__xludf.DUMMYFUNCTION("""COMPUTED_VALUE"""),"Application")</f>
        <v/>
      </c>
      <c r="C229" s="6">
        <f>IFERROR(__xludf.DUMMYFUNCTION("""COMPUTED_VALUE"""),"Reflect and plan")</f>
        <v/>
      </c>
      <c r="D229" s="7">
        <f>IFERROR(__xludf.DUMMYFUNCTION("""COMPUTED_VALUE"""),"&lt;p&gt;Here you will reflect on what you did in this phase and what you intend to do next.&lt;/p&gt;")</f>
        <v/>
      </c>
      <c r="E22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9" s="7" t="inlineStr">
        <is>
          <t>Students evaluate a functional model, estimate power, and reflect on their process using embedded artifacts like webpages and Golabz app/lab quizzes.</t>
        </is>
      </c>
      <c r="G229" s="8" t="n"/>
      <c r="H229" s="8" t="n"/>
      <c r="I229" s="8" t="n"/>
      <c r="J229" s="8" t="n"/>
      <c r="K229" s="9" t="n"/>
      <c r="L229" s="9" t="n"/>
      <c r="M229" s="9" t="n"/>
      <c r="N229" s="9" t="n"/>
      <c r="O229" s="10" t="n"/>
      <c r="P229" s="10" t="n"/>
      <c r="Q229" s="10" t="n"/>
      <c r="R229" s="10" t="n"/>
      <c r="S229" s="10" t="n"/>
    </row>
    <row r="230" ht="109" customHeight="1">
      <c r="A230" s="6">
        <f>IFERROR(__xludf.DUMMYFUNCTION("""COMPUTED_VALUE"""),"Modeling-based Estimation Learning Environment - MEttLE")</f>
        <v/>
      </c>
      <c r="B230" s="6">
        <f>IFERROR(__xludf.DUMMYFUNCTION("""COMPUTED_VALUE"""),"Resource")</f>
        <v/>
      </c>
      <c r="C230" s="6">
        <f>IFERROR(__xludf.DUMMYFUNCTION("""COMPUTED_VALUE"""),"Reference Materials")</f>
        <v/>
      </c>
      <c r="D230" s="7">
        <f>IFERROR(__xludf.DUMMYFUNCTION("""COMPUTED_VALUE"""),"&lt;p&gt;Read about how an electric car works here.&lt;/p&gt;")</f>
        <v/>
      </c>
      <c r="E230" s="7">
        <f>IFERROR(__xludf.DUMMYFUNCTION("""COMPUTED_VALUE"""),"application/pdf – A portable document format (PDF) file, preserving text and layout for consistent viewing across devices.")</f>
        <v/>
      </c>
      <c r="F230" s="7" t="inlineStr">
        <is>
          <t>Students received tasks with embedded artifacts: a webpage, a quiz app, and a PDF file.</t>
        </is>
      </c>
      <c r="G230" s="8" t="n"/>
      <c r="H230" s="8" t="n"/>
      <c r="I230" s="8" t="n"/>
      <c r="J230" s="8" t="n"/>
      <c r="K230" s="9" t="n"/>
      <c r="L230" s="9" t="n"/>
      <c r="M230" s="9" t="n"/>
      <c r="N230" s="9" t="n"/>
      <c r="O230" s="10" t="n"/>
      <c r="P230" s="10" t="n"/>
      <c r="Q230" s="10" t="n"/>
      <c r="R230" s="10" t="n"/>
      <c r="S230" s="10" t="n"/>
    </row>
    <row r="231" ht="109" customHeight="1">
      <c r="A231" s="6">
        <f>IFERROR(__xludf.DUMMYFUNCTION("""COMPUTED_VALUE"""),"Modeling-based Estimation Learning Environment - MEttLE")</f>
        <v/>
      </c>
      <c r="B231" s="6">
        <f>IFERROR(__xludf.DUMMYFUNCTION("""COMPUTED_VALUE"""),"Resource")</f>
        <v/>
      </c>
      <c r="C231" s="6">
        <f>IFERROR(__xludf.DUMMYFUNCTION("""COMPUTED_VALUE"""),"Scratch Pad - drawing")</f>
        <v/>
      </c>
      <c r="D231" s="7">
        <f>IFERROR(__xludf.DUMMYFUNCTION("""COMPUTED_VALUE"""),"&lt;p&gt;Draw your initial thoughts and ideas.&lt;/p&gt;")</f>
        <v/>
      </c>
      <c r="E231" s="7">
        <f>IFERROR(__xludf.DUMMYFUNCTION("""COMPUTED_VALUE"""),"text/html – A webpage or web document that contains structured text, images, and links, designed for display in a web browser.")</f>
        <v/>
      </c>
      <c r="F231" s="7" t="inlineStr">
        <is>
          <t>Students reflect, read, and draw. Embedded artifacts include a quiz app, PDF file, and HTML webpage.</t>
        </is>
      </c>
      <c r="G231" s="8" t="n"/>
      <c r="H231" s="8" t="n"/>
      <c r="I231" s="8" t="n"/>
      <c r="J231" s="8" t="n"/>
      <c r="K231" s="9" t="n"/>
      <c r="L231" s="9" t="n"/>
      <c r="M231" s="9" t="n"/>
      <c r="N231" s="9" t="n"/>
      <c r="O231" s="10" t="n"/>
      <c r="P231" s="10" t="n"/>
      <c r="Q231" s="10" t="n"/>
      <c r="R231" s="10" t="n"/>
      <c r="S231" s="10" t="n"/>
    </row>
    <row r="232" ht="318" customHeight="1">
      <c r="A232" s="6">
        <f>IFERROR(__xludf.DUMMYFUNCTION("""COMPUTED_VALUE"""),"Modeling-based Estimation Learning Environment - MEttLE")</f>
        <v/>
      </c>
      <c r="B232" s="6">
        <f>IFERROR(__xludf.DUMMYFUNCTION("""COMPUTED_VALUE"""),"Application")</f>
        <v/>
      </c>
      <c r="C232" s="6">
        <f>IFERROR(__xludf.DUMMYFUNCTION("""COMPUTED_VALUE"""),"Scratch pad - notes")</f>
        <v/>
      </c>
      <c r="D232" s="7">
        <f>IFERROR(__xludf.DUMMYFUNCTION("""COMPUTED_VALUE"""),"&lt;p&gt;Take notes here.&lt;/p&gt;")</f>
        <v/>
      </c>
      <c r="E2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32" s="7" t="inlineStr">
        <is>
          <t>Students are instructed to: read, draw, and take notes. Embedded artifacts include PDF, webpage, and note-taking app.</t>
        </is>
      </c>
      <c r="G232" s="8" t="n"/>
      <c r="H232" s="8" t="n"/>
      <c r="I232" s="8" t="n"/>
      <c r="J232" s="8" t="n"/>
      <c r="K232" s="9" t="n"/>
      <c r="L232" s="9" t="n"/>
      <c r="M232" s="9" t="n"/>
      <c r="N232" s="9" t="n"/>
      <c r="O232" s="10" t="n"/>
      <c r="P232" s="10" t="n"/>
      <c r="Q232" s="10" t="n"/>
      <c r="R232" s="10" t="n"/>
      <c r="S232" s="10" t="n"/>
    </row>
    <row r="233" ht="133" customHeight="1">
      <c r="A233" s="6">
        <f>IFERROR(__xludf.DUMMYFUNCTION("""COMPUTED_VALUE"""),"Modeling-based Estimation Learning Environment - MEttLE")</f>
        <v/>
      </c>
      <c r="B233" s="6">
        <f>IFERROR(__xludf.DUMMYFUNCTION("""COMPUTED_VALUE"""),"Space")</f>
        <v/>
      </c>
      <c r="C233" s="6">
        <f>IFERROR(__xludf.DUMMYFUNCTION("""COMPUTED_VALUE"""),"Qualitative Modeling")</f>
        <v/>
      </c>
      <c r="D233" s="7">
        <f>IFERROR(__xludf.DUMMYFUNCTION("""COMPUTED_VALUE"""),"&lt;p&gt;In this second phase of estimation, you will create a qualitative model of the electric car that you can use to estimate power.&lt;/p&gt;")</f>
        <v/>
      </c>
      <c r="E233" s="7">
        <f>IFERROR(__xludf.DUMMYFUNCTION("""COMPUTED_VALUE"""),"No artifact embedded")</f>
        <v/>
      </c>
      <c r="F233" s="7" t="inlineStr">
        <is>
          <t>Students are instructed to draw, take notes, and create a qualitative model. Embedded artifacts include text/html webpage and Golabz app/lab for note-taking.</t>
        </is>
      </c>
      <c r="G233" s="8" t="n"/>
      <c r="H233" s="8" t="n"/>
      <c r="I233" s="8" t="n"/>
      <c r="J233" s="8" t="n"/>
      <c r="K233" s="9" t="n"/>
      <c r="L233" s="9" t="n"/>
      <c r="M233" s="9" t="n"/>
      <c r="N233" s="9" t="n"/>
      <c r="O233" s="10" t="n"/>
      <c r="P233" s="10" t="n"/>
      <c r="Q233" s="10" t="n"/>
      <c r="R233" s="10" t="n"/>
      <c r="S233" s="10" t="n"/>
    </row>
    <row r="234" ht="97" customHeight="1">
      <c r="A234" s="6">
        <f>IFERROR(__xludf.DUMMYFUNCTION("""COMPUTED_VALUE"""),"Modeling-based Estimation Learning Environment - MEttLE")</f>
        <v/>
      </c>
      <c r="B234" s="6">
        <f>IFERROR(__xludf.DUMMYFUNCTION("""COMPUTED_VALUE"""),"Resource")</f>
        <v/>
      </c>
      <c r="C234" s="6">
        <f>IFERROR(__xludf.DUMMYFUNCTION("""COMPUTED_VALUE"""),"EstiMap")</f>
        <v/>
      </c>
      <c r="D234" s="7">
        <f>IFERROR(__xludf.DUMMYFUNCTION("""COMPUTED_VALUE"""),"&lt;p&gt;This is where you are in the estimation process.&lt;/p&gt;")</f>
        <v/>
      </c>
      <c r="E234" s="7">
        <f>IFERROR(__xludf.DUMMYFUNCTION("""COMPUTED_VALUE"""),"image/png – A high-quality image with support for transparency, often used in design and web applications.")</f>
        <v/>
      </c>
      <c r="F234" s="7" t="inlineStr">
        <is>
          <t>Students take notes and create models with embedded artifacts like note-taking apps and images.</t>
        </is>
      </c>
      <c r="G234" s="8" t="n"/>
      <c r="H234" s="8" t="n"/>
      <c r="I234" s="8" t="n"/>
      <c r="J234" s="8" t="n"/>
      <c r="K234" s="9" t="n"/>
      <c r="L234" s="9" t="n"/>
      <c r="M234" s="9" t="n"/>
      <c r="N234" s="9" t="n"/>
      <c r="O234" s="10" t="n"/>
      <c r="P234" s="10" t="n"/>
      <c r="Q234" s="10" t="n"/>
      <c r="R234" s="10" t="n"/>
      <c r="S234" s="10" t="n"/>
    </row>
    <row r="235" ht="409.6" customHeight="1">
      <c r="A235" s="6">
        <f>IFERROR(__xludf.DUMMYFUNCTION("""COMPUTED_VALUE"""),"Modeling-based Estimation Learning Environment - MEttLE")</f>
        <v/>
      </c>
      <c r="B235" s="6">
        <f>IFERROR(__xludf.DUMMYFUNCTION("""COMPUTED_VALUE"""),"Application")</f>
        <v/>
      </c>
      <c r="C235" s="6">
        <f>IFERROR(__xludf.DUMMYFUNCTION("""COMPUTED_VALUE"""),"Simulator")</f>
        <v/>
      </c>
      <c r="D235" s="7">
        <f>IFERROR(__xludf.DUMMYFUNCTION("""COMPUTED_VALUE"""),"No task description")</f>
        <v/>
      </c>
      <c r="E235" s="7">
        <f>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
      </c>
      <c r="F235" s="7" t="inlineStr">
        <is>
          <t>Students create a qualitative model of an electric car and estimate power, with embedded artifacts including images and interactive questionnaires via the Golabz app/lab.</t>
        </is>
      </c>
      <c r="G235" s="8" t="n"/>
      <c r="H235" s="8" t="n"/>
      <c r="I235" s="8" t="n"/>
      <c r="J235" s="8" t="n"/>
      <c r="K235" s="9" t="n"/>
      <c r="L235" s="9" t="n"/>
      <c r="M235" s="9" t="n"/>
      <c r="N235" s="9" t="n"/>
      <c r="O235" s="10" t="n"/>
      <c r="P235" s="10" t="n"/>
      <c r="Q235" s="10" t="n"/>
      <c r="R235" s="10" t="n"/>
      <c r="S235" s="10" t="n"/>
    </row>
    <row r="236" ht="274" customHeight="1">
      <c r="A236" s="6">
        <f>IFERROR(__xludf.DUMMYFUNCTION("""COMPUTED_VALUE"""),"Modeling-based Estimation Learning Environment - MEttLE")</f>
        <v/>
      </c>
      <c r="B236" s="6">
        <f>IFERROR(__xludf.DUMMYFUNCTION("""COMPUTED_VALUE"""),"Application")</f>
        <v/>
      </c>
      <c r="C236" s="6">
        <f>IFERROR(__xludf.DUMMYFUNCTION("""COMPUTED_VALUE"""),"Check your understanding of parameter relationships")</f>
        <v/>
      </c>
      <c r="D236" s="7">
        <f>IFERROR(__xludf.DUMMYFUNCTION("""COMPUTED_VALUE"""),"&lt;p&gt;Answer the questions here to see if you recognize the relationship between the various parameters. Note that multiple answers maybe correct.&lt;/p&gt;")</f>
        <v/>
      </c>
      <c r="E23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36" s="7" t="inlineStr">
        <is>
          <t>Students are given tasks with descriptions and embedded artifacts, including images and Golabz apps, to complete quizzes and surveys with various question types.</t>
        </is>
      </c>
      <c r="G236" s="8" t="n"/>
      <c r="H236" s="8" t="n"/>
      <c r="I236" s="8" t="n"/>
      <c r="J236" s="8" t="n"/>
      <c r="K236" s="9" t="n"/>
      <c r="L236" s="9" t="n"/>
      <c r="M236" s="9" t="n"/>
      <c r="N236" s="9" t="n"/>
      <c r="O236" s="10" t="n"/>
      <c r="P236" s="10" t="n"/>
      <c r="Q236" s="10" t="n"/>
      <c r="R236" s="10" t="n"/>
      <c r="S236" s="10" t="n"/>
    </row>
    <row r="237" ht="409.6" customHeight="1">
      <c r="A237" s="6">
        <f>IFERROR(__xludf.DUMMYFUNCTION("""COMPUTED_VALUE"""),"Modeling-based Estimation Learning Environment - MEttLE")</f>
        <v/>
      </c>
      <c r="B237" s="6">
        <f>IFERROR(__xludf.DUMMYFUNCTION("""COMPUTED_VALUE"""),"Application")</f>
        <v/>
      </c>
      <c r="C237" s="6">
        <f>IFERROR(__xludf.DUMMYFUNCTION("""COMPUTED_VALUE"""),"Concept Mapper")</f>
        <v/>
      </c>
      <c r="D237" s="7">
        <f>IFERROR(__xludf.DUMMYFUNCTION("""COMPUTED_VALUE"""),"&lt;p&gt;Draw a causal map describing how the various parameters affecting the running of the car are related.&lt;/p&gt;")</f>
        <v/>
      </c>
      <c r="E237"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237" s="7" t="inlineStr">
        <is>
          <t>No task description for Item1. Other items have tasks and Golabz apps with various tools and configurations.</t>
        </is>
      </c>
      <c r="G237" s="8" t="n"/>
      <c r="H237" s="8" t="n"/>
      <c r="I237" s="8" t="n"/>
      <c r="J237" s="8" t="n"/>
      <c r="K237" s="9" t="n"/>
      <c r="L237" s="9" t="n"/>
      <c r="M237" s="9" t="n"/>
      <c r="N237" s="9" t="n"/>
      <c r="O237" s="10" t="n"/>
      <c r="P237" s="10" t="n"/>
      <c r="Q237" s="10" t="n"/>
      <c r="R237" s="10" t="n"/>
      <c r="S237" s="10" t="n"/>
    </row>
    <row r="238" ht="133" customHeight="1">
      <c r="A238" s="6">
        <f>IFERROR(__xludf.DUMMYFUNCTION("""COMPUTED_VALUE"""),"Modeling-based Estimation Learning Environment - MEttLE")</f>
        <v/>
      </c>
      <c r="B238" s="6">
        <f>IFERROR(__xludf.DUMMYFUNCTION("""COMPUTED_VALUE"""),"Resource")</f>
        <v/>
      </c>
      <c r="C238" s="6">
        <f>IFERROR(__xludf.DUMMYFUNCTION("""COMPUTED_VALUE"""),"Reference Materials")</f>
        <v/>
      </c>
      <c r="D238" s="7">
        <f>IFERROR(__xludf.DUMMYFUNCTION("""COMPUTED_VALUE"""),"&lt;p&gt;Read about how an electric car works here.&lt;/p&gt;")</f>
        <v/>
      </c>
      <c r="E238" s="7">
        <f>IFERROR(__xludf.DUMMYFUNCTION("""COMPUTED_VALUE"""),"application/pdf – A portable document format (PDF) file, preserving text and layout for consistent viewing across devices.")</f>
        <v/>
      </c>
      <c r="F238" s="7" t="inlineStr">
        <is>
          <t>Students are instructed to answer questions, draw a causal map, and read about electric cars using interactive tools like quizzes, concept mappers, and PDF files.</t>
        </is>
      </c>
      <c r="G238" s="8" t="n"/>
      <c r="H238" s="8" t="n"/>
      <c r="I238" s="8" t="n"/>
      <c r="J238" s="8" t="n"/>
      <c r="K238" s="9" t="n"/>
      <c r="L238" s="9" t="n"/>
      <c r="M238" s="9" t="n"/>
      <c r="N238" s="9" t="n"/>
      <c r="O238" s="10" t="n"/>
      <c r="P238" s="10" t="n"/>
      <c r="Q238" s="10" t="n"/>
      <c r="R238" s="10" t="n"/>
      <c r="S238" s="10" t="n"/>
    </row>
    <row r="239" ht="145" customHeight="1">
      <c r="A239" s="6">
        <f>IFERROR(__xludf.DUMMYFUNCTION("""COMPUTED_VALUE"""),"Modeling-based Estimation Learning Environment - MEttLE")</f>
        <v/>
      </c>
      <c r="B239" s="6">
        <f>IFERROR(__xludf.DUMMYFUNCTION("""COMPUTED_VALUE"""),"Resource")</f>
        <v/>
      </c>
      <c r="C239" s="6">
        <f>IFERROR(__xludf.DUMMYFUNCTION("""COMPUTED_VALUE"""),"Scratch Pad - drawing")</f>
        <v/>
      </c>
      <c r="D239" s="7">
        <f>IFERROR(__xludf.DUMMYFUNCTION("""COMPUTED_VALUE"""),"&lt;p&gt;Draw your initial thoughts and ideas.&lt;/p&gt;")</f>
        <v/>
      </c>
      <c r="E239" s="7">
        <f>IFERROR(__xludf.DUMMYFUNCTION("""COMPUTED_VALUE"""),"text/html – A webpage or web document that contains structured text, images, and links, designed for display in a web browser.")</f>
        <v/>
      </c>
      <c r="F239" s="7" t="inlineStr">
        <is>
          <t>Students are instructed to draw causal maps, read about electric cars, and share initial thoughts. Embedded artifacts include a concept mapper tool, PDF file, and HTML webpage.</t>
        </is>
      </c>
      <c r="G239" s="8" t="n"/>
      <c r="H239" s="8" t="n"/>
      <c r="I239" s="8" t="n"/>
      <c r="J239" s="8" t="n"/>
      <c r="K239" s="9" t="n"/>
      <c r="L239" s="9" t="n"/>
      <c r="M239" s="9" t="n"/>
      <c r="N239" s="9" t="n"/>
      <c r="O239" s="10" t="n"/>
      <c r="P239" s="10" t="n"/>
      <c r="Q239" s="10" t="n"/>
      <c r="R239" s="10" t="n"/>
      <c r="S239" s="10" t="n"/>
    </row>
    <row r="240" ht="318" customHeight="1">
      <c r="A240" s="6">
        <f>IFERROR(__xludf.DUMMYFUNCTION("""COMPUTED_VALUE"""),"Modeling-based Estimation Learning Environment - MEttLE")</f>
        <v/>
      </c>
      <c r="B240" s="6">
        <f>IFERROR(__xludf.DUMMYFUNCTION("""COMPUTED_VALUE"""),"Application")</f>
        <v/>
      </c>
      <c r="C240" s="6">
        <f>IFERROR(__xludf.DUMMYFUNCTION("""COMPUTED_VALUE"""),"Scratch pad - notes")</f>
        <v/>
      </c>
      <c r="D240" s="7">
        <f>IFERROR(__xludf.DUMMYFUNCTION("""COMPUTED_VALUE"""),"&lt;p&gt;Take notes here.&lt;/p&gt;")</f>
        <v/>
      </c>
      <c r="E24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0" s="7" t="inlineStr">
        <is>
          <t>Students are instructed to read, draw, and take notes with embedded artifacts including PDF, webpage, and note-taking app.</t>
        </is>
      </c>
      <c r="G240" s="8" t="n"/>
      <c r="H240" s="8" t="n"/>
      <c r="I240" s="8" t="n"/>
      <c r="J240" s="8" t="n"/>
      <c r="K240" s="9" t="n"/>
      <c r="L240" s="9" t="n"/>
      <c r="M240" s="9" t="n"/>
      <c r="N240" s="9" t="n"/>
      <c r="O240" s="10" t="n"/>
      <c r="P240" s="10" t="n"/>
      <c r="Q240" s="10" t="n"/>
      <c r="R240" s="10" t="n"/>
      <c r="S240" s="10" t="n"/>
    </row>
    <row r="241" ht="121" customHeight="1">
      <c r="A241" s="6">
        <f>IFERROR(__xludf.DUMMYFUNCTION("""COMPUTED_VALUE"""),"Modeling-based Estimation Learning Environment - MEttLE")</f>
        <v/>
      </c>
      <c r="B241" s="6">
        <f>IFERROR(__xludf.DUMMYFUNCTION("""COMPUTED_VALUE"""),"Space")</f>
        <v/>
      </c>
      <c r="C241" s="6">
        <f>IFERROR(__xludf.DUMMYFUNCTION("""COMPUTED_VALUE"""),"Quantitative Modeling")</f>
        <v/>
      </c>
      <c r="D241" s="7">
        <f>IFERROR(__xludf.DUMMYFUNCTION("""COMPUTED_VALUE"""),"&lt;p&gt;In the third phase of estimation, you will create a quantitative model of the electric car that you can use to estimate power.&lt;/p&gt;")</f>
        <v/>
      </c>
      <c r="E241" s="7">
        <f>IFERROR(__xludf.DUMMYFUNCTION("""COMPUTED_VALUE"""),"No artifact embedded")</f>
        <v/>
      </c>
      <c r="F241" s="7" t="inlineStr">
        <is>
          <t>Students are instructed to draw, take notes, and create a model. Embedded artifacts include webpages, note-taking apps, but Item 3 has none.</t>
        </is>
      </c>
      <c r="G241" s="8" t="n"/>
      <c r="H241" s="8" t="n"/>
      <c r="I241" s="8" t="n"/>
      <c r="J241" s="8" t="n"/>
      <c r="K241" s="9" t="n"/>
      <c r="L241" s="9" t="n"/>
      <c r="M241" s="9" t="n"/>
      <c r="N241" s="9" t="n"/>
      <c r="O241" s="10" t="n"/>
      <c r="P241" s="10" t="n"/>
      <c r="Q241" s="10" t="n"/>
      <c r="R241" s="10" t="n"/>
      <c r="S241" s="10" t="n"/>
    </row>
    <row r="242" ht="109" customHeight="1">
      <c r="A242" s="6">
        <f>IFERROR(__xludf.DUMMYFUNCTION("""COMPUTED_VALUE"""),"Modeling-based Estimation Learning Environment - MEttLE")</f>
        <v/>
      </c>
      <c r="B242" s="6">
        <f>IFERROR(__xludf.DUMMYFUNCTION("""COMPUTED_VALUE"""),"Resource")</f>
        <v/>
      </c>
      <c r="C242" s="6">
        <f>IFERROR(__xludf.DUMMYFUNCTION("""COMPUTED_VALUE"""),"EstiMap")</f>
        <v/>
      </c>
      <c r="D242" s="7">
        <f>IFERROR(__xludf.DUMMYFUNCTION("""COMPUTED_VALUE"""),"&lt;p&gt;This is where you are in the estimation process.&lt;/p&gt;")</f>
        <v/>
      </c>
      <c r="E242" s="7">
        <f>IFERROR(__xludf.DUMMYFUNCTION("""COMPUTED_VALUE"""),"image/png – A high-quality image with support for transparency, often used in design and web applications.")</f>
        <v/>
      </c>
      <c r="F242" s="7" t="inlineStr">
        <is>
          <t>Students take notes and create models. Embedded artifacts include a note-taking app, an image file, and no artifact in Item2.</t>
        </is>
      </c>
      <c r="G242" s="8" t="n"/>
      <c r="H242" s="8" t="n"/>
      <c r="I242" s="8" t="n"/>
      <c r="J242" s="8" t="n"/>
      <c r="K242" s="9" t="n"/>
      <c r="L242" s="9" t="n"/>
      <c r="M242" s="9" t="n"/>
      <c r="N242" s="9" t="n"/>
      <c r="O242" s="10" t="n"/>
      <c r="P242" s="10" t="n"/>
      <c r="Q242" s="10" t="n"/>
      <c r="R242" s="10" t="n"/>
      <c r="S242" s="10" t="n"/>
    </row>
    <row r="243" ht="97" customHeight="1">
      <c r="A243" s="6">
        <f>IFERROR(__xludf.DUMMYFUNCTION("""COMPUTED_VALUE"""),"Modeling-based Estimation Learning Environment - MEttLE")</f>
        <v/>
      </c>
      <c r="B243" s="6">
        <f>IFERROR(__xludf.DUMMYFUNCTION("""COMPUTED_VALUE"""),"Application")</f>
        <v/>
      </c>
      <c r="C243" s="6">
        <f>IFERROR(__xludf.DUMMYFUNCTION("""COMPUTED_VALUE"""),"EquationBuilder")</f>
        <v/>
      </c>
      <c r="D243" s="7">
        <f>IFERROR(__xludf.DUMMYFUNCTION("""COMPUTED_VALUE"""),"No task description")</f>
        <v/>
      </c>
      <c r="E243" s="7">
        <f>IFERROR(__xludf.DUMMYFUNCTION("""COMPUTED_VALUE"""),"Golabz app/lab: An app for students to build equations")</f>
        <v/>
      </c>
      <c r="F243" s="7" t="inlineStr">
        <is>
          <t>Students create a quantitative model and estimate power. Embedded artifacts include an image and a lab app.</t>
        </is>
      </c>
      <c r="G243" s="8" t="n"/>
      <c r="H243" s="8" t="n"/>
      <c r="I243" s="8" t="n"/>
      <c r="J243" s="8" t="n"/>
      <c r="K243" s="9" t="n"/>
      <c r="L243" s="9" t="n"/>
      <c r="M243" s="9" t="n"/>
      <c r="N243" s="9" t="n"/>
      <c r="O243" s="10" t="n"/>
      <c r="P243" s="10" t="n"/>
      <c r="Q243" s="10" t="n"/>
      <c r="R243" s="10" t="n"/>
      <c r="S243" s="10" t="n"/>
    </row>
    <row r="244" ht="145" customHeight="1">
      <c r="A244" s="6">
        <f>IFERROR(__xludf.DUMMYFUNCTION("""COMPUTED_VALUE"""),"Modeling-based Estimation Learning Environment - MEttLE")</f>
        <v/>
      </c>
      <c r="B244" s="6">
        <f>IFERROR(__xludf.DUMMYFUNCTION("""COMPUTED_VALUE"""),"Resource")</f>
        <v/>
      </c>
      <c r="C244" s="6">
        <f>IFERROR(__xludf.DUMMYFUNCTION("""COMPUTED_VALUE"""),"Reference Materials")</f>
        <v/>
      </c>
      <c r="D244" s="7">
        <f>IFERROR(__xludf.DUMMYFUNCTION("""COMPUTED_VALUE"""),"&lt;p&gt;Read about how an electric car works here.&lt;/p&gt;")</f>
        <v/>
      </c>
      <c r="E244" s="7">
        <f>IFERROR(__xludf.DUMMYFUNCTION("""COMPUTED_VALUE"""),"application/pdf – A portable document format (PDF) file, preserving text and layout for consistent viewing across devices.")</f>
        <v/>
      </c>
      <c r="F244" s="7" t="inlineStr">
        <is>
          <t>Students received tasks with embedded artifacts, including images, apps, and PDF files, to support their work on estimation, equation-building, and reading about electric cars.</t>
        </is>
      </c>
      <c r="G244" s="8" t="n"/>
      <c r="H244" s="8" t="n"/>
      <c r="I244" s="8" t="n"/>
      <c r="J244" s="8" t="n"/>
      <c r="K244" s="9" t="n"/>
      <c r="L244" s="9" t="n"/>
      <c r="M244" s="9" t="n"/>
      <c r="N244" s="9" t="n"/>
      <c r="O244" s="10" t="n"/>
      <c r="P244" s="10" t="n"/>
      <c r="Q244" s="10" t="n"/>
      <c r="R244" s="10" t="n"/>
      <c r="S244" s="10" t="n"/>
    </row>
    <row r="245" ht="121" customHeight="1">
      <c r="A245" s="6">
        <f>IFERROR(__xludf.DUMMYFUNCTION("""COMPUTED_VALUE"""),"Modeling-based Estimation Learning Environment - MEttLE")</f>
        <v/>
      </c>
      <c r="B245" s="6">
        <f>IFERROR(__xludf.DUMMYFUNCTION("""COMPUTED_VALUE"""),"Resource")</f>
        <v/>
      </c>
      <c r="C245" s="6">
        <f>IFERROR(__xludf.DUMMYFUNCTION("""COMPUTED_VALUE"""),"Scratch Pad - drawing")</f>
        <v/>
      </c>
      <c r="D245" s="7">
        <f>IFERROR(__xludf.DUMMYFUNCTION("""COMPUTED_VALUE"""),"&lt;p&gt;Draw your initial thoughts and ideas.&lt;/p&gt;")</f>
        <v/>
      </c>
      <c r="E245" s="7">
        <f>IFERROR(__xludf.DUMMYFUNCTION("""COMPUTED_VALUE"""),"text/html – A webpage or web document that contains structured text, images, and links, designed for display in a web browser.")</f>
        <v/>
      </c>
      <c r="F245" s="7" t="inlineStr">
        <is>
          <t>Students receive tasks with embedded artifacts: an equation-building app, a PDF file, and a webpage to inspire drawing and idea generation.</t>
        </is>
      </c>
      <c r="G245" s="8" t="n"/>
      <c r="H245" s="8" t="n"/>
      <c r="I245" s="8" t="n"/>
      <c r="J245" s="8" t="n"/>
      <c r="K245" s="9" t="n"/>
      <c r="L245" s="9" t="n"/>
      <c r="M245" s="9" t="n"/>
      <c r="N245" s="9" t="n"/>
      <c r="O245" s="10" t="n"/>
      <c r="P245" s="10" t="n"/>
      <c r="Q245" s="10" t="n"/>
      <c r="R245" s="10" t="n"/>
      <c r="S245" s="10" t="n"/>
    </row>
    <row r="246" ht="318" customHeight="1">
      <c r="A246" s="6">
        <f>IFERROR(__xludf.DUMMYFUNCTION("""COMPUTED_VALUE"""),"Modeling-based Estimation Learning Environment - MEttLE")</f>
        <v/>
      </c>
      <c r="B246" s="6">
        <f>IFERROR(__xludf.DUMMYFUNCTION("""COMPUTED_VALUE"""),"Application")</f>
        <v/>
      </c>
      <c r="C246" s="6">
        <f>IFERROR(__xludf.DUMMYFUNCTION("""COMPUTED_VALUE"""),"Scratch pad - notes")</f>
        <v/>
      </c>
      <c r="D246" s="7">
        <f>IFERROR(__xludf.DUMMYFUNCTION("""COMPUTED_VALUE"""),"&lt;p&gt;Take notes here.&lt;/p&gt;")</f>
        <v/>
      </c>
      <c r="E2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6" s="7" t="inlineStr">
        <is>
          <t>Students are instructed to read, draw, and take notes with embedded artifacts including PDF, HTML webpage, and a note-taking app.</t>
        </is>
      </c>
      <c r="G246" s="8" t="n"/>
      <c r="H246" s="8" t="n"/>
      <c r="I246" s="8" t="n"/>
      <c r="J246" s="8" t="n"/>
      <c r="K246" s="9" t="n"/>
      <c r="L246" s="9" t="n"/>
      <c r="M246" s="9" t="n"/>
      <c r="N246" s="9" t="n"/>
      <c r="O246" s="10" t="n"/>
      <c r="P246" s="10" t="n"/>
      <c r="Q246" s="10" t="n"/>
      <c r="R246" s="10" t="n"/>
      <c r="S246" s="10" t="n"/>
    </row>
    <row r="247" ht="97" customHeight="1">
      <c r="A247" s="6">
        <f>IFERROR(__xludf.DUMMYFUNCTION("""COMPUTED_VALUE"""),"Modeling-based Estimation Learning Environment - MEttLE")</f>
        <v/>
      </c>
      <c r="B247" s="6">
        <f>IFERROR(__xludf.DUMMYFUNCTION("""COMPUTED_VALUE"""),"Space")</f>
        <v/>
      </c>
      <c r="C247" s="6">
        <f>IFERROR(__xludf.DUMMYFUNCTION("""COMPUTED_VALUE"""),"Calculation")</f>
        <v/>
      </c>
      <c r="D247" s="7">
        <f>IFERROR(__xludf.DUMMYFUNCTION("""COMPUTED_VALUE"""),"&lt;p&gt;What are the reasonable values of other parameters required to calculate power?&lt;/p&gt;")</f>
        <v/>
      </c>
      <c r="E247" s="7">
        <f>IFERROR(__xludf.DUMMYFUNCTION("""COMPUTED_VALUE"""),"No artifact embedded")</f>
        <v/>
      </c>
      <c r="F247" s="7" t="inlineStr">
        <is>
          <t>Students receive task descriptions with varying embedded artifacts, including HTML webpages and note-taking apps.</t>
        </is>
      </c>
      <c r="G247" s="8" t="n"/>
      <c r="H247" s="8" t="n"/>
      <c r="I247" s="8" t="n"/>
      <c r="J247" s="8" t="n"/>
      <c r="K247" s="9" t="n"/>
      <c r="L247" s="9" t="n"/>
      <c r="M247" s="9" t="n"/>
      <c r="N247" s="9" t="n"/>
      <c r="O247" s="10" t="n"/>
      <c r="P247" s="10" t="n"/>
      <c r="Q247" s="10" t="n"/>
      <c r="R247" s="10" t="n"/>
      <c r="S247" s="10" t="n"/>
    </row>
    <row r="248" ht="85" customHeight="1">
      <c r="A248" s="6">
        <f>IFERROR(__xludf.DUMMYFUNCTION("""COMPUTED_VALUE"""),"Modeling-based Estimation Learning Environment - MEttLE")</f>
        <v/>
      </c>
      <c r="B248" s="6">
        <f>IFERROR(__xludf.DUMMYFUNCTION("""COMPUTED_VALUE"""),"Space")</f>
        <v/>
      </c>
      <c r="C248" s="6">
        <f>IFERROR(__xludf.DUMMYFUNCTION("""COMPUTED_VALUE"""),"Evaluation")</f>
        <v/>
      </c>
      <c r="D248" s="7">
        <f>IFERROR(__xludf.DUMMYFUNCTION("""COMPUTED_VALUE"""),"&lt;p&gt;Is the determined value of power reasonable?&lt;/p&gt;")</f>
        <v/>
      </c>
      <c r="E248" s="7">
        <f>IFERROR(__xludf.DUMMYFUNCTION("""COMPUTED_VALUE"""),"No artifact embedded")</f>
        <v/>
      </c>
      <c r="F248" s="7" t="inlineStr">
        <is>
          <t>Students take notes and calculate power, with Golabz app/lab allowing note-taking and collaboration.</t>
        </is>
      </c>
      <c r="G248" s="8" t="n"/>
      <c r="H248" s="8" t="n"/>
      <c r="I248" s="8" t="n"/>
      <c r="J248" s="8" t="n"/>
      <c r="K248" s="9" t="n"/>
      <c r="L248" s="9" t="n"/>
      <c r="M248" s="9" t="n"/>
      <c r="N248" s="9" t="n"/>
      <c r="O248" s="10" t="n"/>
      <c r="P248" s="10" t="n"/>
      <c r="Q248" s="10" t="n"/>
      <c r="R248" s="10" t="n"/>
      <c r="S248" s="10" t="n"/>
    </row>
    <row r="249" ht="109" customHeight="1">
      <c r="A249" s="6">
        <f>IFERROR(__xludf.DUMMYFUNCTION("""COMPUTED_VALUE"""),"Modeling-based Estimation Learning Environment - MEttLE")</f>
        <v/>
      </c>
      <c r="B249" s="6">
        <f>IFERROR(__xludf.DUMMYFUNCTION("""COMPUTED_VALUE"""),"Application")</f>
        <v/>
      </c>
      <c r="C249" s="6">
        <f>IFERROR(__xludf.DUMMYFUNCTION("""COMPUTED_VALUE"""),"My Plan")</f>
        <v/>
      </c>
      <c r="D249" s="7">
        <f>IFERROR(__xludf.DUMMYFUNCTION("""COMPUTED_VALUE"""),"&lt;p&gt;How do you think you will solve this estimation problem?&lt;/p&gt;")</f>
        <v/>
      </c>
      <c r="E249" s="7">
        <f>IFERROR(__xludf.DUMMYFUNCTION("""COMPUTED_VALUE"""),"No artifact embedded")</f>
        <v/>
      </c>
      <c r="F249" s="7" t="inlineStr">
        <is>
          <t>Students are given tasks to calculate power, assess reasonableness, and plan solutions with no embedded artifacts.</t>
        </is>
      </c>
      <c r="G249" s="8" t="n"/>
      <c r="H249" s="8" t="n"/>
      <c r="I249" s="8" t="n"/>
      <c r="J249" s="8" t="n"/>
      <c r="K249" s="9" t="n"/>
      <c r="L249" s="9" t="n"/>
      <c r="M249" s="9" t="n"/>
      <c r="N249" s="9" t="n"/>
      <c r="O249" s="10" t="n"/>
      <c r="P249" s="10" t="n"/>
      <c r="Q249" s="10" t="n"/>
      <c r="R249" s="10" t="n"/>
      <c r="S249" s="10" t="n"/>
    </row>
    <row r="250" ht="121" customHeight="1">
      <c r="A250" s="6">
        <f>IFERROR(__xludf.DUMMYFUNCTION("""COMPUTED_VALUE"""),"RATE OF DIFFUSION")</f>
        <v/>
      </c>
      <c r="B250" s="6">
        <f>IFERROR(__xludf.DUMMYFUNCTION("""COMPUTED_VALUE"""),"Space")</f>
        <v/>
      </c>
      <c r="C250" s="6">
        <f>IFERROR(__xludf.DUMMYFUNCTION("""COMPUTED_VALUE"""),"About")</f>
        <v/>
      </c>
      <c r="D250" s="7">
        <f>IFERROR(__xludf.DUMMYFUNCTION("""COMPUTED_VALUE"""),"No task description")</f>
        <v/>
      </c>
      <c r="E250" s="7">
        <f>IFERROR(__xludf.DUMMYFUNCTION("""COMPUTED_VALUE"""),"No artifact embedded")</f>
        <v/>
      </c>
      <c r="F250" s="7" t="inlineStr">
        <is>
          <t>Students were given tasks to evaluate power value reasonableness and solve an estimation problem, with no artifacts embedded.</t>
        </is>
      </c>
      <c r="G250" s="8" t="n"/>
      <c r="H250" s="8" t="n"/>
      <c r="I250" s="8" t="n"/>
      <c r="J250" s="8" t="n"/>
      <c r="K250" s="9" t="n"/>
      <c r="L250" s="9" t="n"/>
      <c r="M250" s="9" t="n"/>
      <c r="N250" s="9" t="n"/>
      <c r="O250" s="10" t="n"/>
      <c r="P250" s="10" t="n"/>
      <c r="Q250" s="10" t="n"/>
      <c r="R250" s="10" t="n"/>
      <c r="S250" s="10" t="n"/>
    </row>
    <row r="251" ht="145" customHeight="1">
      <c r="A251" s="6">
        <f>IFERROR(__xludf.DUMMYFUNCTION("""COMPUTED_VALUE"""),"RATE OF DIFFUSION")</f>
        <v/>
      </c>
      <c r="B251" s="6">
        <f>IFERROR(__xludf.DUMMYFUNCTION("""COMPUTED_VALUE"""),"Resource")</f>
        <v/>
      </c>
      <c r="C251" s="6">
        <f>IFERROR(__xludf.DUMMYFUNCTION("""COMPUTED_VALUE"""),"About.graasp")</f>
        <v/>
      </c>
      <c r="D251" s="7">
        <f>IFERROR(__xludf.DUMMYFUNCTION("""COMPUTED_VALUE"""),"&lt;p&gt;FORM ONE,KENYAN CURRICULUM&lt;/p&gt;&lt;p&gt;topic:Particulate nature of matter&lt;br&gt;subtopic: Rate of diffusion&lt;br&gt;objective:To determine factors affecting rate of diffusion&lt;/p&gt;")</f>
        <v/>
      </c>
      <c r="E251" s="7">
        <f>IFERROR(__xludf.DUMMYFUNCTION("""COMPUTED_VALUE"""),"No artifact embedded")</f>
        <v/>
      </c>
      <c r="F251" s="7" t="inlineStr">
        <is>
          <t>Students received task descriptions and no embedded artifacts for three items, including a chemistry experiment on the rate of diffusion.</t>
        </is>
      </c>
      <c r="G251" s="8" t="n"/>
      <c r="H251" s="8" t="n"/>
      <c r="I251" s="8" t="n"/>
      <c r="J251" s="8" t="n"/>
      <c r="K251" s="9" t="n"/>
      <c r="L251" s="9" t="n"/>
      <c r="M251" s="9" t="n"/>
      <c r="N251" s="9" t="n"/>
      <c r="O251" s="10" t="n"/>
      <c r="P251" s="10" t="n"/>
      <c r="Q251" s="10" t="n"/>
      <c r="R251" s="10" t="n"/>
      <c r="S251" s="10" t="n"/>
    </row>
    <row r="252" ht="181" customHeight="1">
      <c r="A252" s="6">
        <f>IFERROR(__xludf.DUMMYFUNCTION("""COMPUTED_VALUE"""),"RATE OF DIFFUSION")</f>
        <v/>
      </c>
      <c r="B252" s="6">
        <f>IFERROR(__xludf.DUMMYFUNCTION("""COMPUTED_VALUE"""),"Space")</f>
        <v/>
      </c>
      <c r="C252" s="6">
        <f>IFERROR(__xludf.DUMMYFUNCTION("""COMPUTED_VALUE"""),"Engage")</f>
        <v/>
      </c>
      <c r="D252" s="7">
        <f>IFERROR(__xludf.DUMMYFUNCTION("""COMPUTED_VALUE"""),"&lt;p&gt;My two year old nephew visited us over the weekend,she got curious of how possible it is to tell from a distance, my wife was preparing her favorite meal 'omena' .&lt;/p&gt;&lt;p&gt;Study the video below and respond to her concerns&lt;/p&gt;")</f>
        <v/>
      </c>
      <c r="E252" s="7">
        <f>IFERROR(__xludf.DUMMYFUNCTION("""COMPUTED_VALUE"""),"No artifact embedded")</f>
        <v/>
      </c>
      <c r="F252" s="7" t="inlineStr">
        <is>
          <t>Students received task descriptions with no artifacts embedded. Topics included particulate nature of matter and a child's curiosity about cooking.</t>
        </is>
      </c>
      <c r="G252" s="8" t="n"/>
      <c r="H252" s="8" t="n"/>
      <c r="I252" s="8" t="n"/>
      <c r="J252" s="8" t="n"/>
      <c r="K252" s="9" t="n"/>
      <c r="L252" s="9" t="n"/>
      <c r="M252" s="9" t="n"/>
      <c r="N252" s="9" t="n"/>
      <c r="O252" s="10" t="n"/>
      <c r="P252" s="10" t="n"/>
      <c r="Q252" s="10" t="n"/>
      <c r="R252" s="10" t="n"/>
      <c r="S252" s="10" t="n"/>
    </row>
    <row r="253" ht="145" customHeight="1">
      <c r="A253" s="6">
        <f>IFERROR(__xludf.DUMMYFUNCTION("""COMPUTED_VALUE"""),"RATE OF DIFFUSION")</f>
        <v/>
      </c>
      <c r="B253" s="6">
        <f>IFERROR(__xludf.DUMMYFUNCTION("""COMPUTED_VALUE"""),"Resource")</f>
        <v/>
      </c>
      <c r="C253" s="6">
        <f>IFERROR(__xludf.DUMMYFUNCTION("""COMPUTED_VALUE"""),"A good example of DIFFUSION.mp4")</f>
        <v/>
      </c>
      <c r="D253" s="7">
        <f>IFERROR(__xludf.DUMMYFUNCTION("""COMPUTED_VALUE"""),"No task description")</f>
        <v/>
      </c>
      <c r="E253" s="7">
        <f>IFERROR(__xludf.DUMMYFUNCTION("""COMPUTED_VALUE"""),"video/mp4 – A video file containing moving images and possibly audio, suitable for playback on most modern devices and platforms.")</f>
        <v/>
      </c>
      <c r="F253" s="7" t="inlineStr">
        <is>
          <t>Students received 3 items with varying instructions and artifacts. Items 1 and 2 have task descriptions, but no embedded artifacts. Item 3 has a video artifact, but no task description.</t>
        </is>
      </c>
      <c r="G253" s="8" t="n"/>
      <c r="H253" s="8" t="n"/>
      <c r="I253" s="8" t="n"/>
      <c r="J253" s="8" t="n"/>
      <c r="K253" s="9" t="n"/>
      <c r="L253" s="9" t="n"/>
      <c r="M253" s="9" t="n"/>
      <c r="N253" s="9" t="n"/>
      <c r="O253" s="10" t="n"/>
      <c r="P253" s="10" t="n"/>
      <c r="Q253" s="10" t="n"/>
      <c r="R253" s="10" t="n"/>
      <c r="S253" s="10" t="n"/>
    </row>
    <row r="254" ht="157" customHeight="1">
      <c r="A254" s="6">
        <f>IFERROR(__xludf.DUMMYFUNCTION("""COMPUTED_VALUE"""),"RATE OF DIFFUSION")</f>
        <v/>
      </c>
      <c r="B254" s="6">
        <f>IFERROR(__xludf.DUMMYFUNCTION("""COMPUTED_VALUE"""),"Resource")</f>
        <v/>
      </c>
      <c r="C254" s="6">
        <f>IFERROR(__xludf.DUMMYFUNCTION("""COMPUTED_VALUE"""),"Q1.graasp")</f>
        <v/>
      </c>
      <c r="D254" s="7">
        <f>IFERROR(__xludf.DUMMYFUNCTION("""COMPUTED_VALUE"""),"&lt;p&gt;1. from the video what is your understanding of diffusion?&lt;/p&gt;")</f>
        <v/>
      </c>
      <c r="E254" s="7">
        <f>IFERROR(__xludf.DUMMYFUNCTION("""COMPUTED_VALUE"""),"No artifact embedded")</f>
        <v/>
      </c>
      <c r="F254" s="7" t="inlineStr">
        <is>
          <t>Students are asked to study a video and respond to concerns about telling something from a distance, and understand diffusion from another video. Artifacts include two videos, one not embedded.</t>
        </is>
      </c>
      <c r="G254" s="8" t="n"/>
      <c r="H254" s="8" t="n"/>
      <c r="I254" s="8" t="n"/>
      <c r="J254" s="8" t="n"/>
      <c r="K254" s="9" t="n"/>
      <c r="L254" s="9" t="n"/>
      <c r="M254" s="9" t="n"/>
      <c r="N254" s="9" t="n"/>
      <c r="O254" s="10" t="n"/>
      <c r="P254" s="10" t="n"/>
      <c r="Q254" s="10" t="n"/>
      <c r="R254" s="10" t="n"/>
      <c r="S254" s="10" t="n"/>
    </row>
    <row r="255" ht="318" customHeight="1">
      <c r="A255" s="6">
        <f>IFERROR(__xludf.DUMMYFUNCTION("""COMPUTED_VALUE"""),"RATE OF DIFFUSION")</f>
        <v/>
      </c>
      <c r="B255" s="6">
        <f>IFERROR(__xludf.DUMMYFUNCTION("""COMPUTED_VALUE"""),"Application")</f>
        <v/>
      </c>
      <c r="C255" s="6">
        <f>IFERROR(__xludf.DUMMYFUNCTION("""COMPUTED_VALUE"""),"Input Box")</f>
        <v/>
      </c>
      <c r="D255" s="7">
        <f>IFERROR(__xludf.DUMMYFUNCTION("""COMPUTED_VALUE"""),"No task description")</f>
        <v/>
      </c>
      <c r="E25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5" s="7" t="inlineStr">
        <is>
          <t>Students were given tasks with varying levels of guidance and artifacts, including a video file and interactive apps like Golabz and Graasp.</t>
        </is>
      </c>
      <c r="G255" s="8" t="n"/>
      <c r="H255" s="8" t="n"/>
      <c r="I255" s="8" t="n"/>
      <c r="J255" s="8" t="n"/>
      <c r="K255" s="9" t="n"/>
      <c r="L255" s="9" t="n"/>
      <c r="M255" s="9" t="n"/>
      <c r="N255" s="9" t="n"/>
      <c r="O255" s="10" t="n"/>
      <c r="P255" s="10" t="n"/>
      <c r="Q255" s="10" t="n"/>
      <c r="R255" s="10" t="n"/>
      <c r="S255" s="10" t="n"/>
    </row>
    <row r="256" ht="109" customHeight="1">
      <c r="A256" s="6">
        <f>IFERROR(__xludf.DUMMYFUNCTION("""COMPUTED_VALUE"""),"RATE OF DIFFUSION")</f>
        <v/>
      </c>
      <c r="B256" s="6">
        <f>IFERROR(__xludf.DUMMYFUNCTION("""COMPUTED_VALUE"""),"Resource")</f>
        <v/>
      </c>
      <c r="C256" s="6">
        <f>IFERROR(__xludf.DUMMYFUNCTION("""COMPUTED_VALUE"""),"Q2.graasp")</f>
        <v/>
      </c>
      <c r="D256" s="7">
        <f>IFERROR(__xludf.DUMMYFUNCTION("""COMPUTED_VALUE"""),"&lt;p&gt;2. How does temperature affects rate of diffusion?&lt;/p&gt;")</f>
        <v/>
      </c>
      <c r="E256" s="7">
        <f>IFERROR(__xludf.DUMMYFUNCTION("""COMPUTED_VALUE"""),"No artifact embedded")</f>
        <v/>
      </c>
      <c r="F256" s="7" t="inlineStr">
        <is>
          <t>Students were asked about diffusion and its relation to temperature, with an optional note-taking app available in Item2.</t>
        </is>
      </c>
      <c r="G256" s="8" t="n"/>
      <c r="H256" s="8" t="n"/>
      <c r="I256" s="8" t="n"/>
      <c r="J256" s="8" t="n"/>
      <c r="K256" s="9" t="n"/>
      <c r="L256" s="9" t="n"/>
      <c r="M256" s="9" t="n"/>
      <c r="N256" s="9" t="n"/>
      <c r="O256" s="10" t="n"/>
      <c r="P256" s="10" t="n"/>
      <c r="Q256" s="10" t="n"/>
      <c r="R256" s="10" t="n"/>
      <c r="S256" s="10" t="n"/>
    </row>
    <row r="257" ht="318" customHeight="1">
      <c r="A257" s="6">
        <f>IFERROR(__xludf.DUMMYFUNCTION("""COMPUTED_VALUE"""),"RATE OF DIFFUSION")</f>
        <v/>
      </c>
      <c r="B257" s="6">
        <f>IFERROR(__xludf.DUMMYFUNCTION("""COMPUTED_VALUE"""),"Application")</f>
        <v/>
      </c>
      <c r="C257" s="6">
        <f>IFERROR(__xludf.DUMMYFUNCTION("""COMPUTED_VALUE"""),"Input Box (1)")</f>
        <v/>
      </c>
      <c r="D257" s="7">
        <f>IFERROR(__xludf.DUMMYFUNCTION("""COMPUTED_VALUE"""),"No task description")</f>
        <v/>
      </c>
      <c r="E2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7" s="7" t="inlineStr">
        <is>
          <t>Students received task descriptions and used Golabz apps for note-taking and collaboration, with teachers viewing student inputs in Graasp.</t>
        </is>
      </c>
      <c r="G257" s="8" t="n"/>
      <c r="H257" s="8" t="n"/>
      <c r="I257" s="8" t="n"/>
      <c r="J257" s="8" t="n"/>
      <c r="K257" s="9" t="n"/>
      <c r="L257" s="9" t="n"/>
      <c r="M257" s="9" t="n"/>
      <c r="N257" s="9" t="n"/>
      <c r="O257" s="10" t="n"/>
      <c r="P257" s="10" t="n"/>
      <c r="Q257" s="10" t="n"/>
      <c r="R257" s="10" t="n"/>
      <c r="S257" s="10" t="n"/>
    </row>
    <row r="258" ht="121" customHeight="1">
      <c r="A258" s="6">
        <f>IFERROR(__xludf.DUMMYFUNCTION("""COMPUTED_VALUE"""),"RATE OF DIFFUSION")</f>
        <v/>
      </c>
      <c r="B258" s="6">
        <f>IFERROR(__xludf.DUMMYFUNCTION("""COMPUTED_VALUE"""),"Space")</f>
        <v/>
      </c>
      <c r="C258" s="6">
        <f>IFERROR(__xludf.DUMMYFUNCTION("""COMPUTED_VALUE"""),"Explore")</f>
        <v/>
      </c>
      <c r="D258" s="7">
        <f>IFERROR(__xludf.DUMMYFUNCTION("""COMPUTED_VALUE"""),"No task description")</f>
        <v/>
      </c>
      <c r="E258" s="7">
        <f>IFERROR(__xludf.DUMMYFUNCTION("""COMPUTED_VALUE"""),"No artifact embedded")</f>
        <v/>
      </c>
      <c r="F258" s="7" t="inlineStr">
        <is>
          <t>Students were instructed on temperature's effect on diffusion rate. Embedded artifacts include a note-taking app with optional collaboration mode.</t>
        </is>
      </c>
      <c r="G258" s="8" t="n"/>
      <c r="H258" s="8" t="n"/>
      <c r="I258" s="8" t="n"/>
      <c r="J258" s="8" t="n"/>
      <c r="K258" s="9" t="n"/>
      <c r="L258" s="9" t="n"/>
      <c r="M258" s="9" t="n"/>
      <c r="N258" s="9" t="n"/>
      <c r="O258" s="10" t="n"/>
      <c r="P258" s="10" t="n"/>
      <c r="Q258" s="10" t="n"/>
      <c r="R258" s="10" t="n"/>
      <c r="S258" s="10" t="n"/>
    </row>
    <row r="259" ht="409.6" customHeight="1">
      <c r="A259" s="6">
        <f>IFERROR(__xludf.DUMMYFUNCTION("""COMPUTED_VALUE"""),"RATE OF DIFFUSION")</f>
        <v/>
      </c>
      <c r="B259" s="6">
        <f>IFERROR(__xludf.DUMMYFUNCTION("""COMPUTED_VALUE"""),"Application")</f>
        <v/>
      </c>
      <c r="C259" s="6">
        <f>IFERROR(__xludf.DUMMYFUNCTION("""COMPUTED_VALUE"""),"Hypothesis Scratchpad")</f>
        <v/>
      </c>
      <c r="D259" s="7">
        <f>IFERROR(__xludf.DUMMYFUNCTION("""COMPUTED_VALUE"""),"&lt;p&gt;Before performing an activity in the lab you, first predict what you want to do,thereafter find out in the experiment if your prediction is true or false&lt;/p&gt;")</f>
        <v/>
      </c>
      <c r="E25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59" s="7" t="inlineStr">
        <is>
          <t>Students were given tasks with embedded Golabz apps for note-taking and hypothesis formulation, with optional collaboration modes.</t>
        </is>
      </c>
      <c r="G259" s="8" t="n"/>
      <c r="H259" s="8" t="n"/>
      <c r="I259" s="8" t="n"/>
      <c r="J259" s="8" t="n"/>
      <c r="K259" s="9" t="n"/>
      <c r="L259" s="9" t="n"/>
      <c r="M259" s="9" t="n"/>
      <c r="N259" s="9" t="n"/>
      <c r="O259" s="10" t="n"/>
      <c r="P259" s="10" t="n"/>
      <c r="Q259" s="10" t="n"/>
      <c r="R259" s="10" t="n"/>
      <c r="S259" s="10" t="n"/>
    </row>
    <row r="260" ht="296" customHeight="1">
      <c r="A260" s="6">
        <f>IFERROR(__xludf.DUMMYFUNCTION("""COMPUTED_VALUE"""),"RATE OF DIFFUSION")</f>
        <v/>
      </c>
      <c r="B260" s="6">
        <f>IFERROR(__xludf.DUMMYFUNCTION("""COMPUTED_VALUE"""),"Resource")</f>
        <v/>
      </c>
      <c r="C260" s="6">
        <f>IFERROR(__xludf.DUMMYFUNCTION("""COMPUTED_VALUE"""),"procedure.graasp")</f>
        <v/>
      </c>
      <c r="D260" s="7">
        <f>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
      </c>
      <c r="E260" s="7">
        <f>IFERROR(__xludf.DUMMYFUNCTION("""COMPUTED_VALUE"""),"No artifact embedded")</f>
        <v/>
      </c>
      <c r="F260" s="7" t="inlineStr">
        <is>
          <t>Students are given tasks and tools, including the Hypothesis Scratchpad app, to formulate hypotheses and conduct experiments with configurable settings.</t>
        </is>
      </c>
      <c r="G260" s="8" t="n"/>
      <c r="H260" s="8" t="n"/>
      <c r="I260" s="8" t="n"/>
      <c r="J260" s="8" t="n"/>
      <c r="K260" s="9" t="n"/>
      <c r="L260" s="9" t="n"/>
      <c r="M260" s="9" t="n"/>
      <c r="N260" s="9" t="n"/>
      <c r="O260" s="10" t="n"/>
      <c r="P260" s="10" t="n"/>
      <c r="Q260" s="10" t="n"/>
      <c r="R260" s="10" t="n"/>
      <c r="S260" s="10" t="n"/>
    </row>
    <row r="261" ht="409.6" customHeight="1">
      <c r="A261" s="6">
        <f>IFERROR(__xludf.DUMMYFUNCTION("""COMPUTED_VALUE"""),"RATE OF DIFFUSION")</f>
        <v/>
      </c>
      <c r="B261" s="6">
        <f>IFERROR(__xludf.DUMMYFUNCTION("""COMPUTED_VALUE"""),"Application")</f>
        <v/>
      </c>
      <c r="C261" s="6">
        <f>IFERROR(__xludf.DUMMYFUNCTION("""COMPUTED_VALUE"""),"Diffusion and Molecular Mass App")</f>
        <v/>
      </c>
      <c r="D261" s="7">
        <f>IFERROR(__xludf.DUMMYFUNCTION("""COMPUTED_VALUE"""),"No task description")</f>
        <v/>
      </c>
      <c r="E261" s="7">
        <f>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
      </c>
      <c r="F261" s="7" t="inlineStr">
        <is>
          <t>Students predict outcomes, then test in labs using Golabz app tools like Hypothesis Scratchpad.</t>
        </is>
      </c>
      <c r="G261" s="8" t="n"/>
      <c r="H261" s="8" t="n"/>
      <c r="I261" s="8" t="n"/>
      <c r="J261" s="8" t="n"/>
      <c r="K261" s="9" t="n"/>
      <c r="L261" s="9" t="n"/>
      <c r="M261" s="9" t="n"/>
      <c r="N261" s="9" t="n"/>
      <c r="O261" s="10" t="n"/>
      <c r="P261" s="10" t="n"/>
      <c r="Q261" s="10" t="n"/>
      <c r="R261" s="10" t="n"/>
      <c r="S261" s="10" t="n"/>
    </row>
    <row r="262" ht="384" customHeight="1">
      <c r="A262" s="6">
        <f>IFERROR(__xludf.DUMMYFUNCTION("""COMPUTED_VALUE"""),"RATE OF DIFFUSION")</f>
        <v/>
      </c>
      <c r="B262" s="6">
        <f>IFERROR(__xludf.DUMMYFUNCTION("""COMPUTED_VALUE"""),"Application")</f>
        <v/>
      </c>
      <c r="C262" s="6">
        <f>IFERROR(__xludf.DUMMYFUNCTION("""COMPUTED_VALUE"""),"Observation Tool")</f>
        <v/>
      </c>
      <c r="D262" s="7">
        <f>IFERROR(__xludf.DUMMYFUNCTION("""COMPUTED_VALUE"""),"&lt;p&gt;Write a brief, accurate and precise observation from the experiment&lt;/p&gt;")</f>
        <v/>
      </c>
      <c r="E262"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262" s="7" t="inlineStr">
        <is>
          <t>Students are instructed to conduct an experiment regulating temperature and molecular mass, observing interactions, and recording observations using the Golabz app/lab tool.</t>
        </is>
      </c>
      <c r="G262" s="8" t="n"/>
      <c r="H262" s="8" t="n"/>
      <c r="I262" s="8" t="n"/>
      <c r="J262" s="8" t="n"/>
      <c r="K262" s="9" t="n"/>
      <c r="L262" s="9" t="n"/>
      <c r="M262" s="9" t="n"/>
      <c r="N262" s="9" t="n"/>
      <c r="O262" s="10" t="n"/>
      <c r="P262" s="10" t="n"/>
      <c r="Q262" s="10" t="n"/>
      <c r="R262" s="10" t="n"/>
      <c r="S262" s="10" t="n"/>
    </row>
    <row r="263" ht="409.6" customHeight="1">
      <c r="A263" s="6">
        <f>IFERROR(__xludf.DUMMYFUNCTION("""COMPUTED_VALUE"""),"RATE OF DIFFUSION")</f>
        <v/>
      </c>
      <c r="B263" s="6">
        <f>IFERROR(__xludf.DUMMYFUNCTION("""COMPUTED_VALUE"""),"Application")</f>
        <v/>
      </c>
      <c r="C263" s="6">
        <f>IFERROR(__xludf.DUMMYFUNCTION("""COMPUTED_VALUE"""),"Conclusion Tool")</f>
        <v/>
      </c>
      <c r="D263" s="7">
        <f>IFERROR(__xludf.DUMMYFUNCTION("""COMPUTED_VALUE"""),"No task description")</f>
        <v/>
      </c>
      <c r="E263"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263" s="7" t="inlineStr">
        <is>
          <t>Students are instructed to explore diffusion, record observations, and draw conclusions using Golabz app/lab tools.</t>
        </is>
      </c>
      <c r="G263" s="8" t="n"/>
      <c r="H263" s="8" t="n"/>
      <c r="I263" s="8" t="n"/>
      <c r="J263" s="8" t="n"/>
      <c r="K263" s="9" t="n"/>
      <c r="L263" s="9" t="n"/>
      <c r="M263" s="9" t="n"/>
      <c r="N263" s="9" t="n"/>
      <c r="O263" s="10" t="n"/>
      <c r="P263" s="10" t="n"/>
      <c r="Q263" s="10" t="n"/>
      <c r="R263" s="10" t="n"/>
      <c r="S263" s="10" t="n"/>
    </row>
    <row r="264" ht="97" customHeight="1">
      <c r="A264" s="6">
        <f>IFERROR(__xludf.DUMMYFUNCTION("""COMPUTED_VALUE"""),"RATE OF DIFFUSION")</f>
        <v/>
      </c>
      <c r="B264" s="6">
        <f>IFERROR(__xludf.DUMMYFUNCTION("""COMPUTED_VALUE"""),"Space")</f>
        <v/>
      </c>
      <c r="C264" s="6">
        <f>IFERROR(__xludf.DUMMYFUNCTION("""COMPUTED_VALUE"""),"Explain")</f>
        <v/>
      </c>
      <c r="D264" s="7">
        <f>IFERROR(__xludf.DUMMYFUNCTION("""COMPUTED_VALUE"""),"&lt;p&gt;Respond to the questions below for immediate feedback&lt;/p&gt;")</f>
        <v/>
      </c>
      <c r="E264" s="7">
        <f>IFERROR(__xludf.DUMMYFUNCTION("""COMPUTED_VALUE"""),"No artifact embedded")</f>
        <v/>
      </c>
      <c r="F264" s="7" t="inlineStr">
        <is>
          <t>Students write observations and conclusions using Golabz app tools with configurable collaboration and validation features.</t>
        </is>
      </c>
      <c r="G264" s="8" t="n"/>
      <c r="H264" s="8" t="n"/>
      <c r="I264" s="8" t="n"/>
      <c r="J264" s="8" t="n"/>
      <c r="K264" s="9" t="n"/>
      <c r="L264" s="9" t="n"/>
      <c r="M264" s="9" t="n"/>
      <c r="N264" s="9" t="n"/>
      <c r="O264" s="10" t="n"/>
      <c r="P264" s="10" t="n"/>
      <c r="Q264" s="10" t="n"/>
      <c r="R264" s="10" t="n"/>
      <c r="S264" s="10" t="n"/>
    </row>
    <row r="265" ht="274" customHeight="1">
      <c r="A265" s="6">
        <f>IFERROR(__xludf.DUMMYFUNCTION("""COMPUTED_VALUE"""),"RATE OF DIFFUSION")</f>
        <v/>
      </c>
      <c r="B265" s="6">
        <f>IFERROR(__xludf.DUMMYFUNCTION("""COMPUTED_VALUE"""),"Application")</f>
        <v/>
      </c>
      <c r="C265" s="6">
        <f>IFERROR(__xludf.DUMMYFUNCTION("""COMPUTED_VALUE"""),"Quiz Tool")</f>
        <v/>
      </c>
      <c r="D265" s="7">
        <f>IFERROR(__xludf.DUMMYFUNCTION("""COMPUTED_VALUE"""),"No task description")</f>
        <v/>
      </c>
      <c r="E26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65" s="7" t="inlineStr">
        <is>
          <t>Students are given tasks with Golabz app/lab tools for hypothesis validation and quizzes with interactive configurations.</t>
        </is>
      </c>
      <c r="G265" s="8" t="n"/>
      <c r="H265" s="8" t="n"/>
      <c r="I265" s="8" t="n"/>
      <c r="J265" s="8" t="n"/>
      <c r="K265" s="9" t="n"/>
      <c r="L265" s="9" t="n"/>
      <c r="M265" s="9" t="n"/>
      <c r="N265" s="9" t="n"/>
      <c r="O265" s="10" t="n"/>
      <c r="P265" s="10" t="n"/>
      <c r="Q265" s="10" t="n"/>
      <c r="R265" s="10" t="n"/>
      <c r="S265" s="10" t="n"/>
    </row>
    <row r="266" ht="85" customHeight="1">
      <c r="A266" s="6">
        <f>IFERROR(__xludf.DUMMYFUNCTION("""COMPUTED_VALUE"""),"RATE OF DIFFUSION")</f>
        <v/>
      </c>
      <c r="B266" s="6">
        <f>IFERROR(__xludf.DUMMYFUNCTION("""COMPUTED_VALUE"""),"Resource")</f>
        <v/>
      </c>
      <c r="C266" s="6">
        <f>IFERROR(__xludf.DUMMYFUNCTION("""COMPUTED_VALUE"""),"Q1.graasp")</f>
        <v/>
      </c>
      <c r="D266" s="7">
        <f>IFERROR(__xludf.DUMMYFUNCTION("""COMPUTED_VALUE"""),"&lt;p&gt;Give your feedback in the input box below&lt;/p&gt;")</f>
        <v/>
      </c>
      <c r="E266" s="7">
        <f>IFERROR(__xludf.DUMMYFUNCTION("""COMPUTED_VALUE"""),"No artifact embedded")</f>
        <v/>
      </c>
      <c r="F266" s="7" t="inlineStr">
        <is>
          <t>Students respond to questions for feedback; artifacts include a quiz app with interactive question editing.</t>
        </is>
      </c>
      <c r="G266" s="8" t="n"/>
      <c r="H266" s="8" t="n"/>
      <c r="I266" s="8" t="n"/>
      <c r="J266" s="8" t="n"/>
      <c r="K266" s="9" t="n"/>
      <c r="L266" s="9" t="n"/>
      <c r="M266" s="9" t="n"/>
      <c r="N266" s="9" t="n"/>
      <c r="O266" s="10" t="n"/>
      <c r="P266" s="10" t="n"/>
      <c r="Q266" s="10" t="n"/>
      <c r="R266" s="10" t="n"/>
      <c r="S266" s="10" t="n"/>
    </row>
    <row r="267" ht="318" customHeight="1">
      <c r="A267" s="6">
        <f>IFERROR(__xludf.DUMMYFUNCTION("""COMPUTED_VALUE"""),"RATE OF DIFFUSION")</f>
        <v/>
      </c>
      <c r="B267" s="6">
        <f>IFERROR(__xludf.DUMMYFUNCTION("""COMPUTED_VALUE"""),"Application")</f>
        <v/>
      </c>
      <c r="C267" s="6">
        <f>IFERROR(__xludf.DUMMYFUNCTION("""COMPUTED_VALUE"""),"Input Box")</f>
        <v/>
      </c>
      <c r="D267" s="7">
        <f>IFERROR(__xludf.DUMMYFUNCTION("""COMPUTED_VALUE"""),"No task description")</f>
        <v/>
      </c>
      <c r="E2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67" s="7" t="inlineStr">
        <is>
          <t>Students were given tasks with varying descriptions and embedded artifacts, including Golabz apps for quizzes and note-taking.</t>
        </is>
      </c>
      <c r="G267" s="8" t="n"/>
      <c r="H267" s="8" t="n"/>
      <c r="I267" s="8" t="n"/>
      <c r="J267" s="8" t="n"/>
      <c r="K267" s="9" t="n"/>
      <c r="L267" s="9" t="n"/>
      <c r="M267" s="9" t="n"/>
      <c r="N267" s="9" t="n"/>
      <c r="O267" s="10" t="n"/>
      <c r="P267" s="10" t="n"/>
      <c r="Q267" s="10" t="n"/>
      <c r="R267" s="10" t="n"/>
      <c r="S267" s="10" t="n"/>
    </row>
    <row r="268" ht="85" customHeight="1">
      <c r="A268" s="6">
        <f>IFERROR(__xludf.DUMMYFUNCTION("""COMPUTED_VALUE"""),"RATE OF DIFFUSION")</f>
        <v/>
      </c>
      <c r="B268" s="6">
        <f>IFERROR(__xludf.DUMMYFUNCTION("""COMPUTED_VALUE"""),"Space")</f>
        <v/>
      </c>
      <c r="C268" s="6">
        <f>IFERROR(__xludf.DUMMYFUNCTION("""COMPUTED_VALUE"""),"Elaborate")</f>
        <v/>
      </c>
      <c r="D268" s="7">
        <f>IFERROR(__xludf.DUMMYFUNCTION("""COMPUTED_VALUE"""),"No task description")</f>
        <v/>
      </c>
      <c r="E268" s="7">
        <f>IFERROR(__xludf.DUMMYFUNCTION("""COMPUTED_VALUE"""),"No artifact embedded")</f>
        <v/>
      </c>
      <c r="F268" s="7" t="inlineStr">
        <is>
          <t>Students give feedback in an input box. Artifacts include a Golabz app/lab for note-taking and collaboration.</t>
        </is>
      </c>
      <c r="G268" s="8" t="n"/>
      <c r="H268" s="8" t="n"/>
      <c r="I268" s="8" t="n"/>
      <c r="J268" s="8" t="n"/>
      <c r="K268" s="9" t="n"/>
      <c r="L268" s="9" t="n"/>
      <c r="M268" s="9" t="n"/>
      <c r="N268" s="9" t="n"/>
      <c r="O268" s="10" t="n"/>
      <c r="P268" s="10" t="n"/>
      <c r="Q268" s="10" t="n"/>
      <c r="R268" s="10" t="n"/>
      <c r="S268" s="10" t="n"/>
    </row>
    <row r="269" ht="109" customHeight="1">
      <c r="A269" s="6">
        <f>IFERROR(__xludf.DUMMYFUNCTION("""COMPUTED_VALUE"""),"RATE OF DIFFUSION")</f>
        <v/>
      </c>
      <c r="B269" s="6">
        <f>IFERROR(__xludf.DUMMYFUNCTION("""COMPUTED_VALUE"""),"Space")</f>
        <v/>
      </c>
      <c r="C269" s="6">
        <f>IFERROR(__xludf.DUMMYFUNCTION("""COMPUTED_VALUE"""),"Evaluate")</f>
        <v/>
      </c>
      <c r="D269" s="7">
        <f>IFERROR(__xludf.DUMMYFUNCTION("""COMPUTED_VALUE"""),"No task description")</f>
        <v/>
      </c>
      <c r="E269" s="7">
        <f>IFERROR(__xludf.DUMMYFUNCTION("""COMPUTED_VALUE"""),"No artifact embedded")</f>
        <v/>
      </c>
      <c r="F269" s="7" t="inlineStr">
        <is>
          <t>Students have no task descriptions. Only Item1 has an embedded Golabz app for note-taking, with optional collaboration mode.</t>
        </is>
      </c>
      <c r="G269" s="8" t="n"/>
      <c r="H269" s="8" t="n"/>
      <c r="I269" s="8" t="n"/>
      <c r="J269" s="8" t="n"/>
      <c r="K269" s="9" t="n"/>
      <c r="L269" s="9" t="n"/>
      <c r="M269" s="9" t="n"/>
      <c r="N269" s="9" t="n"/>
      <c r="O269" s="10" t="n"/>
      <c r="P269" s="10" t="n"/>
      <c r="Q269" s="10" t="n"/>
      <c r="R269" s="10" t="n"/>
      <c r="S269" s="10" t="n"/>
    </row>
    <row r="270" ht="49" customHeight="1">
      <c r="A270" s="6">
        <f>IFERROR(__xludf.DUMMYFUNCTION("""COMPUTED_VALUE"""),"How do light and temperature affect photosynthesis in plants? - Version A")</f>
        <v/>
      </c>
      <c r="B270" s="6">
        <f>IFERROR(__xludf.DUMMYFUNCTION("""COMPUTED_VALUE"""),"Space")</f>
        <v/>
      </c>
      <c r="C270" s="6">
        <f>IFERROR(__xludf.DUMMYFUNCTION("""COMPUTED_VALUE"""),"Demo")</f>
        <v/>
      </c>
      <c r="D270" s="7">
        <f>IFERROR(__xludf.DUMMYFUNCTION("""COMPUTED_VALUE"""),"No task description")</f>
        <v/>
      </c>
      <c r="E270" s="7">
        <f>IFERROR(__xludf.DUMMYFUNCTION("""COMPUTED_VALUE"""),"No artifact embedded")</f>
        <v/>
      </c>
      <c r="F270" s="7" t="inlineStr">
        <is>
          <t>No instructions or artifacts are provided for Items 1, 2, and 3.</t>
        </is>
      </c>
      <c r="G270" s="8" t="n"/>
      <c r="H270" s="8" t="n"/>
      <c r="I270" s="8" t="n"/>
      <c r="J270" s="8" t="n"/>
      <c r="K270" s="9" t="n"/>
      <c r="L270" s="9" t="n"/>
      <c r="M270" s="9" t="n"/>
      <c r="N270" s="9" t="n"/>
      <c r="O270" s="10" t="n"/>
      <c r="P270" s="10" t="n"/>
      <c r="Q270" s="10" t="n"/>
      <c r="R270" s="10" t="n"/>
      <c r="S270" s="10" t="n"/>
    </row>
    <row r="271" ht="97" customHeight="1">
      <c r="A271" s="6">
        <f>IFERROR(__xludf.DUMMYFUNCTION("""COMPUTED_VALUE"""),"How do light and temperature affect photosynthesis in plants? - Version A")</f>
        <v/>
      </c>
      <c r="B271" s="6">
        <f>IFERROR(__xludf.DUMMYFUNCTION("""COMPUTED_VALUE"""),"Resource")</f>
        <v/>
      </c>
      <c r="C271" s="6">
        <f>IFERROR(__xludf.DUMMYFUNCTION("""COMPUTED_VALUE"""),"pilt.png")</f>
        <v/>
      </c>
      <c r="D271" s="7">
        <f>IFERROR(__xludf.DUMMYFUNCTION("""COMPUTED_VALUE"""),"No task description")</f>
        <v/>
      </c>
      <c r="E271" s="7">
        <f>IFERROR(__xludf.DUMMYFUNCTION("""COMPUTED_VALUE"""),"image/png – A high-quality image with support for transparency, often used in design and web applications.")</f>
        <v/>
      </c>
      <c r="F271" s="7" t="inlineStr">
        <is>
          <t>No instructions provided; only Item 3 has an embedded PNG image artifact.</t>
        </is>
      </c>
      <c r="G271" s="8" t="n"/>
      <c r="H271" s="8" t="n"/>
      <c r="I271" s="8" t="n"/>
      <c r="J271" s="8" t="n"/>
      <c r="K271" s="9" t="n"/>
      <c r="L271" s="9" t="n"/>
      <c r="M271" s="9" t="n"/>
      <c r="N271" s="9" t="n"/>
      <c r="O271" s="10" t="n"/>
      <c r="P271" s="10" t="n"/>
      <c r="Q271" s="10" t="n"/>
      <c r="R271" s="10" t="n"/>
      <c r="S271" s="10" t="n"/>
    </row>
    <row r="272" ht="169" customHeight="1">
      <c r="A272" s="6">
        <f>IFERROR(__xludf.DUMMYFUNCTION("""COMPUTED_VALUE"""),"How do light and temperature affect photosynthesis in plants? - Version A")</f>
        <v/>
      </c>
      <c r="B272" s="6">
        <f>IFERROR(__xludf.DUMMYFUNCTION("""COMPUTED_VALUE"""),"Resource")</f>
        <v/>
      </c>
      <c r="C272" s="6">
        <f>IFERROR(__xludf.DUMMYFUNCTION("""COMPUTED_VALUE"""),"Tekst5.graasp")</f>
        <v/>
      </c>
      <c r="D272" s="7">
        <f>IFERROR(__xludf.DUMMYFUNCTION("""COMPUTED_VALUE"""),"&lt;p&gt;Look at the picture and think how you could select and place objects on the seesaw so that the seesaw is balanced. Use the scratchpad tool below to formulate a prediction (hypothesis).&lt;br&gt;&lt;/p&gt;")</f>
        <v/>
      </c>
      <c r="E272" s="7">
        <f>IFERROR(__xludf.DUMMYFUNCTION("""COMPUTED_VALUE"""),"No artifact embedded")</f>
        <v/>
      </c>
      <c r="F272" s="7" t="inlineStr">
        <is>
          <t>Students were given tasks with some having no description, while Item3 instructed them to balance a seesaw using objects and formulate a hypothesis. Embedded artifacts included an image/png file in Item2.</t>
        </is>
      </c>
      <c r="G272" s="8" t="n"/>
      <c r="H272" s="8" t="n"/>
      <c r="I272" s="8" t="n"/>
      <c r="J272" s="8" t="n"/>
      <c r="K272" s="9" t="n"/>
      <c r="L272" s="9" t="n"/>
      <c r="M272" s="9" t="n"/>
      <c r="N272" s="9" t="n"/>
      <c r="O272" s="10" t="n"/>
      <c r="P272" s="10" t="n"/>
      <c r="Q272" s="10" t="n"/>
      <c r="R272" s="10" t="n"/>
      <c r="S272" s="10" t="n"/>
    </row>
    <row r="273" ht="409.6" customHeight="1">
      <c r="A273" s="6">
        <f>IFERROR(__xludf.DUMMYFUNCTION("""COMPUTED_VALUE"""),"How do light and temperature affect photosynthesis in plants? - Version A")</f>
        <v/>
      </c>
      <c r="B273" s="6">
        <f>IFERROR(__xludf.DUMMYFUNCTION("""COMPUTED_VALUE"""),"Application")</f>
        <v/>
      </c>
      <c r="C273" s="6">
        <f>IFERROR(__xludf.DUMMYFUNCTION("""COMPUTED_VALUE"""),"Hypothesis Scratchpad")</f>
        <v/>
      </c>
      <c r="D273" s="7">
        <f>IFERROR(__xludf.DUMMYFUNCTION("""COMPUTED_VALUE"""),"No task description")</f>
        <v/>
      </c>
      <c r="E273"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73" s="7" t="inlineStr">
        <is>
          <t>Students are given tasks with varying levels of instruction and embedded artifacts, including images and interactive tools like the Hypothesis Scratchpad.</t>
        </is>
      </c>
      <c r="G273" s="8" t="n"/>
      <c r="H273" s="8" t="n"/>
      <c r="I273" s="8" t="n"/>
      <c r="J273" s="8" t="n"/>
      <c r="K273" s="9" t="n"/>
      <c r="L273" s="9" t="n"/>
      <c r="M273" s="9" t="n"/>
      <c r="N273" s="9" t="n"/>
      <c r="O273" s="10" t="n"/>
      <c r="P273" s="10" t="n"/>
      <c r="Q273" s="10" t="n"/>
      <c r="R273" s="10" t="n"/>
      <c r="S273" s="10" t="n"/>
    </row>
    <row r="274" ht="395" customHeight="1">
      <c r="A274" s="6">
        <f>IFERROR(__xludf.DUMMYFUNCTION("""COMPUTED_VALUE"""),"How do light and temperature affect photosynthesis in plants? - Version A")</f>
        <v/>
      </c>
      <c r="B274" s="6">
        <f>IFERROR(__xludf.DUMMYFUNCTION("""COMPUTED_VALUE"""),"Resource")</f>
        <v/>
      </c>
      <c r="C274" s="6">
        <f>IFERROR(__xludf.DUMMYFUNCTION("""COMPUTED_VALUE"""),"Text 1.graasp")</f>
        <v/>
      </c>
      <c r="D274"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274" s="7">
        <f>IFERROR(__xludf.DUMMYFUNCTION("""COMPUTED_VALUE"""),"No artifact embedded")</f>
        <v/>
      </c>
      <c r="F274" s="7" t="inlineStr">
        <is>
          <t>Students predict seesaw balance using scratchpad tool and collaborate on problem-solving with chat and simulation tools. Embedded artifacts include Golabz app/lab with hypothesis scratchpad.</t>
        </is>
      </c>
      <c r="G274" s="8" t="n"/>
      <c r="H274" s="8" t="n"/>
      <c r="I274" s="8" t="n"/>
      <c r="J274" s="8" t="n"/>
      <c r="K274" s="9" t="n"/>
      <c r="L274" s="9" t="n"/>
      <c r="M274" s="9" t="n"/>
      <c r="N274" s="9" t="n"/>
      <c r="O274" s="10" t="n"/>
      <c r="P274" s="10" t="n"/>
      <c r="Q274" s="10" t="n"/>
      <c r="R274" s="10" t="n"/>
      <c r="S274" s="10" t="n"/>
    </row>
    <row r="275" ht="409.6" customHeight="1">
      <c r="A275" s="6">
        <f>IFERROR(__xludf.DUMMYFUNCTION("""COMPUTED_VALUE"""),"How do light and temperature affect photosynthesis in plants? - Version A")</f>
        <v/>
      </c>
      <c r="B275" s="6">
        <f>IFERROR(__xludf.DUMMYFUNCTION("""COMPUTED_VALUE"""),"Resource")</f>
        <v/>
      </c>
      <c r="C275" s="6">
        <f>IFERROR(__xludf.DUMMYFUNCTION("""COMPUTED_VALUE"""),"instructions for the simulation and chat app.graasp")</f>
        <v/>
      </c>
      <c r="D275"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275" s="7">
        <f>IFERROR(__xludf.DUMMYFUNCTION("""COMPUTED_VALUE"""),"No artifact embedded")</f>
        <v/>
      </c>
      <c r="F275" s="7" t="inlineStr">
        <is>
          <t>Students are instructed to collaborate on a seesaw problem using a simulation and chat app, with specific steps to join and interact with the task. Embedded artifacts include the Hypothesis Scratchpad tool.</t>
        </is>
      </c>
      <c r="G275" s="8" t="n"/>
      <c r="H275" s="8" t="n"/>
      <c r="I275" s="8" t="n"/>
      <c r="J275" s="8" t="n"/>
      <c r="K275" s="9" t="n"/>
      <c r="L275" s="9" t="n"/>
      <c r="M275" s="9" t="n"/>
      <c r="N275" s="9" t="n"/>
      <c r="O275" s="10" t="n"/>
      <c r="P275" s="10" t="n"/>
      <c r="Q275" s="10" t="n"/>
      <c r="R275" s="10" t="n"/>
      <c r="S275" s="10" t="n"/>
    </row>
    <row r="276" ht="409.6" customHeight="1">
      <c r="A276" s="6">
        <f>IFERROR(__xludf.DUMMYFUNCTION("""COMPUTED_VALUE"""),"How do light and temperature affect photosynthesis in plants? - Version A")</f>
        <v/>
      </c>
      <c r="B276" s="6">
        <f>IFERROR(__xludf.DUMMYFUNCTION("""COMPUTED_VALUE"""),"Application")</f>
        <v/>
      </c>
      <c r="C276" s="6">
        <f>IFERROR(__xludf.DUMMYFUNCTION("""COMPUTED_VALUE"""),"Seesaw Lab - right side")</f>
        <v/>
      </c>
      <c r="D276" s="7">
        <f>IFERROR(__xludf.DUMMYFUNCTION("""COMPUTED_VALUE"""),"No task description")</f>
        <v/>
      </c>
      <c r="E276"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276" s="7" t="inlineStr">
        <is>
          <t>Students collaborate on a seesaw simulation, using chat apps to communicate. Embedded artifacts include Golabz app/lab and SpeakUP app for collaborative problem-solving.</t>
        </is>
      </c>
      <c r="G276" s="8" t="n"/>
      <c r="H276" s="8" t="n"/>
      <c r="I276" s="8" t="n"/>
      <c r="J276" s="8" t="n"/>
      <c r="K276" s="9" t="n"/>
      <c r="L276" s="9" t="n"/>
      <c r="M276" s="9" t="n"/>
      <c r="N276" s="9" t="n"/>
      <c r="O276" s="10" t="n"/>
      <c r="P276" s="10" t="n"/>
      <c r="Q276" s="10" t="n"/>
      <c r="R276" s="10" t="n"/>
      <c r="S276" s="10" t="n"/>
    </row>
    <row r="277" ht="181" customHeight="1">
      <c r="A277" s="6">
        <f>IFERROR(__xludf.DUMMYFUNCTION("""COMPUTED_VALUE"""),"How do light and temperature affect photosynthesis in plants? - Version A")</f>
        <v/>
      </c>
      <c r="B277" s="6">
        <f>IFERROR(__xludf.DUMMYFUNCTION("""COMPUTED_VALUE"""),"Resource")</f>
        <v/>
      </c>
      <c r="C277" s="6">
        <f>IFERROR(__xludf.DUMMYFUNCTION("""COMPUTED_VALUE"""),"tips.png")</f>
        <v/>
      </c>
      <c r="D277" s="7">
        <f>IFERROR(__xludf.DUMMYFUNCTION("""COMPUTED_VALUE"""),"No task description")</f>
        <v/>
      </c>
      <c r="E277" s="7">
        <f>IFERROR(__xludf.DUMMYFUNCTION("""COMPUTED_VALUE"""),"image/png – A high-quality image with support for transparency, often used in design and web applications.")</f>
        <v/>
      </c>
      <c r="F277" s="7" t="inlineStr">
        <is>
          <t>Students are given instructions to use a simulation and chat app, sharing a seesaw and interacting with one side, using a chat application to communicate. Embedded artifacts include Golabz app/lab and an image/png file.</t>
        </is>
      </c>
      <c r="G277" s="8" t="n"/>
      <c r="H277" s="8" t="n"/>
      <c r="I277" s="8" t="n"/>
      <c r="J277" s="8" t="n"/>
      <c r="K277" s="9" t="n"/>
      <c r="L277" s="9" t="n"/>
      <c r="M277" s="9" t="n"/>
      <c r="N277" s="9" t="n"/>
      <c r="O277" s="10" t="n"/>
      <c r="P277" s="10" t="n"/>
      <c r="Q277" s="10" t="n"/>
      <c r="R277" s="10" t="n"/>
      <c r="S277" s="10" t="n"/>
    </row>
    <row r="278" ht="409.6" customHeight="1">
      <c r="A278" s="6">
        <f>IFERROR(__xludf.DUMMYFUNCTION("""COMPUTED_VALUE"""),"How do light and temperature affect photosynthesis in plants? - Version A")</f>
        <v/>
      </c>
      <c r="B278" s="6">
        <f>IFERROR(__xludf.DUMMYFUNCTION("""COMPUTED_VALUE"""),"Application")</f>
        <v/>
      </c>
      <c r="C278" s="6">
        <f>IFERROR(__xludf.DUMMYFUNCTION("""COMPUTED_VALUE"""),"SpeakUp")</f>
        <v/>
      </c>
      <c r="D278" s="7">
        <f>IFERROR(__xludf.DUMMYFUNCTION("""COMPUTED_VALUE"""),"No task description")</f>
        <v/>
      </c>
      <c r="E278"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78" s="7" t="inlineStr">
        <is>
          <t>Students use Golabz app/labs with tasks and teaching tips provided; artifacts include seesaw and chat labs.</t>
        </is>
      </c>
      <c r="G278" s="8" t="n"/>
      <c r="H278" s="8" t="n"/>
      <c r="I278" s="8" t="n"/>
      <c r="J278" s="8" t="n"/>
      <c r="K278" s="9" t="n"/>
      <c r="L278" s="9" t="n"/>
      <c r="M278" s="9" t="n"/>
      <c r="N278" s="9" t="n"/>
      <c r="O278" s="10" t="n"/>
      <c r="P278" s="10" t="n"/>
      <c r="Q278" s="10" t="n"/>
      <c r="R278" s="10" t="n"/>
      <c r="S278" s="10" t="n"/>
    </row>
    <row r="279" ht="318" customHeight="1">
      <c r="A279" s="6">
        <f>IFERROR(__xludf.DUMMYFUNCTION("""COMPUTED_VALUE"""),"How do light and temperature affect photosynthesis in plants? - Version A")</f>
        <v/>
      </c>
      <c r="B279" s="6">
        <f>IFERROR(__xludf.DUMMYFUNCTION("""COMPUTED_VALUE"""),"Application")</f>
        <v/>
      </c>
      <c r="C279" s="6">
        <f>IFERROR(__xludf.DUMMYFUNCTION("""COMPUTED_VALUE"""),"Input Box 1")</f>
        <v/>
      </c>
      <c r="D279" s="7">
        <f>IFERROR(__xludf.DUMMYFUNCTION("""COMPUTED_VALUE"""),"&lt;p&gt;&lt;strong&gt;3. &lt;/strong&gt;&lt;strong&gt;Question&lt;/strong&gt;&lt;/p&gt;&lt;p&gt;Is it possible to balance the seesaw using a total of 3 objects on the seesaw? If so, then describe exactly how in the space below.&lt;/p&gt;")</f>
        <v/>
      </c>
      <c r="E27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79" s="7" t="inlineStr">
        <is>
          <t>No task descriptions for Items 1 and 2; Item 3 asks about balancing a seesaw with 3 objects. Embedded artifacts include images, Golabz apps (SpeakUp and input box), and labs.</t>
        </is>
      </c>
      <c r="G279" s="8" t="n"/>
      <c r="H279" s="8" t="n"/>
      <c r="I279" s="8" t="n"/>
      <c r="J279" s="8" t="n"/>
      <c r="K279" s="9" t="n"/>
      <c r="L279" s="9" t="n"/>
      <c r="M279" s="9" t="n"/>
      <c r="N279" s="9" t="n"/>
      <c r="O279" s="10" t="n"/>
      <c r="P279" s="10" t="n"/>
      <c r="Q279" s="10" t="n"/>
      <c r="R279" s="10" t="n"/>
      <c r="S279" s="10" t="n"/>
    </row>
    <row r="280" ht="229" customHeight="1">
      <c r="A280" s="6">
        <f>IFERROR(__xludf.DUMMYFUNCTION("""COMPUTED_VALUE"""),"How do light and temperature affect photosynthesis in plants? - Version A")</f>
        <v/>
      </c>
      <c r="B280" s="6">
        <f>IFERROR(__xludf.DUMMYFUNCTION("""COMPUTED_VALUE"""),"Resource")</f>
        <v/>
      </c>
      <c r="C280" s="6">
        <f>IFERROR(__xludf.DUMMYFUNCTION("""COMPUTED_VALUE"""),"Text 4.graasp")</f>
        <v/>
      </c>
      <c r="D280"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280" s="7">
        <f>IFERROR(__xludf.DUMMYFUNCTION("""COMPUTED_VALUE"""),"No artifact embedded")</f>
        <v/>
      </c>
      <c r="F280" s="7" t="inlineStr">
        <is>
          <t>Students received tasks with varying descriptions and embedded artifacts, including apps for discussion and note-taking.</t>
        </is>
      </c>
      <c r="G280" s="8" t="n"/>
      <c r="H280" s="8" t="n"/>
      <c r="I280" s="8" t="n"/>
      <c r="J280" s="8" t="n"/>
      <c r="K280" s="9" t="n"/>
      <c r="L280" s="9" t="n"/>
      <c r="M280" s="9" t="n"/>
      <c r="N280" s="9" t="n"/>
      <c r="O280" s="10" t="n"/>
      <c r="P280" s="10" t="n"/>
      <c r="Q280" s="10" t="n"/>
      <c r="R280" s="10" t="n"/>
      <c r="S280" s="10" t="n"/>
    </row>
    <row r="281" ht="85" customHeight="1">
      <c r="A281" s="6">
        <f>IFERROR(__xludf.DUMMYFUNCTION("""COMPUTED_VALUE"""),"How do light and temperature affect photosynthesis in plants? - Version A")</f>
        <v/>
      </c>
      <c r="B281" s="6">
        <f>IFERROR(__xludf.DUMMYFUNCTION("""COMPUTED_VALUE"""),"Space")</f>
        <v/>
      </c>
      <c r="C281" s="6">
        <f>IFERROR(__xludf.DUMMYFUNCTION("""COMPUTED_VALUE"""),"Intro")</f>
        <v/>
      </c>
      <c r="D281" s="7">
        <f>IFERROR(__xludf.DUMMYFUNCTION("""COMPUTED_VALUE"""),"No task description")</f>
        <v/>
      </c>
      <c r="E281" s="7">
        <f>IFERROR(__xludf.DUMMYFUNCTION("""COMPUTED_VALUE"""),"No artifact embedded")</f>
        <v/>
      </c>
      <c r="F281" s="7" t="inlineStr">
        <is>
          <t>Students balance a seesaw with 3 objects and describe the process, using the Golabz app for note-taking.</t>
        </is>
      </c>
      <c r="G281" s="8" t="n"/>
      <c r="H281" s="8" t="n"/>
      <c r="I281" s="8" t="n"/>
      <c r="J281" s="8" t="n"/>
      <c r="K281" s="9" t="n"/>
      <c r="L281" s="9" t="n"/>
      <c r="M281" s="9" t="n"/>
      <c r="N281" s="9" t="n"/>
      <c r="O281" s="10" t="n"/>
      <c r="P281" s="10" t="n"/>
      <c r="Q281" s="10" t="n"/>
      <c r="R281" s="10" t="n"/>
      <c r="S281" s="10" t="n"/>
    </row>
    <row r="282" ht="318" customHeight="1">
      <c r="A282" s="6">
        <f>IFERROR(__xludf.DUMMYFUNCTION("""COMPUTED_VALUE"""),"How do light and temperature affect photosynthesis in plants? - Version A")</f>
        <v/>
      </c>
      <c r="B282" s="6">
        <f>IFERROR(__xludf.DUMMYFUNCTION("""COMPUTED_VALUE"""),"Resource")</f>
        <v/>
      </c>
      <c r="C282" s="6">
        <f>IFERROR(__xludf.DUMMYFUNCTION("""COMPUTED_VALUE"""),"Teooria.graasp")</f>
        <v/>
      </c>
      <c r="D282"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282" s="7">
        <f>IFERROR(__xludf.DUMMYFUNCTION("""COMPUTED_VALUE"""),"No artifact embedded")</f>
        <v/>
      </c>
      <c r="F282" s="7" t="inlineStr">
        <is>
          <t>Students are given task descriptions, including one about plant photosynthesis, with no embedded artifacts provided.</t>
        </is>
      </c>
      <c r="G282" s="8" t="n"/>
      <c r="H282" s="8" t="n"/>
      <c r="I282" s="8" t="n"/>
      <c r="J282" s="8" t="n"/>
      <c r="K282" s="9" t="n"/>
      <c r="L282" s="9" t="n"/>
      <c r="M282" s="9" t="n"/>
      <c r="N282" s="9" t="n"/>
      <c r="O282" s="10" t="n"/>
      <c r="P282" s="10" t="n"/>
      <c r="Q282" s="10" t="n"/>
      <c r="R282" s="10" t="n"/>
      <c r="S282" s="10" t="n"/>
    </row>
    <row r="283" ht="109" customHeight="1">
      <c r="A283" s="6">
        <f>IFERROR(__xludf.DUMMYFUNCTION("""COMPUTED_VALUE"""),"How do light and temperature affect photosynthesis in plants? - Version A")</f>
        <v/>
      </c>
      <c r="B283" s="6">
        <f>IFERROR(__xludf.DUMMYFUNCTION("""COMPUTED_VALUE"""),"Resource")</f>
        <v/>
      </c>
      <c r="C283" s="6">
        <f>IFERROR(__xludf.DUMMYFUNCTION("""COMPUTED_VALUE"""),"photosynthesis.jpg")</f>
        <v/>
      </c>
      <c r="D283" s="7">
        <f>IFERROR(__xludf.DUMMYFUNCTION("""COMPUTED_VALUE"""),"CARBON DIOXIDE _—v .7 WATER &amp; MINERALS")</f>
        <v/>
      </c>
      <c r="E283" s="7">
        <f>IFERROR(__xludf.DUMMYFUNCTION("""COMPUTED_VALUE"""),"image/jpeg – A digital photograph or web image stored in a compressed format, often used for photography and web graphics.")</f>
        <v/>
      </c>
      <c r="F283" s="7" t="inlineStr">
        <is>
          <t>Students are introduced to photosynthesis. Embedded artifacts include no items in Item1 and Item2, but an image/jpeg in Item3.</t>
        </is>
      </c>
      <c r="G283" s="8" t="n"/>
      <c r="H283" s="8" t="n"/>
      <c r="I283" s="8" t="n"/>
      <c r="J283" s="8" t="n"/>
      <c r="K283" s="9" t="n"/>
      <c r="L283" s="9" t="n"/>
      <c r="M283" s="9" t="n"/>
      <c r="N283" s="9" t="n"/>
      <c r="O283" s="10" t="n"/>
      <c r="P283" s="10" t="n"/>
      <c r="Q283" s="10" t="n"/>
      <c r="R283" s="10" t="n"/>
      <c r="S283" s="10" t="n"/>
    </row>
    <row r="284" ht="409.6" customHeight="1">
      <c r="A284" s="6">
        <f>IFERROR(__xludf.DUMMYFUNCTION("""COMPUTED_VALUE"""),"How do light and temperature affect photosynthesis in plants? - Version A")</f>
        <v/>
      </c>
      <c r="B284" s="6">
        <f>IFERROR(__xludf.DUMMYFUNCTION("""COMPUTED_VALUE"""),"Resource")</f>
        <v/>
      </c>
      <c r="C284" s="6">
        <f>IFERROR(__xludf.DUMMYFUNCTION("""COMPUTED_VALUE"""),"Veetaimedest.graasp")</f>
        <v/>
      </c>
      <c r="D284"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284" s="7">
        <f>IFERROR(__xludf.DUMMYFUNCTION("""COMPUTED_VALUE"""),"No artifact embedded")</f>
        <v/>
      </c>
      <c r="F284" s="7" t="inlineStr">
        <is>
          <t>Students learn about plant photosynthesis and complete a quiz with single-response questions. Embedded artifacts include a digital photograph in Item 2.</t>
        </is>
      </c>
      <c r="G284" s="8" t="n"/>
      <c r="H284" s="8" t="n"/>
      <c r="I284" s="8" t="n"/>
      <c r="J284" s="8" t="n"/>
      <c r="K284" s="9" t="n"/>
      <c r="L284" s="9" t="n"/>
      <c r="M284" s="9" t="n"/>
      <c r="N284" s="9" t="n"/>
      <c r="O284" s="10" t="n"/>
      <c r="P284" s="10" t="n"/>
      <c r="Q284" s="10" t="n"/>
      <c r="R284" s="10" t="n"/>
      <c r="S284" s="10" t="n"/>
    </row>
    <row r="285" ht="274" customHeight="1">
      <c r="A285" s="6">
        <f>IFERROR(__xludf.DUMMYFUNCTION("""COMPUTED_VALUE"""),"How do light and temperature affect photosynthesis in plants? - Version A")</f>
        <v/>
      </c>
      <c r="B285" s="6">
        <f>IFERROR(__xludf.DUMMYFUNCTION("""COMPUTED_VALUE"""),"Application")</f>
        <v/>
      </c>
      <c r="C285" s="6">
        <f>IFERROR(__xludf.DUMMYFUNCTION("""COMPUTED_VALUE"""),"Quiz Tool")</f>
        <v/>
      </c>
      <c r="D285" s="7">
        <f>IFERROR(__xludf.DUMMYFUNCTION("""COMPUTED_VALUE"""),"No task description")</f>
        <v/>
      </c>
      <c r="E28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5" s="7" t="inlineStr">
        <is>
          <t>Students are given task descriptions on carbon dioxide, water, and photosynthesis, with some items including embedded artifacts like images or quizzes.</t>
        </is>
      </c>
      <c r="G285" s="8" t="n"/>
      <c r="H285" s="8" t="n"/>
      <c r="I285" s="8" t="n"/>
      <c r="J285" s="8" t="n"/>
      <c r="K285" s="9" t="n"/>
      <c r="L285" s="9" t="n"/>
      <c r="M285" s="9" t="n"/>
      <c r="N285" s="9" t="n"/>
      <c r="O285" s="10" t="n"/>
      <c r="P285" s="10" t="n"/>
      <c r="Q285" s="10" t="n"/>
      <c r="R285" s="10" t="n"/>
      <c r="S285" s="10" t="n"/>
    </row>
    <row r="286" ht="157" customHeight="1">
      <c r="A286" s="6">
        <f>IFERROR(__xludf.DUMMYFUNCTION("""COMPUTED_VALUE"""),"How do light and temperature affect photosynthesis in plants? - Version A")</f>
        <v/>
      </c>
      <c r="B286" s="6">
        <f>IFERROR(__xludf.DUMMYFUNCTION("""COMPUTED_VALUE"""),"Resource")</f>
        <v/>
      </c>
      <c r="C286" s="6">
        <f>IFERROR(__xludf.DUMMYFUNCTION("""COMPUTED_VALUE"""),"Edasi juhatus.graasp")</f>
        <v/>
      </c>
      <c r="D286" s="7">
        <f>IFERROR(__xludf.DUMMYFUNCTION("""COMPUTED_VALUE"""),"&lt;p&gt;Next you will explore how light and season of year affect photosynthesis in aquarium plants. Click on the tab &lt;strong&gt;Explore&lt;/strong&gt; at the top of your screen.&lt;/p&gt;&lt;p&gt;&lt;br&gt;&lt;/p&gt;&lt;p&gt;&lt;br&gt;&lt;/p&gt;")</f>
        <v/>
      </c>
      <c r="E286" s="7">
        <f>IFERROR(__xludf.DUMMYFUNCTION("""COMPUTED_VALUE"""),"No artifact embedded")</f>
        <v/>
      </c>
      <c r="F286" s="7" t="inlineStr">
        <is>
          <t>Students complete a quiz on aquatic plant photosynthesis, with one attempt per question, and then explore how light and season affect photosynthesis using an interactive tool.</t>
        </is>
      </c>
      <c r="G286" s="8" t="n"/>
      <c r="H286" s="8" t="n"/>
      <c r="I286" s="8" t="n"/>
      <c r="J286" s="8" t="n"/>
      <c r="K286" s="9" t="n"/>
      <c r="L286" s="9" t="n"/>
      <c r="M286" s="9" t="n"/>
      <c r="N286" s="9" t="n"/>
      <c r="O286" s="10" t="n"/>
      <c r="P286" s="10" t="n"/>
      <c r="Q286" s="10" t="n"/>
      <c r="R286" s="10" t="n"/>
      <c r="S286" s="10" t="n"/>
    </row>
    <row r="287" ht="121" customHeight="1">
      <c r="A287" s="6">
        <f>IFERROR(__xludf.DUMMYFUNCTION("""COMPUTED_VALUE"""),"How do light and temperature affect photosynthesis in plants? - Version A")</f>
        <v/>
      </c>
      <c r="B287" s="6">
        <f>IFERROR(__xludf.DUMMYFUNCTION("""COMPUTED_VALUE"""),"Space")</f>
        <v/>
      </c>
      <c r="C287" s="6">
        <f>IFERROR(__xludf.DUMMYFUNCTION("""COMPUTED_VALUE"""),"Explore")</f>
        <v/>
      </c>
      <c r="D287" s="7">
        <f>IFERROR(__xludf.DUMMYFUNCTION("""COMPUTED_VALUE"""),"No task description")</f>
        <v/>
      </c>
      <c r="E287" s="7">
        <f>IFERROR(__xludf.DUMMYFUNCTION("""COMPUTED_VALUE"""),"No artifact embedded")</f>
        <v/>
      </c>
      <c r="F287" s="7" t="inlineStr">
        <is>
          <t>Students received varying instructions, with Item1 featuring a quiz app, Item2 exploring photosynthesis, and Items 1 and 3 having embedded artifacts.</t>
        </is>
      </c>
      <c r="G287" s="8" t="n"/>
      <c r="H287" s="8" t="n"/>
      <c r="I287" s="8" t="n"/>
      <c r="J287" s="8" t="n"/>
      <c r="K287" s="9" t="n"/>
      <c r="L287" s="9" t="n"/>
      <c r="M287" s="9" t="n"/>
      <c r="N287" s="9" t="n"/>
      <c r="O287" s="10" t="n"/>
      <c r="P287" s="10" t="n"/>
      <c r="Q287" s="10" t="n"/>
      <c r="R287" s="10" t="n"/>
      <c r="S287" s="10" t="n"/>
    </row>
    <row r="288" ht="97" customHeight="1">
      <c r="A288" s="6">
        <f>IFERROR(__xludf.DUMMYFUNCTION("""COMPUTED_VALUE"""),"How do light and temperature affect photosynthesis in plants? - Version A")</f>
        <v/>
      </c>
      <c r="B288" s="6">
        <f>IFERROR(__xludf.DUMMYFUNCTION("""COMPUTED_VALUE"""),"Resource")</f>
        <v/>
      </c>
      <c r="C288" s="6">
        <f>IFERROR(__xludf.DUMMYFUNCTION("""COMPUTED_VALUE"""),"elodea.gif")</f>
        <v/>
      </c>
      <c r="D288" s="7">
        <f>IFERROR(__xludf.DUMMYFUNCTION("""COMPUTED_VALUE"""),"No task description")</f>
        <v/>
      </c>
      <c r="E288" s="7">
        <f>IFERROR(__xludf.DUMMYFUNCTION("""COMPUTED_VALUE"""),"image/gif – An animated or static graphic using the GIF format, often seen in memes and web animations.")</f>
        <v/>
      </c>
      <c r="F288" s="7" t="inlineStr">
        <is>
          <t>Students explore photosynthesis in aquarium plants via "Explore" tab. Embedded artifacts include a GIF image in Item 3.</t>
        </is>
      </c>
      <c r="G288" s="8" t="n"/>
      <c r="H288" s="8" t="n"/>
      <c r="I288" s="8" t="n"/>
      <c r="J288" s="8" t="n"/>
      <c r="K288" s="9" t="n"/>
      <c r="L288" s="9" t="n"/>
      <c r="M288" s="9" t="n"/>
      <c r="N288" s="9" t="n"/>
      <c r="O288" s="10" t="n"/>
      <c r="P288" s="10" t="n"/>
      <c r="Q288" s="10" t="n"/>
      <c r="R288" s="10" t="n"/>
      <c r="S288" s="10" t="n"/>
    </row>
    <row r="289" ht="109" customHeight="1">
      <c r="A289" s="6">
        <f>IFERROR(__xludf.DUMMYFUNCTION("""COMPUTED_VALUE"""),"How do light and temperature affect photosynthesis in plants? - Version A")</f>
        <v/>
      </c>
      <c r="B289" s="6">
        <f>IFERROR(__xludf.DUMMYFUNCTION("""COMPUTED_VALUE"""),"Resource")</f>
        <v/>
      </c>
      <c r="C289" s="6">
        <f>IFERROR(__xludf.DUMMYFUNCTION("""COMPUTED_VALUE"""),"tekst4.graasp")</f>
        <v/>
      </c>
      <c r="D289" s="7">
        <f>IFERROR(__xludf.DUMMYFUNCTION("""COMPUTED_VALUE"""),"&lt;p&gt;Look at the video clip and answer these questions.&lt;/p&gt;")</f>
        <v/>
      </c>
      <c r="E289" s="7">
        <f>IFERROR(__xludf.DUMMYFUNCTION("""COMPUTED_VALUE"""),"No artifact embedded")</f>
        <v/>
      </c>
      <c r="F289" s="7" t="inlineStr">
        <is>
          <t>Students received task descriptions and artifacts, including a GIF image, to complete assignments with varying levels of guidance.</t>
        </is>
      </c>
      <c r="G289" s="8" t="n"/>
      <c r="H289" s="8" t="n"/>
      <c r="I289" s="8" t="n"/>
      <c r="J289" s="8" t="n"/>
      <c r="K289" s="9" t="n"/>
      <c r="L289" s="9" t="n"/>
      <c r="M289" s="9" t="n"/>
      <c r="N289" s="9" t="n"/>
      <c r="O289" s="10" t="n"/>
      <c r="P289" s="10" t="n"/>
      <c r="Q289" s="10" t="n"/>
      <c r="R289" s="10" t="n"/>
      <c r="S289" s="10" t="n"/>
    </row>
    <row r="290" ht="274" customHeight="1">
      <c r="A290" s="6">
        <f>IFERROR(__xludf.DUMMYFUNCTION("""COMPUTED_VALUE"""),"How do light and temperature affect photosynthesis in plants? - Version A")</f>
        <v/>
      </c>
      <c r="B290" s="6">
        <f>IFERROR(__xludf.DUMMYFUNCTION("""COMPUTED_VALUE"""),"Application")</f>
        <v/>
      </c>
      <c r="C290" s="6">
        <f>IFERROR(__xludf.DUMMYFUNCTION("""COMPUTED_VALUE"""),"Quiz Tool")</f>
        <v/>
      </c>
      <c r="D290" s="7">
        <f>IFERROR(__xludf.DUMMYFUNCTION("""COMPUTED_VALUE"""),"No task description")</f>
        <v/>
      </c>
      <c r="E29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90" s="7" t="inlineStr">
        <is>
          <t>Students received tasks with varying descriptions and embedded artifacts, including GIF images and a quiz app.</t>
        </is>
      </c>
      <c r="G290" s="8" t="n"/>
      <c r="H290" s="8" t="n"/>
      <c r="I290" s="8" t="n"/>
      <c r="J290" s="8" t="n"/>
      <c r="K290" s="9" t="n"/>
      <c r="L290" s="9" t="n"/>
      <c r="M290" s="9" t="n"/>
      <c r="N290" s="9" t="n"/>
      <c r="O290" s="10" t="n"/>
      <c r="P290" s="10" t="n"/>
      <c r="Q290" s="10" t="n"/>
      <c r="R290" s="10" t="n"/>
      <c r="S290" s="10" t="n"/>
    </row>
    <row r="291" ht="409.6" customHeight="1">
      <c r="A291" s="6">
        <f>IFERROR(__xludf.DUMMYFUNCTION("""COMPUTED_VALUE"""),"How do light and temperature affect photosynthesis in plants? - Version A")</f>
        <v/>
      </c>
      <c r="B291" s="6">
        <f>IFERROR(__xludf.DUMMYFUNCTION("""COMPUTED_VALUE"""),"Resource")</f>
        <v/>
      </c>
      <c r="C291" s="6">
        <f>IFERROR(__xludf.DUMMYFUNCTION("""COMPUTED_VALUE"""),"Text 1.graasp")</f>
        <v/>
      </c>
      <c r="D291"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291" s="7">
        <f>IFERROR(__xludf.DUMMYFUNCTION("""COMPUTED_VALUE"""),"No artifact embedded")</f>
        <v/>
      </c>
      <c r="F291" s="7" t="inlineStr">
        <is>
          <t>Students are given tasks with varying instructions and tools, including video clips, quizzes, and collaborative simulations. Embedded artifacts include a quiz app and interactive configurations.</t>
        </is>
      </c>
      <c r="G291" s="8" t="n"/>
      <c r="H291" s="8" t="n"/>
      <c r="I291" s="8" t="n"/>
      <c r="J291" s="8" t="n"/>
      <c r="K291" s="9" t="n"/>
      <c r="L291" s="9" t="n"/>
      <c r="M291" s="9" t="n"/>
      <c r="N291" s="9" t="n"/>
      <c r="O291" s="10" t="n"/>
      <c r="P291" s="10" t="n"/>
      <c r="Q291" s="10" t="n"/>
      <c r="R291" s="10" t="n"/>
      <c r="S291" s="10" t="n"/>
    </row>
    <row r="292" ht="362" customHeight="1">
      <c r="A292" s="6">
        <f>IFERROR(__xludf.DUMMYFUNCTION("""COMPUTED_VALUE"""),"How do light and temperature affect photosynthesis in plants? - Version A")</f>
        <v/>
      </c>
      <c r="B292" s="6">
        <f>IFERROR(__xludf.DUMMYFUNCTION("""COMPUTED_VALUE"""),"Resource")</f>
        <v/>
      </c>
      <c r="C292" s="6">
        <f>IFERROR(__xludf.DUMMYFUNCTION("""COMPUTED_VALUE"""),"instructions for the simulation and chat app.graasp")</f>
        <v/>
      </c>
      <c r="D292"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292" s="7">
        <f>IFERROR(__xludf.DUMMYFUNCTION("""COMPUTED_VALUE"""),"No artifact embedded")</f>
        <v/>
      </c>
      <c r="F292" s="7" t="inlineStr">
        <is>
          <t>Students received task descriptions and interacted with embedded artifacts, including a quiz app and simulation/chat application.</t>
        </is>
      </c>
      <c r="G292" s="8" t="n"/>
      <c r="H292" s="8" t="n"/>
      <c r="I292" s="8" t="n"/>
      <c r="J292" s="8" t="n"/>
      <c r="K292" s="9" t="n"/>
      <c r="L292" s="9" t="n"/>
      <c r="M292" s="9" t="n"/>
      <c r="N292" s="9" t="n"/>
      <c r="O292" s="10" t="n"/>
      <c r="P292" s="10" t="n"/>
      <c r="Q292" s="10" t="n"/>
      <c r="R292" s="10" t="n"/>
      <c r="S292" s="10" t="n"/>
    </row>
    <row r="293" ht="409.6" customHeight="1">
      <c r="A293" s="6">
        <f>IFERROR(__xludf.DUMMYFUNCTION("""COMPUTED_VALUE"""),"How do light and temperature affect photosynthesis in plants? - Version A")</f>
        <v/>
      </c>
      <c r="B293" s="6">
        <f>IFERROR(__xludf.DUMMYFUNCTION("""COMPUTED_VALUE"""),"Application")</f>
        <v/>
      </c>
      <c r="C293" s="6">
        <f>IFERROR(__xludf.DUMMYFUNCTION("""COMPUTED_VALUE"""),"Rate of Photosynthesis Lab - only season control")</f>
        <v/>
      </c>
      <c r="D293" s="7">
        <f>IFERROR(__xludf.DUMMYFUNCTION("""COMPUTED_VALUE"""),"No task description")</f>
        <v/>
      </c>
      <c r="E293"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293" s="7" t="inlineStr">
        <is>
          <t>Students collaborate to solve a problem using a simulation and chat app, answering questions about photosynthesis.</t>
        </is>
      </c>
      <c r="G293" s="8" t="n"/>
      <c r="H293" s="8" t="n"/>
      <c r="I293" s="8" t="n"/>
      <c r="J293" s="8" t="n"/>
      <c r="K293" s="9" t="n"/>
      <c r="L293" s="9" t="n"/>
      <c r="M293" s="9" t="n"/>
      <c r="N293" s="9" t="n"/>
      <c r="O293" s="10" t="n"/>
      <c r="P293" s="10" t="n"/>
      <c r="Q293" s="10" t="n"/>
      <c r="R293" s="10" t="n"/>
      <c r="S293" s="10" t="n"/>
    </row>
    <row r="294" ht="97" customHeight="1">
      <c r="A294" s="6">
        <f>IFERROR(__xludf.DUMMYFUNCTION("""COMPUTED_VALUE"""),"How do light and temperature affect photosynthesis in plants? - Version A")</f>
        <v/>
      </c>
      <c r="B294" s="6">
        <f>IFERROR(__xludf.DUMMYFUNCTION("""COMPUTED_VALUE"""),"Resource")</f>
        <v/>
      </c>
      <c r="C294" s="6">
        <f>IFERROR(__xludf.DUMMYFUNCTION("""COMPUTED_VALUE"""),"tips.png")</f>
        <v/>
      </c>
      <c r="D294" s="7">
        <f>IFERROR(__xludf.DUMMYFUNCTION("""COMPUTED_VALUE"""),"No task description")</f>
        <v/>
      </c>
      <c r="E294" s="7">
        <f>IFERROR(__xludf.DUMMYFUNCTION("""COMPUTED_VALUE"""),"image/png – A high-quality image with support for transparency, often used in design and web applications.")</f>
        <v/>
      </c>
      <c r="F294" s="7" t="inlineStr">
        <is>
          <t>Students enter numbers to join simulations and chats. Embedded artifacts include Golabz app/lab and a PNG image.</t>
        </is>
      </c>
      <c r="G294" s="8" t="n"/>
      <c r="H294" s="8" t="n"/>
      <c r="I294" s="8" t="n"/>
      <c r="J294" s="8" t="n"/>
      <c r="K294" s="9" t="n"/>
      <c r="L294" s="9" t="n"/>
      <c r="M294" s="9" t="n"/>
      <c r="N294" s="9" t="n"/>
      <c r="O294" s="10" t="n"/>
      <c r="P294" s="10" t="n"/>
      <c r="Q294" s="10" t="n"/>
      <c r="R294" s="10" t="n"/>
      <c r="S294" s="10" t="n"/>
    </row>
    <row r="295" ht="409.6" customHeight="1">
      <c r="A295" s="6">
        <f>IFERROR(__xludf.DUMMYFUNCTION("""COMPUTED_VALUE"""),"How do light and temperature affect photosynthesis in plants? - Version A")</f>
        <v/>
      </c>
      <c r="B295" s="6">
        <f>IFERROR(__xludf.DUMMYFUNCTION("""COMPUTED_VALUE"""),"Application")</f>
        <v/>
      </c>
      <c r="C295" s="6">
        <f>IFERROR(__xludf.DUMMYFUNCTION("""COMPUTED_VALUE"""),"SpeakUp")</f>
        <v/>
      </c>
      <c r="D295" s="7">
        <f>IFERROR(__xludf.DUMMYFUNCTION("""COMPUTED_VALUE"""),"No task description")</f>
        <v/>
      </c>
      <c r="E295"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95" s="7" t="inlineStr">
        <is>
          <t>Students use Golabz lab and SpeakUp app for collaborative problem-solving, with instructions to create spaces and chat rooms for shared simulations.</t>
        </is>
      </c>
      <c r="G295" s="8" t="n"/>
      <c r="H295" s="8" t="n"/>
      <c r="I295" s="8" t="n"/>
      <c r="J295" s="8" t="n"/>
      <c r="K295" s="9" t="n"/>
      <c r="L295" s="9" t="n"/>
      <c r="M295" s="9" t="n"/>
      <c r="N295" s="9" t="n"/>
      <c r="O295" s="10" t="n"/>
      <c r="P295" s="10" t="n"/>
      <c r="Q295" s="10" t="n"/>
      <c r="R295" s="10" t="n"/>
      <c r="S295" s="10" t="n"/>
    </row>
    <row r="296" ht="109" customHeight="1">
      <c r="A296" s="6">
        <f>IFERROR(__xludf.DUMMYFUNCTION("""COMPUTED_VALUE"""),"How do light and temperature affect photosynthesis in plants? - Version A")</f>
        <v/>
      </c>
      <c r="B296" s="6">
        <f>IFERROR(__xludf.DUMMYFUNCTION("""COMPUTED_VALUE"""),"Resource")</f>
        <v/>
      </c>
      <c r="C296" s="6">
        <f>IFERROR(__xludf.DUMMYFUNCTION("""COMPUTED_VALUE"""),"tekst2.graasp")</f>
        <v/>
      </c>
      <c r="D296" s="7">
        <f>IFERROR(__xludf.DUMMYFUNCTION("""COMPUTED_VALUE"""),"&lt;p&gt;&lt;strong&gt;QUESTIONS&lt;/strong&gt;&lt;/p&gt;")</f>
        <v/>
      </c>
      <c r="E296" s="7">
        <f>IFERROR(__xludf.DUMMYFUNCTION("""COMPUTED_VALUE"""),"No artifact embedded")</f>
        <v/>
      </c>
      <c r="F296" s="7" t="inlineStr">
        <is>
          <t>No task descriptions for Items 1 and 2; Item 1 has a PNG image, Item 2 has a Golabz app/lab with SpeakUp, and Item 3 has questions only.</t>
        </is>
      </c>
      <c r="G296" s="8" t="n"/>
      <c r="H296" s="8" t="n"/>
      <c r="I296" s="8" t="n"/>
      <c r="J296" s="8" t="n"/>
      <c r="K296" s="9" t="n"/>
      <c r="L296" s="9" t="n"/>
      <c r="M296" s="9" t="n"/>
      <c r="N296" s="9" t="n"/>
      <c r="O296" s="10" t="n"/>
      <c r="P296" s="10" t="n"/>
      <c r="Q296" s="10" t="n"/>
      <c r="R296" s="10" t="n"/>
      <c r="S296" s="10" t="n"/>
    </row>
    <row r="297" ht="318" customHeight="1">
      <c r="A297" s="6">
        <f>IFERROR(__xludf.DUMMYFUNCTION("""COMPUTED_VALUE"""),"How do light and temperature affect photosynthesis in plants? - Version A")</f>
        <v/>
      </c>
      <c r="B297" s="6">
        <f>IFERROR(__xludf.DUMMYFUNCTION("""COMPUTED_VALUE"""),"Application")</f>
        <v/>
      </c>
      <c r="C297" s="6">
        <f>IFERROR(__xludf.DUMMYFUNCTION("""COMPUTED_VALUE"""),"Input Box")</f>
        <v/>
      </c>
      <c r="D297" s="7">
        <f>IFERROR(__xludf.DUMMYFUNCTION("""COMPUTED_VALUE"""),"&lt;p&gt;1. How does photosynthesis in aquarium plants depend on light intensity?&lt;/p&gt;")</f>
        <v/>
      </c>
      <c r="E29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7" s="7" t="inlineStr">
        <is>
          <t>Students received tasks with varying descriptions and embedded artifacts, including Golabz apps for discussion and note-taking.</t>
        </is>
      </c>
      <c r="G297" s="8" t="n"/>
      <c r="H297" s="8" t="n"/>
      <c r="I297" s="8" t="n"/>
      <c r="J297" s="8" t="n"/>
      <c r="K297" s="9" t="n"/>
      <c r="L297" s="9" t="n"/>
      <c r="M297" s="9" t="n"/>
      <c r="N297" s="9" t="n"/>
      <c r="O297" s="10" t="n"/>
      <c r="P297" s="10" t="n"/>
      <c r="Q297" s="10" t="n"/>
      <c r="R297" s="10" t="n"/>
      <c r="S297" s="10" t="n"/>
    </row>
    <row r="298" ht="318" customHeight="1">
      <c r="A298" s="6">
        <f>IFERROR(__xludf.DUMMYFUNCTION("""COMPUTED_VALUE"""),"How do light and temperature affect photosynthesis in plants? - Version A")</f>
        <v/>
      </c>
      <c r="B298" s="6">
        <f>IFERROR(__xludf.DUMMYFUNCTION("""COMPUTED_VALUE"""),"Application")</f>
        <v/>
      </c>
      <c r="C298" s="6">
        <f>IFERROR(__xludf.DUMMYFUNCTION("""COMPUTED_VALUE"""),"Input Box (1)")</f>
        <v/>
      </c>
      <c r="D298" s="7">
        <f>IFERROR(__xludf.DUMMYFUNCTION("""COMPUTED_VALUE"""),"&lt;p&gt;2. How does photosynthesis in aquarium plants depend on the season of the year?&lt;/p&gt;")</f>
        <v/>
      </c>
      <c r="E29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8" s="7" t="inlineStr">
        <is>
          <t>Students answer questions on photosynthesis, using a note-taking app with optional collaboration mode.</t>
        </is>
      </c>
      <c r="G298" s="8" t="n"/>
      <c r="H298" s="8" t="n"/>
      <c r="I298" s="8" t="n"/>
      <c r="J298" s="8" t="n"/>
      <c r="K298" s="9" t="n"/>
      <c r="L298" s="9" t="n"/>
      <c r="M298" s="9" t="n"/>
      <c r="N298" s="9" t="n"/>
      <c r="O298" s="10" t="n"/>
      <c r="P298" s="10" t="n"/>
      <c r="Q298" s="10" t="n"/>
      <c r="R298" s="10" t="n"/>
      <c r="S298" s="10" t="n"/>
    </row>
    <row r="299" ht="252" customHeight="1">
      <c r="A299" s="6">
        <f>IFERROR(__xludf.DUMMYFUNCTION("""COMPUTED_VALUE"""),"How do light and temperature affect photosynthesis in plants? - Version A")</f>
        <v/>
      </c>
      <c r="B299" s="6">
        <f>IFERROR(__xludf.DUMMYFUNCTION("""COMPUTED_VALUE"""),"Resource")</f>
        <v/>
      </c>
      <c r="C299" s="6">
        <f>IFERROR(__xludf.DUMMYFUNCTION("""COMPUTED_VALUE"""),"tekst3.graasp")</f>
        <v/>
      </c>
      <c r="D299"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299" s="7">
        <f>IFERROR(__xludf.DUMMYFUNCTION("""COMPUTED_VALUE"""),"No artifact embedded")</f>
        <v/>
      </c>
      <c r="F299" s="7" t="inlineStr">
        <is>
          <t>Students investigate photosynthesis in aquarium plants via tasks and note-taking apps, with options for collaboration and teacher overview.</t>
        </is>
      </c>
      <c r="G299" s="8" t="n"/>
      <c r="H299" s="8" t="n"/>
      <c r="I299" s="8" t="n"/>
      <c r="J299" s="8" t="n"/>
      <c r="K299" s="9" t="n"/>
      <c r="L299" s="9" t="n"/>
      <c r="M299" s="9" t="n"/>
      <c r="N299" s="9" t="n"/>
      <c r="O299" s="10" t="n"/>
      <c r="P299" s="10" t="n"/>
      <c r="Q299" s="10" t="n"/>
      <c r="R299" s="10" t="n"/>
      <c r="S299" s="10" t="n"/>
    </row>
    <row r="300" ht="97" customHeight="1">
      <c r="A300" s="6">
        <f>IFERROR(__xludf.DUMMYFUNCTION("""COMPUTED_VALUE"""),"How do light and temperature affect photosynthesis in plants? - Version A")</f>
        <v/>
      </c>
      <c r="B300" s="6">
        <f>IFERROR(__xludf.DUMMYFUNCTION("""COMPUTED_VALUE"""),"Space")</f>
        <v/>
      </c>
      <c r="C300" s="6">
        <f>IFERROR(__xludf.DUMMYFUNCTION("""COMPUTED_VALUE"""),"Reflection")</f>
        <v/>
      </c>
      <c r="D300" s="7">
        <f>IFERROR(__xludf.DUMMYFUNCTION("""COMPUTED_VALUE"""),"No task description")</f>
        <v/>
      </c>
      <c r="E300" s="7">
        <f>IFERROR(__xludf.DUMMYFUNCTION("""COMPUTED_VALUE"""),"No artifact embedded")</f>
        <v/>
      </c>
      <c r="F300" s="7" t="inlineStr">
        <is>
          <t>Students investigate seasonal effects on photosynthesis and take notes using the Golabz app, then reflect on experiments.</t>
        </is>
      </c>
      <c r="G300" s="8" t="n"/>
      <c r="H300" s="8" t="n"/>
      <c r="I300" s="8" t="n"/>
      <c r="J300" s="8" t="n"/>
      <c r="K300" s="9" t="n"/>
      <c r="L300" s="9" t="n"/>
      <c r="M300" s="9" t="n"/>
      <c r="N300" s="9" t="n"/>
      <c r="O300" s="10" t="n"/>
      <c r="P300" s="10" t="n"/>
      <c r="Q300" s="10" t="n"/>
      <c r="R300" s="10" t="n"/>
      <c r="S300" s="10" t="n"/>
    </row>
    <row r="301" ht="121" customHeight="1">
      <c r="A301" s="6">
        <f>IFERROR(__xludf.DUMMYFUNCTION("""COMPUTED_VALUE"""),"How do light and temperature affect photosynthesis in plants? - Version A")</f>
        <v/>
      </c>
      <c r="B301" s="6">
        <f>IFERROR(__xludf.DUMMYFUNCTION("""COMPUTED_VALUE"""),"Resource")</f>
        <v/>
      </c>
      <c r="C301" s="6">
        <f>IFERROR(__xludf.DUMMYFUNCTION("""COMPUTED_VALUE"""),"text1.graasp")</f>
        <v/>
      </c>
      <c r="D301" s="7">
        <f>IFERROR(__xludf.DUMMYFUNCTION("""COMPUTED_VALUE"""),"&lt;p&gt;Think about your collaborative experience and anwer these questions:&lt;/p&gt;")</f>
        <v/>
      </c>
      <c r="E301" s="7">
        <f>IFERROR(__xludf.DUMMYFUNCTION("""COMPUTED_VALUE"""),"No artifact embedded")</f>
        <v/>
      </c>
      <c r="F301" s="7" t="inlineStr">
        <is>
          <t>Students were instructed to complete experiments, answer questions, and reflect. No artifacts were embedded in the items.</t>
        </is>
      </c>
      <c r="G301" s="8" t="n"/>
      <c r="H301" s="8" t="n"/>
      <c r="I301" s="8" t="n"/>
      <c r="J301" s="8" t="n"/>
      <c r="K301" s="9" t="n"/>
      <c r="L301" s="9" t="n"/>
      <c r="M301" s="9" t="n"/>
      <c r="N301" s="9" t="n"/>
      <c r="O301" s="10" t="n"/>
      <c r="P301" s="10" t="n"/>
      <c r="Q301" s="10" t="n"/>
      <c r="R301" s="10" t="n"/>
      <c r="S301" s="10" t="n"/>
    </row>
    <row r="302" ht="318" customHeight="1">
      <c r="A302" s="6">
        <f>IFERROR(__xludf.DUMMYFUNCTION("""COMPUTED_VALUE"""),"How do light and temperature affect photosynthesis in plants? - Version A")</f>
        <v/>
      </c>
      <c r="B302" s="6">
        <f>IFERROR(__xludf.DUMMYFUNCTION("""COMPUTED_VALUE"""),"Application")</f>
        <v/>
      </c>
      <c r="C302" s="6">
        <f>IFERROR(__xludf.DUMMYFUNCTION("""COMPUTED_VALUE"""),"Input Box")</f>
        <v/>
      </c>
      <c r="D302" s="7">
        <f>IFERROR(__xludf.DUMMYFUNCTION("""COMPUTED_VALUE"""),"&lt;p&gt;1. What was most difficult when working collaboratively? Why?&lt;/p&gt;")</f>
        <v/>
      </c>
      <c r="E3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2" s="7" t="inlineStr">
        <is>
          <t>Students were given tasks with questions about collaborative experiences. Some items had no embedded artifacts, while Item3 included a Golabz app/lab for note-taking and collaboration.</t>
        </is>
      </c>
      <c r="G302" s="8" t="n"/>
      <c r="H302" s="8" t="n"/>
      <c r="I302" s="8" t="n"/>
      <c r="J302" s="8" t="n"/>
      <c r="K302" s="9" t="n"/>
      <c r="L302" s="9" t="n"/>
      <c r="M302" s="9" t="n"/>
      <c r="N302" s="9" t="n"/>
      <c r="O302" s="10" t="n"/>
      <c r="P302" s="10" t="n"/>
      <c r="Q302" s="10" t="n"/>
      <c r="R302" s="10" t="n"/>
      <c r="S302" s="10" t="n"/>
    </row>
    <row r="303" ht="318" customHeight="1">
      <c r="A303" s="6">
        <f>IFERROR(__xludf.DUMMYFUNCTION("""COMPUTED_VALUE"""),"How do light and temperature affect photosynthesis in plants? - Version A")</f>
        <v/>
      </c>
      <c r="B303" s="6">
        <f>IFERROR(__xludf.DUMMYFUNCTION("""COMPUTED_VALUE"""),"Application")</f>
        <v/>
      </c>
      <c r="C303" s="6">
        <f>IFERROR(__xludf.DUMMYFUNCTION("""COMPUTED_VALUE"""),"Input Box (1)")</f>
        <v/>
      </c>
      <c r="D303" s="7">
        <f>IFERROR(__xludf.DUMMYFUNCTION("""COMPUTED_VALUE"""),"&lt;p&gt;2. What would you do differently next time you have to solve a similar collaborative task?&lt;/p&gt;")</f>
        <v/>
      </c>
      <c r="E3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3" s="7" t="inlineStr">
        <is>
          <t>Students answer questions about collaborative experiences. Embedded artifacts include a note-taking app with optional collaboration mode via Golabz and Graasp tools.</t>
        </is>
      </c>
      <c r="G303" s="8" t="n"/>
      <c r="H303" s="8" t="n"/>
      <c r="I303" s="8" t="n"/>
      <c r="J303" s="8" t="n"/>
      <c r="K303" s="9" t="n"/>
      <c r="L303" s="9" t="n"/>
      <c r="M303" s="9" t="n"/>
      <c r="N303" s="9" t="n"/>
      <c r="O303" s="10" t="n"/>
      <c r="P303" s="10" t="n"/>
      <c r="Q303" s="10" t="n"/>
      <c r="R303" s="10" t="n"/>
      <c r="S303" s="10" t="n"/>
    </row>
    <row r="304" ht="121" customHeight="1">
      <c r="A304" s="6">
        <f>IFERROR(__xludf.DUMMYFUNCTION("""COMPUTED_VALUE"""),"How do light and temperature affect photosynthesis in plants? - Version A")</f>
        <v/>
      </c>
      <c r="B304" s="6">
        <f>IFERROR(__xludf.DUMMYFUNCTION("""COMPUTED_VALUE"""),"Resource")</f>
        <v/>
      </c>
      <c r="C304" s="6">
        <f>IFERROR(__xludf.DUMMYFUNCTION("""COMPUTED_VALUE"""),"text2.graasp")</f>
        <v/>
      </c>
      <c r="D304" s="7">
        <f>IFERROR(__xludf.DUMMYFUNCTION("""COMPUTED_VALUE"""),"&lt;p&gt;After both of the questions you can continue to the next phase called &lt;strong&gt;Predict&lt;/strong&gt;.&lt;/p&gt;")</f>
        <v/>
      </c>
      <c r="E304" s="7">
        <f>IFERROR(__xludf.DUMMYFUNCTION("""COMPUTED_VALUE"""),"No artifact embedded")</f>
        <v/>
      </c>
      <c r="F304" s="7" t="inlineStr">
        <is>
          <t>Students answer collaborative task difficulties and improvements. Embedded artifacts include Golabz app/lab for note-taking and collaboration overview.</t>
        </is>
      </c>
      <c r="G304" s="8" t="n"/>
      <c r="H304" s="8" t="n"/>
      <c r="I304" s="8" t="n"/>
      <c r="J304" s="8" t="n"/>
      <c r="K304" s="9" t="n"/>
      <c r="L304" s="9" t="n"/>
      <c r="M304" s="9" t="n"/>
      <c r="N304" s="9" t="n"/>
      <c r="O304" s="10" t="n"/>
      <c r="P304" s="10" t="n"/>
      <c r="Q304" s="10" t="n"/>
      <c r="R304" s="10" t="n"/>
      <c r="S304" s="10" t="n"/>
    </row>
    <row r="305" ht="97" customHeight="1">
      <c r="A305" s="6">
        <f>IFERROR(__xludf.DUMMYFUNCTION("""COMPUTED_VALUE"""),"How do light and temperature affect photosynthesis in plants? - Version A")</f>
        <v/>
      </c>
      <c r="B305" s="6">
        <f>IFERROR(__xludf.DUMMYFUNCTION("""COMPUTED_VALUE"""),"Space")</f>
        <v/>
      </c>
      <c r="C305" s="6">
        <f>IFERROR(__xludf.DUMMYFUNCTION("""COMPUTED_VALUE"""),"Predict")</f>
        <v/>
      </c>
      <c r="D305" s="7">
        <f>IFERROR(__xludf.DUMMYFUNCTION("""COMPUTED_VALUE"""),"No task description")</f>
        <v/>
      </c>
      <c r="E305" s="7">
        <f>IFERROR(__xludf.DUMMYFUNCTION("""COMPUTED_VALUE"""),"No artifact embedded")</f>
        <v/>
      </c>
      <c r="F305" s="7" t="inlineStr">
        <is>
          <t>Students reflect on collaborative tasks and use Golabz app/lab for note-taking, with optional collaboration mode.</t>
        </is>
      </c>
      <c r="G305" s="8" t="n"/>
      <c r="H305" s="8" t="n"/>
      <c r="I305" s="8" t="n"/>
      <c r="J305" s="8" t="n"/>
      <c r="K305" s="9" t="n"/>
      <c r="L305" s="9" t="n"/>
      <c r="M305" s="9" t="n"/>
      <c r="N305" s="9" t="n"/>
      <c r="O305" s="10" t="n"/>
      <c r="P305" s="10" t="n"/>
      <c r="Q305" s="10" t="n"/>
      <c r="R305" s="10" t="n"/>
      <c r="S305" s="10" t="n"/>
    </row>
    <row r="306" ht="133" customHeight="1">
      <c r="A306" s="6">
        <f>IFERROR(__xludf.DUMMYFUNCTION("""COMPUTED_VALUE"""),"How do light and temperature affect photosynthesis in plants? - Version A")</f>
        <v/>
      </c>
      <c r="B306" s="6">
        <f>IFERROR(__xludf.DUMMYFUNCTION("""COMPUTED_VALUE"""),"Resource")</f>
        <v/>
      </c>
      <c r="C306" s="6">
        <f>IFERROR(__xludf.DUMMYFUNCTION("""COMPUTED_VALUE"""),"tekst3.graasp")</f>
        <v/>
      </c>
      <c r="D306" s="7">
        <f>IFERROR(__xludf.DUMMYFUNCTION("""COMPUTED_VALUE"""),"&lt;p&gt;&lt;strong&gt;Good job!&lt;/strong&gt; You have completed the first half of this lesson. After answering the two questions below, you will begin with a new experiment.&lt;/p&gt;")</f>
        <v/>
      </c>
      <c r="E306" s="7">
        <f>IFERROR(__xludf.DUMMYFUNCTION("""COMPUTED_VALUE"""),"No artifact embedded")</f>
        <v/>
      </c>
      <c r="F306" s="7" t="inlineStr">
        <is>
          <t>Students proceed after answering questions to next phases, such as "Predict". No artifacts are embedded in any items.</t>
        </is>
      </c>
      <c r="G306" s="8" t="n"/>
      <c r="H306" s="8" t="n"/>
      <c r="I306" s="8" t="n"/>
      <c r="J306" s="8" t="n"/>
      <c r="K306" s="9" t="n"/>
      <c r="L306" s="9" t="n"/>
      <c r="M306" s="9" t="n"/>
      <c r="N306" s="9" t="n"/>
      <c r="O306" s="10" t="n"/>
      <c r="P306" s="10" t="n"/>
      <c r="Q306" s="10" t="n"/>
      <c r="R306" s="10" t="n"/>
      <c r="S306" s="10" t="n"/>
    </row>
    <row r="307" ht="274" customHeight="1">
      <c r="A307" s="6">
        <f>IFERROR(__xludf.DUMMYFUNCTION("""COMPUTED_VALUE"""),"How do light and temperature affect photosynthesis in plants? - Version A")</f>
        <v/>
      </c>
      <c r="B307" s="6">
        <f>IFERROR(__xludf.DUMMYFUNCTION("""COMPUTED_VALUE"""),"Application")</f>
        <v/>
      </c>
      <c r="C307" s="6">
        <f>IFERROR(__xludf.DUMMYFUNCTION("""COMPUTED_VALUE"""),"Quiz Tool")</f>
        <v/>
      </c>
      <c r="D307" s="7">
        <f>IFERROR(__xludf.DUMMYFUNCTION("""COMPUTED_VALUE"""),"No task description")</f>
        <v/>
      </c>
      <c r="E3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307" s="7" t="inlineStr">
        <is>
          <t>Students receive minimal instructions. Items 1 and 3 lack task descriptions, while Item 2 congratulates students on completing half the lesson. Embedded artifacts are mostly absent, except for a Golabz app/lab description in Item 3.</t>
        </is>
      </c>
      <c r="G307" s="8" t="n"/>
      <c r="H307" s="8" t="n"/>
      <c r="I307" s="8" t="n"/>
      <c r="J307" s="8" t="n"/>
      <c r="K307" s="9" t="n"/>
      <c r="L307" s="9" t="n"/>
      <c r="M307" s="9" t="n"/>
      <c r="N307" s="9" t="n"/>
      <c r="O307" s="10" t="n"/>
      <c r="P307" s="10" t="n"/>
      <c r="Q307" s="10" t="n"/>
      <c r="R307" s="10" t="n"/>
      <c r="S307" s="10" t="n"/>
    </row>
    <row r="308" ht="409.6" customHeight="1">
      <c r="A308" s="6">
        <f>IFERROR(__xludf.DUMMYFUNCTION("""COMPUTED_VALUE"""),"How do light and temperature affect photosynthesis in plants? - Version A")</f>
        <v/>
      </c>
      <c r="B308" s="6">
        <f>IFERROR(__xludf.DUMMYFUNCTION("""COMPUTED_VALUE"""),"Resource")</f>
        <v/>
      </c>
      <c r="C308" s="6">
        <f>IFERROR(__xludf.DUMMYFUNCTION("""COMPUTED_VALUE"""),"tekst1.graasp")</f>
        <v/>
      </c>
      <c r="D308"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308" s="7">
        <f>IFERROR(__xludf.DUMMYFUNCTION("""COMPUTED_VALUE"""),"No artifact embedded")</f>
        <v/>
      </c>
      <c r="F308" s="7" t="inlineStr">
        <is>
          <t>Students receive task instructions and interact with embedded artifacts, including a quiz app and scratchpad tool.</t>
        </is>
      </c>
      <c r="G308" s="8" t="n"/>
      <c r="H308" s="8" t="n"/>
      <c r="I308" s="8" t="n"/>
      <c r="J308" s="8" t="n"/>
      <c r="K308" s="9" t="n"/>
      <c r="L308" s="9" t="n"/>
      <c r="M308" s="9" t="n"/>
      <c r="N308" s="9" t="n"/>
      <c r="O308" s="10" t="n"/>
      <c r="P308" s="10" t="n"/>
      <c r="Q308" s="10" t="n"/>
      <c r="R308" s="10" t="n"/>
      <c r="S308" s="10" t="n"/>
    </row>
    <row r="309" ht="409.6" customHeight="1">
      <c r="A309" s="6">
        <f>IFERROR(__xludf.DUMMYFUNCTION("""COMPUTED_VALUE"""),"How do light and temperature affect photosynthesis in plants? - Version A")</f>
        <v/>
      </c>
      <c r="B309" s="6">
        <f>IFERROR(__xludf.DUMMYFUNCTION("""COMPUTED_VALUE"""),"Application")</f>
        <v/>
      </c>
      <c r="C309" s="6">
        <f>IFERROR(__xludf.DUMMYFUNCTION("""COMPUTED_VALUE"""),"Hypothesis Scratchpad")</f>
        <v/>
      </c>
      <c r="D309" s="7">
        <f>IFERROR(__xludf.DUMMYFUNCTION("""COMPUTED_VALUE"""),"No task description")</f>
        <v/>
      </c>
      <c r="E30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09" s="7" t="inlineStr">
        <is>
          <t>Students receive tasks and interact with Golabz apps, including quiz and hypothesis scratchpad tools, with some tasks requiring individual work and hypothesis formulation based on research questions.</t>
        </is>
      </c>
      <c r="G309" s="8" t="n"/>
      <c r="H309" s="8" t="n"/>
      <c r="I309" s="8" t="n"/>
      <c r="J309" s="8" t="n"/>
      <c r="K309" s="9" t="n"/>
      <c r="L309" s="9" t="n"/>
      <c r="M309" s="9" t="n"/>
      <c r="N309" s="9" t="n"/>
      <c r="O309" s="10" t="n"/>
      <c r="P309" s="10" t="n"/>
      <c r="Q309" s="10" t="n"/>
      <c r="R309" s="10" t="n"/>
      <c r="S309" s="10" t="n"/>
    </row>
    <row r="310" ht="157" customHeight="1">
      <c r="A310" s="6">
        <f>IFERROR(__xludf.DUMMYFUNCTION("""COMPUTED_VALUE"""),"How do light and temperature affect photosynthesis in plants? - Version A")</f>
        <v/>
      </c>
      <c r="B310" s="6">
        <f>IFERROR(__xludf.DUMMYFUNCTION("""COMPUTED_VALUE"""),"Resource")</f>
        <v/>
      </c>
      <c r="C310" s="6">
        <f>IFERROR(__xludf.DUMMYFUNCTION("""COMPUTED_VALUE"""),"tekst2.graasp")</f>
        <v/>
      </c>
      <c r="D310" s="7">
        <f>IFERROR(__xludf.DUMMYFUNCTION("""COMPUTED_VALUE"""),"&lt;p&gt;When you finished making your prediction (hypothesis) click on the tab &lt;strong&gt;Investigate&lt;/strong&gt; in the top of your screen.&lt;br&gt;&lt;/p&gt;&lt;p&gt;&lt;br&gt;&lt;/p&gt;&lt;p&gt;&lt;br&gt;&lt;/p&gt;&lt;p&gt;&lt;br&gt;&lt;/p&gt;&lt;p&gt;&lt;br&gt;&lt;/p&gt;")</f>
        <v/>
      </c>
      <c r="E310" s="7">
        <f>IFERROR(__xludf.DUMMYFUNCTION("""COMPUTED_VALUE"""),"No artifact embedded")</f>
        <v/>
      </c>
      <c r="F310" s="7" t="inlineStr">
        <is>
          <t>Students predict how photosynthesis depends on temperature, then investigate using a scratchpad tool to formulate a hypothesis. The Golabz app/lab's Hypothesis Scratchpad is used.</t>
        </is>
      </c>
      <c r="G310" s="8" t="n"/>
      <c r="H310" s="8" t="n"/>
      <c r="I310" s="8" t="n"/>
      <c r="J310" s="8" t="n"/>
      <c r="K310" s="9" t="n"/>
      <c r="L310" s="9" t="n"/>
      <c r="M310" s="9" t="n"/>
      <c r="N310" s="9" t="n"/>
      <c r="O310" s="10" t="n"/>
      <c r="P310" s="10" t="n"/>
      <c r="Q310" s="10" t="n"/>
      <c r="R310" s="10" t="n"/>
      <c r="S310" s="10" t="n"/>
    </row>
    <row r="311" ht="121" customHeight="1">
      <c r="A311" s="6">
        <f>IFERROR(__xludf.DUMMYFUNCTION("""COMPUTED_VALUE"""),"How do light and temperature affect photosynthesis in plants? - Version A")</f>
        <v/>
      </c>
      <c r="B311" s="6">
        <f>IFERROR(__xludf.DUMMYFUNCTION("""COMPUTED_VALUE"""),"Space")</f>
        <v/>
      </c>
      <c r="C311" s="6">
        <f>IFERROR(__xludf.DUMMYFUNCTION("""COMPUTED_VALUE"""),"Investigation")</f>
        <v/>
      </c>
      <c r="D311" s="7">
        <f>IFERROR(__xludf.DUMMYFUNCTION("""COMPUTED_VALUE"""),"No task description")</f>
        <v/>
      </c>
      <c r="E311" s="7">
        <f>IFERROR(__xludf.DUMMYFUNCTION("""COMPUTED_VALUE"""),"No artifact embedded")</f>
        <v/>
      </c>
      <c r="F311" s="7" t="inlineStr">
        <is>
          <t>Students use the Hypothesis Scratchpad to formulate hypotheses. Tasks include making predictions and clicking the "Investigate" tab.</t>
        </is>
      </c>
      <c r="G311" s="8" t="n"/>
      <c r="H311" s="8" t="n"/>
      <c r="I311" s="8" t="n"/>
      <c r="J311" s="8" t="n"/>
      <c r="K311" s="9" t="n"/>
      <c r="L311" s="9" t="n"/>
      <c r="M311" s="9" t="n"/>
      <c r="N311" s="9" t="n"/>
      <c r="O311" s="10" t="n"/>
      <c r="P311" s="10" t="n"/>
      <c r="Q311" s="10" t="n"/>
      <c r="R311" s="10" t="n"/>
      <c r="S311" s="10" t="n"/>
    </row>
    <row r="312" ht="274" customHeight="1">
      <c r="A312" s="6">
        <f>IFERROR(__xludf.DUMMYFUNCTION("""COMPUTED_VALUE"""),"How do light and temperature affect photosynthesis in plants? - Version A")</f>
        <v/>
      </c>
      <c r="B312" s="6">
        <f>IFERROR(__xludf.DUMMYFUNCTION("""COMPUTED_VALUE"""),"Resource")</f>
        <v/>
      </c>
      <c r="C312" s="6">
        <f>IFERROR(__xludf.DUMMYFUNCTION("""COMPUTED_VALUE"""),"Vaatluste selgitus.graasp")</f>
        <v/>
      </c>
      <c r="D312"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312" s="7">
        <f>IFERROR(__xludf.DUMMYFUNCTION("""COMPUTED_VALUE"""),"No artifact embedded")</f>
        <v/>
      </c>
      <c r="F312" s="7" t="inlineStr">
        <is>
          <t>Students are instructed to test predictions, conduct experiments, and record results. No artifacts are embedded in Items 1-3.</t>
        </is>
      </c>
      <c r="G312" s="8" t="n"/>
      <c r="H312" s="8" t="n"/>
      <c r="I312" s="8" t="n"/>
      <c r="J312" s="8" t="n"/>
      <c r="K312" s="9" t="n"/>
      <c r="L312" s="9" t="n"/>
      <c r="M312" s="9" t="n"/>
      <c r="N312" s="9" t="n"/>
      <c r="O312" s="10" t="n"/>
      <c r="P312" s="10" t="n"/>
      <c r="Q312" s="10" t="n"/>
      <c r="R312" s="10" t="n"/>
      <c r="S312" s="10" t="n"/>
    </row>
    <row r="313" ht="318" customHeight="1">
      <c r="A313" s="6">
        <f>IFERROR(__xludf.DUMMYFUNCTION("""COMPUTED_VALUE"""),"How do light and temperature affect photosynthesis in plants? - Version A")</f>
        <v/>
      </c>
      <c r="B313" s="6">
        <f>IFERROR(__xludf.DUMMYFUNCTION("""COMPUTED_VALUE"""),"Application")</f>
        <v/>
      </c>
      <c r="C313" s="6">
        <f>IFERROR(__xludf.DUMMYFUNCTION("""COMPUTED_VALUE"""),"Viewer")</f>
        <v/>
      </c>
      <c r="D313" s="7">
        <f>IFERROR(__xludf.DUMMYFUNCTION("""COMPUTED_VALUE"""),"No task description")</f>
        <v/>
      </c>
      <c r="E313"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313" s="7" t="inlineStr">
        <is>
          <t>Students test hypotheses on photosynthesis via simulation, recording results with "Observation" tool. Embedded artifacts include Golabz app/lab viewer.</t>
        </is>
      </c>
      <c r="G313" s="8" t="n"/>
      <c r="H313" s="8" t="n"/>
      <c r="I313" s="8" t="n"/>
      <c r="J313" s="8" t="n"/>
      <c r="K313" s="9" t="n"/>
      <c r="L313" s="9" t="n"/>
      <c r="M313" s="9" t="n"/>
      <c r="N313" s="9" t="n"/>
      <c r="O313" s="10" t="n"/>
      <c r="P313" s="10" t="n"/>
      <c r="Q313" s="10" t="n"/>
      <c r="R313" s="10" t="n"/>
      <c r="S313" s="10" t="n"/>
    </row>
    <row r="314" ht="409.6" customHeight="1">
      <c r="A314" s="6">
        <f>IFERROR(__xludf.DUMMYFUNCTION("""COMPUTED_VALUE"""),"How do light and temperature affect photosynthesis in plants? - Version A")</f>
        <v/>
      </c>
      <c r="B314" s="6">
        <f>IFERROR(__xludf.DUMMYFUNCTION("""COMPUTED_VALUE"""),"Application")</f>
        <v/>
      </c>
      <c r="C314" s="6">
        <f>IFERROR(__xludf.DUMMYFUNCTION("""COMPUTED_VALUE"""),"Rate of Photosynthesis Lab (HTML5)")</f>
        <v/>
      </c>
      <c r="D314" s="7">
        <f>IFERROR(__xludf.DUMMYFUNCTION("""COMPUTED_VALUE"""),"No task description")</f>
        <v/>
      </c>
      <c r="E314"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314" s="7" t="inlineStr">
        <is>
          <t>Students test hypotheses on photosynthesis, recording results with the "Observation" tool. Embedded artifacts include Golabz apps and labs simulating plant experiments.</t>
        </is>
      </c>
      <c r="G314" s="8" t="n"/>
      <c r="H314" s="8" t="n"/>
      <c r="I314" s="8" t="n"/>
      <c r="J314" s="8" t="n"/>
      <c r="K314" s="9" t="n"/>
      <c r="L314" s="9" t="n"/>
      <c r="M314" s="9" t="n"/>
      <c r="N314" s="9" t="n"/>
      <c r="O314" s="10" t="n"/>
      <c r="P314" s="10" t="n"/>
      <c r="Q314" s="10" t="n"/>
      <c r="R314" s="10" t="n"/>
      <c r="S314" s="10" t="n"/>
    </row>
    <row r="315" ht="263" customHeight="1">
      <c r="A315" s="6">
        <f>IFERROR(__xludf.DUMMYFUNCTION("""COMPUTED_VALUE"""),"How do light and temperature affect photosynthesis in plants? - Version A")</f>
        <v/>
      </c>
      <c r="B315" s="6">
        <f>IFERROR(__xludf.DUMMYFUNCTION("""COMPUTED_VALUE"""),"Resource")</f>
        <v/>
      </c>
      <c r="C315" s="6">
        <f>IFERROR(__xludf.DUMMYFUNCTION("""COMPUTED_VALUE"""),"Vaatluste selgitus 2.graasp")</f>
        <v/>
      </c>
      <c r="D315"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315" s="7">
        <f>IFERROR(__xludf.DUMMYFUNCTION("""COMPUTED_VALUE"""),"No artifact embedded")</f>
        <v/>
      </c>
      <c r="F315" s="7" t="inlineStr">
        <is>
          <t>Students have no task description for Items 1 and 2, but Item 3 instructs them to collect data. Embedded artifacts include Golabz apps for concept mapping and photosynthesis experiments.</t>
        </is>
      </c>
      <c r="G315" s="8" t="n"/>
      <c r="H315" s="8" t="n"/>
      <c r="I315" s="8" t="n"/>
      <c r="J315" s="8" t="n"/>
      <c r="K315" s="9" t="n"/>
      <c r="L315" s="9" t="n"/>
      <c r="M315" s="9" t="n"/>
      <c r="N315" s="9" t="n"/>
      <c r="O315" s="10" t="n"/>
      <c r="P315" s="10" t="n"/>
      <c r="Q315" s="10" t="n"/>
      <c r="R315" s="10" t="n"/>
      <c r="S315" s="10" t="n"/>
    </row>
    <row r="316" ht="384" customHeight="1">
      <c r="A316" s="6">
        <f>IFERROR(__xludf.DUMMYFUNCTION("""COMPUTED_VALUE"""),"How do light and temperature affect photosynthesis in plants? - Version A")</f>
        <v/>
      </c>
      <c r="B316" s="6">
        <f>IFERROR(__xludf.DUMMYFUNCTION("""COMPUTED_VALUE"""),"Application")</f>
        <v/>
      </c>
      <c r="C316" s="6">
        <f>IFERROR(__xludf.DUMMYFUNCTION("""COMPUTED_VALUE"""),"Observation Tool")</f>
        <v/>
      </c>
      <c r="D316" s="7">
        <f>IFERROR(__xludf.DUMMYFUNCTION("""COMPUTED_VALUE"""),"No task description")</f>
        <v/>
      </c>
      <c r="E316"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16" s="7" t="inlineStr">
        <is>
          <t>Students were instructed to collect data and write results using the Observation tool to test their hypothesis. Embedded artifacts include Golabz apps: Photolab and Observation tool.</t>
        </is>
      </c>
      <c r="G316" s="8" t="n"/>
      <c r="H316" s="8" t="n"/>
      <c r="I316" s="8" t="n"/>
      <c r="J316" s="8" t="n"/>
      <c r="K316" s="9" t="n"/>
      <c r="L316" s="9" t="n"/>
      <c r="M316" s="9" t="n"/>
      <c r="N316" s="9" t="n"/>
      <c r="O316" s="10" t="n"/>
      <c r="P316" s="10" t="n"/>
      <c r="Q316" s="10" t="n"/>
      <c r="R316" s="10" t="n"/>
      <c r="S316" s="10" t="n"/>
    </row>
    <row r="317" ht="169" customHeight="1">
      <c r="A317" s="6">
        <f>IFERROR(__xludf.DUMMYFUNCTION("""COMPUTED_VALUE"""),"How do light and temperature affect photosynthesis in plants? - Version A")</f>
        <v/>
      </c>
      <c r="B317" s="6">
        <f>IFERROR(__xludf.DUMMYFUNCTION("""COMPUTED_VALUE"""),"Resource")</f>
        <v/>
      </c>
      <c r="C317" s="6">
        <f>IFERROR(__xludf.DUMMYFUNCTION("""COMPUTED_VALUE"""),"Vaatlused edasi.graasp")</f>
        <v/>
      </c>
      <c r="D317" s="7">
        <f>IFERROR(__xludf.DUMMYFUNCTION("""COMPUTED_VALUE"""),"&lt;p&gt;When you have collected enough information to address your hypothesis, click on the tab &lt;strong&gt;Conclusion&lt;/strong&gt; on the top of your screen.&lt;/p&gt;&lt;p&gt;&lt;br&gt;&lt;/p&gt;&lt;p&gt;&lt;br&gt;&lt;/p&gt;&lt;p&gt;&lt;br&gt;&lt;/p&gt;")</f>
        <v/>
      </c>
      <c r="E317" s="7">
        <f>IFERROR(__xludf.DUMMYFUNCTION("""COMPUTED_VALUE"""),"No artifact embedded")</f>
        <v/>
      </c>
      <c r="F317" s="7" t="inlineStr">
        <is>
          <t>Students collect data through experiments and record results using the Observation tool, then review data to make a conclusion. The Golabz app/lab is an embedded artifact for recording observations.</t>
        </is>
      </c>
      <c r="G317" s="8" t="n"/>
      <c r="H317" s="8" t="n"/>
      <c r="I317" s="8" t="n"/>
      <c r="J317" s="8" t="n"/>
      <c r="K317" s="9" t="n"/>
      <c r="L317" s="9" t="n"/>
      <c r="M317" s="9" t="n"/>
      <c r="N317" s="9" t="n"/>
      <c r="O317" s="10" t="n"/>
      <c r="P317" s="10" t="n"/>
      <c r="Q317" s="10" t="n"/>
      <c r="R317" s="10" t="n"/>
      <c r="S317" s="10" t="n"/>
    </row>
    <row r="318" ht="145" customHeight="1">
      <c r="A318" s="6">
        <f>IFERROR(__xludf.DUMMYFUNCTION("""COMPUTED_VALUE"""),"How do light and temperature affect photosynthesis in plants? - Version A")</f>
        <v/>
      </c>
      <c r="B318" s="6">
        <f>IFERROR(__xludf.DUMMYFUNCTION("""COMPUTED_VALUE"""),"Space")</f>
        <v/>
      </c>
      <c r="C318" s="6">
        <f>IFERROR(__xludf.DUMMYFUNCTION("""COMPUTED_VALUE"""),"Conclusion")</f>
        <v/>
      </c>
      <c r="D318" s="7">
        <f>IFERROR(__xludf.DUMMYFUNCTION("""COMPUTED_VALUE"""),"No task description")</f>
        <v/>
      </c>
      <c r="E318" s="7">
        <f>IFERROR(__xludf.DUMMYFUNCTION("""COMPUTED_VALUE"""),"No artifact embedded")</f>
        <v/>
      </c>
      <c r="F318" s="7" t="inlineStr">
        <is>
          <t>Students were instructed to use Golabz app for observations and data analysis, and click "Conclusion" tab when ready. Embedded artifacts include the Golabz observation tool.</t>
        </is>
      </c>
      <c r="G318" s="8" t="n"/>
      <c r="H318" s="8" t="n"/>
      <c r="I318" s="8" t="n"/>
      <c r="J318" s="8" t="n"/>
      <c r="K318" s="9" t="n"/>
      <c r="L318" s="9" t="n"/>
      <c r="M318" s="9" t="n"/>
      <c r="N318" s="9" t="n"/>
      <c r="O318" s="10" t="n"/>
      <c r="P318" s="10" t="n"/>
      <c r="Q318" s="10" t="n"/>
      <c r="R318" s="10" t="n"/>
      <c r="S318" s="10" t="n"/>
    </row>
    <row r="319" ht="351" customHeight="1">
      <c r="A319" s="6">
        <f>IFERROR(__xludf.DUMMYFUNCTION("""COMPUTED_VALUE"""),"How do light and temperature affect photosynthesis in plants? - Version A")</f>
        <v/>
      </c>
      <c r="B319" s="6">
        <f>IFERROR(__xludf.DUMMYFUNCTION("""COMPUTED_VALUE"""),"Resource")</f>
        <v/>
      </c>
      <c r="C319" s="6">
        <f>IFERROR(__xludf.DUMMYFUNCTION("""COMPUTED_VALUE"""),"tekst1.graasp")</f>
        <v/>
      </c>
      <c r="D319"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319" s="7">
        <f>IFERROR(__xludf.DUMMYFUNCTION("""COMPUTED_VALUE"""),"No artifact embedded")</f>
        <v/>
      </c>
      <c r="F319" s="7" t="inlineStr">
        <is>
          <t>Students were instructed to conclude their hypothesis with a final statement, adding observations and explaining acceptance or rejection. No artifacts were embedded in any items.</t>
        </is>
      </c>
      <c r="G319" s="8" t="n"/>
      <c r="H319" s="8" t="n"/>
      <c r="I319" s="8" t="n"/>
      <c r="J319" s="8" t="n"/>
      <c r="K319" s="9" t="n"/>
      <c r="L319" s="9" t="n"/>
      <c r="M319" s="9" t="n"/>
      <c r="N319" s="9" t="n"/>
      <c r="O319" s="10" t="n"/>
      <c r="P319" s="10" t="n"/>
      <c r="Q319" s="10" t="n"/>
      <c r="R319" s="10" t="n"/>
      <c r="S319" s="10" t="n"/>
    </row>
    <row r="320" ht="409.6" customHeight="1">
      <c r="A320" s="6">
        <f>IFERROR(__xludf.DUMMYFUNCTION("""COMPUTED_VALUE"""),"How do light and temperature affect photosynthesis in plants? - Version A")</f>
        <v/>
      </c>
      <c r="B320" s="6">
        <f>IFERROR(__xludf.DUMMYFUNCTION("""COMPUTED_VALUE"""),"Application")</f>
        <v/>
      </c>
      <c r="C320" s="6">
        <f>IFERROR(__xludf.DUMMYFUNCTION("""COMPUTED_VALUE"""),"Conclusion Tool")</f>
        <v/>
      </c>
      <c r="D320" s="7">
        <f>IFERROR(__xludf.DUMMYFUNCTION("""COMPUTED_VALUE"""),"No task description")</f>
        <v/>
      </c>
      <c r="E32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320" s="7" t="inlineStr">
        <is>
          <t>Students write a final conclusion using the Conclusion tool, adding observations and explaining whether they accept or reject their hypothesis. No artifacts are embedded in Items 1 and 2.</t>
        </is>
      </c>
      <c r="G320" s="8" t="n"/>
      <c r="H320" s="8" t="n"/>
      <c r="I320" s="8" t="n"/>
      <c r="J320" s="8" t="n"/>
      <c r="K320" s="9" t="n"/>
      <c r="L320" s="9" t="n"/>
      <c r="M320" s="9" t="n"/>
      <c r="N320" s="9" t="n"/>
      <c r="O320" s="10" t="n"/>
      <c r="P320" s="10" t="n"/>
      <c r="Q320" s="10" t="n"/>
      <c r="R320" s="10" t="n"/>
      <c r="S320" s="10" t="n"/>
    </row>
    <row r="321" ht="169" customHeight="1">
      <c r="A321" s="6">
        <f>IFERROR(__xludf.DUMMYFUNCTION("""COMPUTED_VALUE"""),"How do light and temperature affect photosynthesis in plants? - Version A")</f>
        <v/>
      </c>
      <c r="B321" s="6">
        <f>IFERROR(__xludf.DUMMYFUNCTION("""COMPUTED_VALUE"""),"Resource")</f>
        <v/>
      </c>
      <c r="C321" s="6">
        <f>IFERROR(__xludf.DUMMYFUNCTION("""COMPUTED_VALUE"""),"tekst2.graasp")</f>
        <v/>
      </c>
      <c r="D321" s="7">
        <f>IFERROR(__xludf.DUMMYFUNCTION("""COMPUTED_VALUE"""),"&lt;p&gt;&lt;strong&gt;All done? Very good you have now finished with this assignment!&lt;/strong&gt;&lt;/p&gt;&lt;p&gt;&lt;strong&gt;&lt;br&gt;&lt;/strong&gt;&lt;/p&gt;&lt;p&gt;&lt;strong&gt;&lt;br&gt;&lt;/strong&gt;&lt;/p&gt;&lt;p&gt;&lt;strong&gt;&lt;br&gt;&lt;/strong&gt;&lt;/p&gt;")</f>
        <v/>
      </c>
      <c r="E321" s="7">
        <f>IFERROR(__xludf.DUMMYFUNCTION("""COMPUTED_VALUE"""),"No artifact embedded")</f>
        <v/>
      </c>
      <c r="F321" s="7" t="inlineStr">
        <is>
          <t>Students write a final conclusion using evidence and observations, then explain whether they accept or reject their hypothesis. Embedded artifacts include the Conclusion tool and Golabz app/lab for data analysis.</t>
        </is>
      </c>
      <c r="G321" s="8" t="n"/>
      <c r="H321" s="8" t="n"/>
      <c r="I321" s="8" t="n"/>
      <c r="J321" s="8" t="n"/>
      <c r="K321" s="9" t="n"/>
      <c r="L321" s="9" t="n"/>
      <c r="M321" s="9" t="n"/>
      <c r="N321" s="9" t="n"/>
      <c r="O321" s="10" t="n"/>
      <c r="P321" s="10" t="n"/>
      <c r="Q321" s="10" t="n"/>
      <c r="R321" s="10" t="n"/>
      <c r="S321" s="10" t="n"/>
    </row>
    <row r="322" ht="85" customHeight="1">
      <c r="A322" s="6">
        <f>IFERROR(__xludf.DUMMYFUNCTION("""COMPUTED_VALUE"""),"Transcription &amp; Translation")</f>
        <v/>
      </c>
      <c r="B322" s="6">
        <f>IFERROR(__xludf.DUMMYFUNCTION("""COMPUTED_VALUE"""),"Space")</f>
        <v/>
      </c>
      <c r="C322" s="6">
        <f>IFERROR(__xludf.DUMMYFUNCTION("""COMPUTED_VALUE"""),"Orientation")</f>
        <v/>
      </c>
      <c r="D322" s="7">
        <f>IFERROR(__xludf.DUMMYFUNCTION("""COMPUTED_VALUE"""),"This is the Orientation phase.")</f>
        <v/>
      </c>
      <c r="E322" s="7">
        <f>IFERROR(__xludf.DUMMYFUNCTION("""COMPUTED_VALUE"""),"No artifact embedded")</f>
        <v/>
      </c>
      <c r="F322" s="7" t="inlineStr">
        <is>
          <t>Students received task descriptions and used Golabz app/lab to validate hypotheses, with configurable settings.</t>
        </is>
      </c>
      <c r="G322" s="8" t="n"/>
      <c r="H322" s="8" t="n"/>
      <c r="I322" s="8" t="n"/>
      <c r="J322" s="8" t="n"/>
      <c r="K322" s="9" t="n"/>
      <c r="L322" s="9" t="n"/>
      <c r="M322" s="9" t="n"/>
      <c r="N322" s="9" t="n"/>
      <c r="O322" s="10" t="n"/>
      <c r="P322" s="10" t="n"/>
      <c r="Q322" s="10" t="n"/>
      <c r="R322" s="10" t="n"/>
      <c r="S322" s="10" t="n"/>
    </row>
    <row r="323" ht="157" customHeight="1">
      <c r="A323" s="6">
        <f>IFERROR(__xludf.DUMMYFUNCTION("""COMPUTED_VALUE"""),"Transcription &amp; Translation")</f>
        <v/>
      </c>
      <c r="B323" s="6">
        <f>IFERROR(__xludf.DUMMYFUNCTION("""COMPUTED_VALUE"""),"Resource")</f>
        <v/>
      </c>
      <c r="C323" s="6">
        <f>IFERROR(__xludf.DUMMYFUNCTION("""COMPUTED_VALUE"""),"Introduction.graasp")</f>
        <v/>
      </c>
      <c r="D323" s="7">
        <f>IFERROR(__xludf.DUMMYFUNCTION("""COMPUTED_VALUE"""),"&lt;p&gt;This is a short investigation in how you deal with the concepts of transcription and translation.&lt;/p&gt;&lt;p&gt;&lt;br&gt;&lt;/p&gt;&lt;p&gt;Please watch the following YouTube video:&lt;/p&gt;")</f>
        <v/>
      </c>
      <c r="E323" s="7">
        <f>IFERROR(__xludf.DUMMYFUNCTION("""COMPUTED_VALUE"""),"No artifact embedded")</f>
        <v/>
      </c>
      <c r="F323" s="7" t="inlineStr">
        <is>
          <t>Students were given 3 tasks: completing an assignment, orientation, and investigating transcription/translation concepts via a YouTube video. No artifacts were embedded in any task.</t>
        </is>
      </c>
      <c r="G323" s="8" t="n"/>
      <c r="H323" s="8" t="n"/>
      <c r="I323" s="8" t="n"/>
      <c r="J323" s="8" t="n"/>
      <c r="K323" s="9" t="n"/>
      <c r="L323" s="9" t="n"/>
      <c r="M323" s="9" t="n"/>
      <c r="N323" s="9" t="n"/>
      <c r="O323" s="10" t="n"/>
      <c r="P323" s="10" t="n"/>
      <c r="Q323" s="10" t="n"/>
      <c r="R323" s="10" t="n"/>
      <c r="S323" s="10" t="n"/>
    </row>
    <row r="324" ht="133" customHeight="1">
      <c r="A324" s="6">
        <f>IFERROR(__xludf.DUMMYFUNCTION("""COMPUTED_VALUE"""),"Transcription &amp; Translation")</f>
        <v/>
      </c>
      <c r="B324" s="6">
        <f>IFERROR(__xludf.DUMMYFUNCTION("""COMPUTED_VALUE"""),"Resource")</f>
        <v/>
      </c>
      <c r="C324" s="6">
        <f>IFERROR(__xludf.DUMMYFUNCTION("""COMPUTED_VALUE"""),"DNA translation and transcription [HD animation]")</f>
        <v/>
      </c>
      <c r="D324" s="7">
        <f>IFERROR(__xludf.DUMMYFUNCTION("""COMPUTED_VALUE"""),"No task description")</f>
        <v/>
      </c>
      <c r="E324" s="7">
        <f>IFERROR(__xludf.DUMMYFUNCTION("""COMPUTED_VALUE"""),"youtube.com: A widely known video-sharing platform where users can watch videos on a vast array of topics, including educational content.")</f>
        <v/>
      </c>
      <c r="F324" s="7" t="inlineStr">
        <is>
          <t>Students are given tasks with descriptions and some include YouTube videos, but no artifacts are embedded except in Item3, which mentions the youtube.com platform.</t>
        </is>
      </c>
      <c r="G324" s="8" t="n"/>
      <c r="H324" s="8" t="n"/>
      <c r="I324" s="8" t="n"/>
      <c r="J324" s="8" t="n"/>
      <c r="K324" s="9" t="n"/>
      <c r="L324" s="9" t="n"/>
      <c r="M324" s="9" t="n"/>
      <c r="N324" s="9" t="n"/>
      <c r="O324" s="10" t="n"/>
      <c r="P324" s="10" t="n"/>
      <c r="Q324" s="10" t="n"/>
      <c r="R324" s="10" t="n"/>
      <c r="S324" s="10" t="n"/>
    </row>
    <row r="325" ht="181" customHeight="1">
      <c r="A325" s="6">
        <f>IFERROR(__xludf.DUMMYFUNCTION("""COMPUTED_VALUE"""),"Transcription &amp; Translation")</f>
        <v/>
      </c>
      <c r="B325" s="6">
        <f>IFERROR(__xludf.DUMMYFUNCTION("""COMPUTED_VALUE"""),"Resource")</f>
        <v/>
      </c>
      <c r="C325" s="6">
        <f>IFERROR(__xludf.DUMMYFUNCTION("""COMPUTED_VALUE"""),"Question.graasp")</f>
        <v/>
      </c>
      <c r="D325" s="7">
        <f>IFERROR(__xludf.DUMMYFUNCTION("""COMPUTED_VALUE"""),"&lt;p&gt;In the box below give an explanation of why transcription and translation is so important for life and give a short overview of how these processes work.&lt;/p&gt;")</f>
        <v/>
      </c>
      <c r="E325" s="7">
        <f>IFERROR(__xludf.DUMMYFUNCTION("""COMPUTED_VALUE"""),"No artifact embedded")</f>
        <v/>
      </c>
      <c r="F325" s="7" t="inlineStr">
        <is>
          <t>Students were given tasks on transcription and translation, with one item requiring a video watch and another asking for an explanation. Embedded artifacts included a YouTube video link and a platform description.</t>
        </is>
      </c>
      <c r="G325" s="8" t="n"/>
      <c r="H325" s="8" t="n"/>
      <c r="I325" s="8" t="n"/>
      <c r="J325" s="8" t="n"/>
      <c r="K325" s="9" t="n"/>
      <c r="L325" s="9" t="n"/>
      <c r="M325" s="9" t="n"/>
      <c r="N325" s="9" t="n"/>
      <c r="O325" s="10" t="n"/>
      <c r="P325" s="10" t="n"/>
      <c r="Q325" s="10" t="n"/>
      <c r="R325" s="10" t="n"/>
      <c r="S325" s="10" t="n"/>
    </row>
    <row r="326" ht="318" customHeight="1">
      <c r="A326" s="6">
        <f>IFERROR(__xludf.DUMMYFUNCTION("""COMPUTED_VALUE"""),"Transcription &amp; Translation")</f>
        <v/>
      </c>
      <c r="B326" s="6">
        <f>IFERROR(__xludf.DUMMYFUNCTION("""COMPUTED_VALUE"""),"Application")</f>
        <v/>
      </c>
      <c r="C326" s="6">
        <f>IFERROR(__xludf.DUMMYFUNCTION("""COMPUTED_VALUE"""),"Input Box")</f>
        <v/>
      </c>
      <c r="D326" s="7">
        <f>IFERROR(__xludf.DUMMYFUNCTION("""COMPUTED_VALUE"""),"No task description")</f>
        <v/>
      </c>
      <c r="E3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26" s="7" t="inlineStr">
        <is>
          <t>Students were given tasks and tools, including YouTube and Golabz app, with varying instructions and artifact descriptions for each item.</t>
        </is>
      </c>
      <c r="G326" s="8" t="n"/>
      <c r="H326" s="8" t="n"/>
      <c r="I326" s="8" t="n"/>
      <c r="J326" s="8" t="n"/>
      <c r="K326" s="9" t="n"/>
      <c r="L326" s="9" t="n"/>
      <c r="M326" s="9" t="n"/>
      <c r="N326" s="9" t="n"/>
      <c r="O326" s="10" t="n"/>
      <c r="P326" s="10" t="n"/>
      <c r="Q326" s="10" t="n"/>
      <c r="R326" s="10" t="n"/>
      <c r="S326" s="10" t="n"/>
    </row>
    <row r="327" ht="121" customHeight="1">
      <c r="A327" s="6">
        <f>IFERROR(__xludf.DUMMYFUNCTION("""COMPUTED_VALUE"""),"Transcription &amp; Translation")</f>
        <v/>
      </c>
      <c r="B327" s="6">
        <f>IFERROR(__xludf.DUMMYFUNCTION("""COMPUTED_VALUE"""),"Application")</f>
        <v/>
      </c>
      <c r="C327" s="6">
        <f>IFERROR(__xludf.DUMMYFUNCTION("""COMPUTED_VALUE"""),"Teacher Feedback")</f>
        <v/>
      </c>
      <c r="D327" s="7">
        <f>IFERROR(__xludf.DUMMYFUNCTION("""COMPUTED_VALUE"""),"No task description")</f>
        <v/>
      </c>
      <c r="E327" s="7">
        <f>IFERROR(__xludf.DUMMYFUNCTION("""COMPUTED_VALUE"""),"Golabz app/lab: ""&lt;p&gt;A tool where teachers can provide feedback to students&lt;/p&gt;\r\n""")</f>
        <v/>
      </c>
      <c r="F327" s="7" t="inlineStr">
        <is>
          <t>Students explain transcription/translation importance and process. Embedded artifacts include note-taking apps and a teacher feedback tool.</t>
        </is>
      </c>
      <c r="G327" s="8" t="n"/>
      <c r="H327" s="8" t="n"/>
      <c r="I327" s="8" t="n"/>
      <c r="J327" s="8" t="n"/>
      <c r="K327" s="9" t="n"/>
      <c r="L327" s="9" t="n"/>
      <c r="M327" s="9" t="n"/>
      <c r="N327" s="9" t="n"/>
      <c r="O327" s="10" t="n"/>
      <c r="P327" s="10" t="n"/>
      <c r="Q327" s="10" t="n"/>
      <c r="R327" s="10" t="n"/>
      <c r="S327" s="10" t="n"/>
    </row>
    <row r="328" ht="85" customHeight="1">
      <c r="A328" s="6">
        <f>IFERROR(__xludf.DUMMYFUNCTION("""COMPUTED_VALUE"""),"Transcription &amp; Translation")</f>
        <v/>
      </c>
      <c r="B328" s="6">
        <f>IFERROR(__xludf.DUMMYFUNCTION("""COMPUTED_VALUE"""),"Space")</f>
        <v/>
      </c>
      <c r="C328" s="6">
        <f>IFERROR(__xludf.DUMMYFUNCTION("""COMPUTED_VALUE"""),"Learning Outcomes")</f>
        <v/>
      </c>
      <c r="D328" s="7">
        <f>IFERROR(__xludf.DUMMYFUNCTION("""COMPUTED_VALUE"""),"&lt;p&gt;Learning Outcomes.&lt;/p&gt;")</f>
        <v/>
      </c>
      <c r="E328" s="7">
        <f>IFERROR(__xludf.DUMMYFUNCTION("""COMPUTED_VALUE"""),"No artifact embedded")</f>
        <v/>
      </c>
      <c r="F328" s="7" t="inlineStr">
        <is>
          <t>No instructions provided. Embedded artifacts include note-taking and feedback tools in Golabz app/lab.</t>
        </is>
      </c>
      <c r="G328" s="8" t="n"/>
      <c r="H328" s="8" t="n"/>
      <c r="I328" s="8" t="n"/>
      <c r="J328" s="8" t="n"/>
      <c r="K328" s="9" t="n"/>
      <c r="L328" s="9" t="n"/>
      <c r="M328" s="9" t="n"/>
      <c r="N328" s="9" t="n"/>
      <c r="O328" s="10" t="n"/>
      <c r="P328" s="10" t="n"/>
      <c r="Q328" s="10" t="n"/>
      <c r="R328" s="10" t="n"/>
      <c r="S328" s="10" t="n"/>
    </row>
    <row r="329" ht="217" customHeight="1">
      <c r="A329" s="6">
        <f>IFERROR(__xludf.DUMMYFUNCTION("""COMPUTED_VALUE"""),"Transcription &amp; Translation")</f>
        <v/>
      </c>
      <c r="B329" s="6">
        <f>IFERROR(__xludf.DUMMYFUNCTION("""COMPUTED_VALUE"""),"Resource")</f>
        <v/>
      </c>
      <c r="C329" s="6">
        <f>IFERROR(__xludf.DUMMYFUNCTION("""COMPUTED_VALUE"""),"Learning Outcomes.graasp")</f>
        <v/>
      </c>
      <c r="D329" s="7">
        <f>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
      </c>
      <c r="E329" s="7">
        <f>IFERROR(__xludf.DUMMYFUNCTION("""COMPUTED_VALUE"""),"No artifact embedded")</f>
        <v/>
      </c>
      <c r="F329" s="7" t="inlineStr">
        <is>
          <t>Students received task descriptions and some had embedded artifacts, including the Golabz app/lab for teacher feedback.</t>
        </is>
      </c>
      <c r="G329" s="8" t="n"/>
      <c r="H329" s="8" t="n"/>
      <c r="I329" s="8" t="n"/>
      <c r="J329" s="8" t="n"/>
      <c r="K329" s="9" t="n"/>
      <c r="L329" s="9" t="n"/>
      <c r="M329" s="9" t="n"/>
      <c r="N329" s="9" t="n"/>
      <c r="O329" s="10" t="n"/>
      <c r="P329" s="10" t="n"/>
      <c r="Q329" s="10" t="n"/>
      <c r="R329" s="10" t="n"/>
      <c r="S329" s="10" t="n"/>
    </row>
    <row r="330" ht="145" customHeight="1">
      <c r="A330" s="6">
        <f>IFERROR(__xludf.DUMMYFUNCTION("""COMPUTED_VALUE"""),"Transcription &amp; Translation")</f>
        <v/>
      </c>
      <c r="B330" s="6">
        <f>IFERROR(__xludf.DUMMYFUNCTION("""COMPUTED_VALUE"""),"Space")</f>
        <v/>
      </c>
      <c r="C330" s="6">
        <f>IFERROR(__xludf.DUMMYFUNCTION("""COMPUTED_VALUE"""),"Investigation")</f>
        <v/>
      </c>
      <c r="D330" s="7">
        <f>IFERROR(__xludf.DUMMYFUNCTION("""COMPUTED_VALUE"""),"This is the Investigation phase.")</f>
        <v/>
      </c>
      <c r="E330" s="7">
        <f>IFERROR(__xludf.DUMMYFUNCTION("""COMPUTED_VALUE"""),"No artifact embedded")</f>
        <v/>
      </c>
      <c r="F330" s="7" t="inlineStr">
        <is>
          <t>Students are given tasks with learning outcomes, recalling transcription/translation, and investigation phases, all without embedded artifacts.</t>
        </is>
      </c>
      <c r="G330" s="8" t="n"/>
      <c r="H330" s="8" t="n"/>
      <c r="I330" s="8" t="n"/>
      <c r="J330" s="8" t="n"/>
      <c r="K330" s="9" t="n"/>
      <c r="L330" s="9" t="n"/>
      <c r="M330" s="9" t="n"/>
      <c r="N330" s="9" t="n"/>
      <c r="O330" s="10" t="n"/>
      <c r="P330" s="10" t="n"/>
      <c r="Q330" s="10" t="n"/>
      <c r="R330" s="10" t="n"/>
      <c r="S330" s="10" t="n"/>
    </row>
    <row r="331" ht="409.6" customHeight="1">
      <c r="A331" s="6">
        <f>IFERROR(__xludf.DUMMYFUNCTION("""COMPUTED_VALUE"""),"Transcription &amp; Translation")</f>
        <v/>
      </c>
      <c r="B331" s="6">
        <f>IFERROR(__xludf.DUMMYFUNCTION("""COMPUTED_VALUE"""),"Application")</f>
        <v/>
      </c>
      <c r="C331" s="6">
        <f>IFERROR(__xludf.DUMMYFUNCTION("""COMPUTED_VALUE"""),"DNA to Protein App")</f>
        <v/>
      </c>
      <c r="D331" s="7">
        <f>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
      </c>
      <c r="E331" s="7">
        <f>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
      </c>
      <c r="F331" s="7" t="inlineStr">
        <is>
          <t>Students recall transcription/translation basics, formulate questions, and explore DNA-to-protein conversion using Golabz app.</t>
        </is>
      </c>
      <c r="G331" s="8" t="n"/>
      <c r="H331" s="8" t="n"/>
      <c r="I331" s="8" t="n"/>
      <c r="J331" s="8" t="n"/>
      <c r="K331" s="9" t="n"/>
      <c r="L331" s="9" t="n"/>
      <c r="M331" s="9" t="n"/>
      <c r="N331" s="9" t="n"/>
      <c r="O331" s="10" t="n"/>
      <c r="P331" s="10" t="n"/>
      <c r="Q331" s="10" t="n"/>
      <c r="R331" s="10" t="n"/>
      <c r="S331" s="10" t="n"/>
    </row>
    <row r="332" ht="109" customHeight="1">
      <c r="A332" s="6">
        <f>IFERROR(__xludf.DUMMYFUNCTION("""COMPUTED_VALUE"""),"Transcription &amp; Translation")</f>
        <v/>
      </c>
      <c r="B332" s="6">
        <f>IFERROR(__xludf.DUMMYFUNCTION("""COMPUTED_VALUE"""),"Resource")</f>
        <v/>
      </c>
      <c r="C332" s="6">
        <f>IFERROR(__xludf.DUMMYFUNCTION("""COMPUTED_VALUE"""),"question KS4.graasp")</f>
        <v/>
      </c>
      <c r="D332" s="7">
        <f>IFERROR(__xludf.DUMMYFUNCTION("""COMPUTED_VALUE"""),"&lt;p&gt;In the box below write 3 questions on transcription with answers for KS 4 students based on the animation above:&lt;/p&gt;")</f>
        <v/>
      </c>
      <c r="E332" s="7">
        <f>IFERROR(__xludf.DUMMYFUNCTION("""COMPUTED_VALUE"""),"No artifact embedded")</f>
        <v/>
      </c>
      <c r="F332" s="7" t="inlineStr">
        <is>
          <t>Students explore DNA translation, create questions, and write about transcription with answers. Embedded artifacts include a Golabz app/lab.</t>
        </is>
      </c>
      <c r="G332" s="8" t="n"/>
      <c r="H332" s="8" t="n"/>
      <c r="I332" s="8" t="n"/>
      <c r="J332" s="8" t="n"/>
      <c r="K332" s="9" t="n"/>
      <c r="L332" s="9" t="n"/>
      <c r="M332" s="9" t="n"/>
      <c r="N332" s="9" t="n"/>
      <c r="O332" s="10" t="n"/>
      <c r="P332" s="10" t="n"/>
      <c r="Q332" s="10" t="n"/>
      <c r="R332" s="10" t="n"/>
      <c r="S332" s="10" t="n"/>
    </row>
    <row r="333" ht="318" customHeight="1">
      <c r="A333" s="6">
        <f>IFERROR(__xludf.DUMMYFUNCTION("""COMPUTED_VALUE"""),"Transcription &amp; Translation")</f>
        <v/>
      </c>
      <c r="B333" s="6">
        <f>IFERROR(__xludf.DUMMYFUNCTION("""COMPUTED_VALUE"""),"Application")</f>
        <v/>
      </c>
      <c r="C333" s="6">
        <f>IFERROR(__xludf.DUMMYFUNCTION("""COMPUTED_VALUE"""),"Input Box")</f>
        <v/>
      </c>
      <c r="D333" s="7">
        <f>IFERROR(__xludf.DUMMYFUNCTION("""COMPUTED_VALUE"""),"No task description")</f>
        <v/>
      </c>
      <c r="E3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3" s="7" t="inlineStr">
        <is>
          <t>Students learn about DNA translation into protein and create questions for KS4/KS5 students using Golabz app/lab.</t>
        </is>
      </c>
      <c r="G333" s="8" t="n"/>
      <c r="H333" s="8" t="n"/>
      <c r="I333" s="8" t="n"/>
      <c r="J333" s="8" t="n"/>
      <c r="K333" s="9" t="n"/>
      <c r="L333" s="9" t="n"/>
      <c r="M333" s="9" t="n"/>
      <c r="N333" s="9" t="n"/>
      <c r="O333" s="10" t="n"/>
      <c r="P333" s="10" t="n"/>
      <c r="Q333" s="10" t="n"/>
      <c r="R333" s="10" t="n"/>
      <c r="S333" s="10" t="n"/>
    </row>
    <row r="334" ht="121" customHeight="1">
      <c r="A334" s="6">
        <f>IFERROR(__xludf.DUMMYFUNCTION("""COMPUTED_VALUE"""),"Transcription &amp; Translation")</f>
        <v/>
      </c>
      <c r="B334" s="6">
        <f>IFERROR(__xludf.DUMMYFUNCTION("""COMPUTED_VALUE"""),"Application")</f>
        <v/>
      </c>
      <c r="C334" s="6">
        <f>IFERROR(__xludf.DUMMYFUNCTION("""COMPUTED_VALUE"""),"Teacher Feedback (1)")</f>
        <v/>
      </c>
      <c r="D334" s="7">
        <f>IFERROR(__xludf.DUMMYFUNCTION("""COMPUTED_VALUE"""),"No task description")</f>
        <v/>
      </c>
      <c r="E334" s="7">
        <f>IFERROR(__xludf.DUMMYFUNCTION("""COMPUTED_VALUE"""),"Golabz app/lab: ""&lt;p&gt;A tool where teachers can provide feedback to students&lt;/p&gt;\r\n""")</f>
        <v/>
      </c>
      <c r="F334" s="7" t="inlineStr">
        <is>
          <t>Students write 3 transcription questions with answers. Embedded artifacts include note-taking and feedback tools via the Golabz app/lab.</t>
        </is>
      </c>
      <c r="G334" s="8" t="n"/>
      <c r="H334" s="8" t="n"/>
      <c r="I334" s="8" t="n"/>
      <c r="J334" s="8" t="n"/>
      <c r="K334" s="9" t="n"/>
      <c r="L334" s="9" t="n"/>
      <c r="M334" s="9" t="n"/>
      <c r="N334" s="9" t="n"/>
      <c r="O334" s="10" t="n"/>
      <c r="P334" s="10" t="n"/>
      <c r="Q334" s="10" t="n"/>
      <c r="R334" s="10" t="n"/>
      <c r="S334" s="10" t="n"/>
    </row>
    <row r="335" ht="145" customHeight="1">
      <c r="A335" s="6">
        <f>IFERROR(__xludf.DUMMYFUNCTION("""COMPUTED_VALUE"""),"Transcription &amp; Translation")</f>
        <v/>
      </c>
      <c r="B335" s="6">
        <f>IFERROR(__xludf.DUMMYFUNCTION("""COMPUTED_VALUE"""),"Resource")</f>
        <v/>
      </c>
      <c r="C335" s="6">
        <f>IFERROR(__xludf.DUMMYFUNCTION("""COMPUTED_VALUE"""),"Question KS5.graasp")</f>
        <v/>
      </c>
      <c r="D335" s="7">
        <f>IFERROR(__xludf.DUMMYFUNCTION("""COMPUTED_VALUE"""),"&lt;p&gt;In the box below describe what is missing in the animation that is needed for understanding the process of transcription at KS 5 level:&lt;/p&gt;")</f>
        <v/>
      </c>
      <c r="E335" s="7">
        <f>IFERROR(__xludf.DUMMYFUNCTION("""COMPUTED_VALUE"""),"No artifact embedded")</f>
        <v/>
      </c>
      <c r="F335" s="7" t="inlineStr">
        <is>
          <t>Students have no task descriptions for Items 1 and 2. Item 3 requires describing what's missing in an animation about transcription. Embedded artifacts include note-taking and feedback tools.</t>
        </is>
      </c>
      <c r="G335" s="8" t="n"/>
      <c r="H335" s="8" t="n"/>
      <c r="I335" s="8" t="n"/>
      <c r="J335" s="8" t="n"/>
      <c r="K335" s="9" t="n"/>
      <c r="L335" s="9" t="n"/>
      <c r="M335" s="9" t="n"/>
      <c r="N335" s="9" t="n"/>
      <c r="O335" s="10" t="n"/>
      <c r="P335" s="10" t="n"/>
      <c r="Q335" s="10" t="n"/>
      <c r="R335" s="10" t="n"/>
      <c r="S335" s="10" t="n"/>
    </row>
    <row r="336" ht="318" customHeight="1">
      <c r="A336" s="6">
        <f>IFERROR(__xludf.DUMMYFUNCTION("""COMPUTED_VALUE"""),"Transcription &amp; Translation")</f>
        <v/>
      </c>
      <c r="B336" s="6">
        <f>IFERROR(__xludf.DUMMYFUNCTION("""COMPUTED_VALUE"""),"Application")</f>
        <v/>
      </c>
      <c r="C336" s="6">
        <f>IFERROR(__xludf.DUMMYFUNCTION("""COMPUTED_VALUE"""),"Input Box (1)")</f>
        <v/>
      </c>
      <c r="D336" s="7">
        <f>IFERROR(__xludf.DUMMYFUNCTION("""COMPUTED_VALUE"""),"No task description")</f>
        <v/>
      </c>
      <c r="E3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6" s="7" t="inlineStr">
        <is>
          <t>Students received tasks with some missing descriptions. Embedded artifacts include Golabz app/lab for feedback and note-taking.</t>
        </is>
      </c>
      <c r="G336" s="8" t="n"/>
      <c r="H336" s="8" t="n"/>
      <c r="I336" s="8" t="n"/>
      <c r="J336" s="8" t="n"/>
      <c r="K336" s="9" t="n"/>
      <c r="L336" s="9" t="n"/>
      <c r="M336" s="9" t="n"/>
      <c r="N336" s="9" t="n"/>
      <c r="O336" s="10" t="n"/>
      <c r="P336" s="10" t="n"/>
      <c r="Q336" s="10" t="n"/>
      <c r="R336" s="10" t="n"/>
      <c r="S336" s="10" t="n"/>
    </row>
    <row r="337" ht="109" customHeight="1">
      <c r="A337" s="6">
        <f>IFERROR(__xludf.DUMMYFUNCTION("""COMPUTED_VALUE"""),"Transcription &amp; Translation")</f>
        <v/>
      </c>
      <c r="B337" s="6">
        <f>IFERROR(__xludf.DUMMYFUNCTION("""COMPUTED_VALUE"""),"Application")</f>
        <v/>
      </c>
      <c r="C337" s="6">
        <f>IFERROR(__xludf.DUMMYFUNCTION("""COMPUTED_VALUE"""),"Teacher Feedback")</f>
        <v/>
      </c>
      <c r="D337" s="7">
        <f>IFERROR(__xludf.DUMMYFUNCTION("""COMPUTED_VALUE"""),"No task description")</f>
        <v/>
      </c>
      <c r="E337" s="7">
        <f>IFERROR(__xludf.DUMMYFUNCTION("""COMPUTED_VALUE"""),"Golabz app/lab: ""&lt;p&gt;A tool where teachers can provide feedback to students&lt;/p&gt;\r\n""")</f>
        <v/>
      </c>
      <c r="F337" s="7" t="inlineStr">
        <is>
          <t>Students describe what's missing in an animation for understanding transcription. Embedded artifacts include note-taking and feedback tools.</t>
        </is>
      </c>
      <c r="G337" s="8" t="n"/>
      <c r="H337" s="8" t="n"/>
      <c r="I337" s="8" t="n"/>
      <c r="J337" s="8" t="n"/>
      <c r="K337" s="9" t="n"/>
      <c r="L337" s="9" t="n"/>
      <c r="M337" s="9" t="n"/>
      <c r="N337" s="9" t="n"/>
      <c r="O337" s="10" t="n"/>
      <c r="P337" s="10" t="n"/>
      <c r="Q337" s="10" t="n"/>
      <c r="R337" s="10" t="n"/>
      <c r="S337" s="10" t="n"/>
    </row>
    <row r="338" ht="133" customHeight="1">
      <c r="A338" s="6">
        <f>IFERROR(__xludf.DUMMYFUNCTION("""COMPUTED_VALUE"""),"Transcription &amp; Translation")</f>
        <v/>
      </c>
      <c r="B338" s="6">
        <f>IFERROR(__xludf.DUMMYFUNCTION("""COMPUTED_VALUE"""),"Resource")</f>
        <v/>
      </c>
      <c r="C338" s="6">
        <f>IFERROR(__xludf.DUMMYFUNCTION("""COMPUTED_VALUE"""),"question ks4 2.graasp")</f>
        <v/>
      </c>
      <c r="D338" s="7">
        <f>IFERROR(__xludf.DUMMYFUNCTION("""COMPUTED_VALUE"""),"&lt;p&gt;In the box below write 3 questions on translation with answers for KS 4 students based on the animation above:&lt;/p&gt;")</f>
        <v/>
      </c>
      <c r="E338" s="7">
        <f>IFERROR(__xludf.DUMMYFUNCTION("""COMPUTED_VALUE"""),"No artifact embedded")</f>
        <v/>
      </c>
      <c r="F338" s="7" t="inlineStr">
        <is>
          <t>Students have no task descriptions for Items 1 and 2, but Item 3 requires writing 3 translation questions. Embedded artifacts include note-taking and feedback tools.</t>
        </is>
      </c>
      <c r="G338" s="8" t="n"/>
      <c r="H338" s="8" t="n"/>
      <c r="I338" s="8" t="n"/>
      <c r="J338" s="8" t="n"/>
      <c r="K338" s="9" t="n"/>
      <c r="L338" s="9" t="n"/>
      <c r="M338" s="9" t="n"/>
      <c r="N338" s="9" t="n"/>
      <c r="O338" s="10" t="n"/>
      <c r="P338" s="10" t="n"/>
      <c r="Q338" s="10" t="n"/>
      <c r="R338" s="10" t="n"/>
      <c r="S338" s="10" t="n"/>
    </row>
    <row r="339" ht="318" customHeight="1">
      <c r="A339" s="6">
        <f>IFERROR(__xludf.DUMMYFUNCTION("""COMPUTED_VALUE"""),"Transcription &amp; Translation")</f>
        <v/>
      </c>
      <c r="B339" s="6">
        <f>IFERROR(__xludf.DUMMYFUNCTION("""COMPUTED_VALUE"""),"Application")</f>
        <v/>
      </c>
      <c r="C339" s="6">
        <f>IFERROR(__xludf.DUMMYFUNCTION("""COMPUTED_VALUE"""),"Input Box (2)")</f>
        <v/>
      </c>
      <c r="D339" s="7">
        <f>IFERROR(__xludf.DUMMYFUNCTION("""COMPUTED_VALUE"""),"No task description")</f>
        <v/>
      </c>
      <c r="E33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9" s="7" t="inlineStr">
        <is>
          <t>Students received task descriptions and embedded artifacts, including Golabz app/lab tools for feedback and note-taking.</t>
        </is>
      </c>
      <c r="G339" s="8" t="n"/>
      <c r="H339" s="8" t="n"/>
      <c r="I339" s="8" t="n"/>
      <c r="J339" s="8" t="n"/>
      <c r="K339" s="9" t="n"/>
      <c r="L339" s="9" t="n"/>
      <c r="M339" s="9" t="n"/>
      <c r="N339" s="9" t="n"/>
      <c r="O339" s="10" t="n"/>
      <c r="P339" s="10" t="n"/>
      <c r="Q339" s="10" t="n"/>
      <c r="R339" s="10" t="n"/>
      <c r="S339" s="10" t="n"/>
    </row>
    <row r="340" ht="97" customHeight="1">
      <c r="A340" s="6">
        <f>IFERROR(__xludf.DUMMYFUNCTION("""COMPUTED_VALUE"""),"Transcription &amp; Translation")</f>
        <v/>
      </c>
      <c r="B340" s="6">
        <f>IFERROR(__xludf.DUMMYFUNCTION("""COMPUTED_VALUE"""),"Application")</f>
        <v/>
      </c>
      <c r="C340" s="6">
        <f>IFERROR(__xludf.DUMMYFUNCTION("""COMPUTED_VALUE"""),"Teacher Feedback (2)")</f>
        <v/>
      </c>
      <c r="D340" s="7">
        <f>IFERROR(__xludf.DUMMYFUNCTION("""COMPUTED_VALUE"""),"No task description")</f>
        <v/>
      </c>
      <c r="E340" s="7">
        <f>IFERROR(__xludf.DUMMYFUNCTION("""COMPUTED_VALUE"""),"Golabz app/lab: ""&lt;p&gt;A tool where teachers can provide feedback to students&lt;/p&gt;\r\n""")</f>
        <v/>
      </c>
      <c r="F340" s="7" t="inlineStr">
        <is>
          <t>Students write 3 translation questions with answers. Embedded artifacts include note-taking and feedback tools.</t>
        </is>
      </c>
      <c r="G340" s="8" t="n"/>
      <c r="H340" s="8" t="n"/>
      <c r="I340" s="8" t="n"/>
      <c r="J340" s="8" t="n"/>
      <c r="K340" s="9" t="n"/>
      <c r="L340" s="9" t="n"/>
      <c r="M340" s="9" t="n"/>
      <c r="N340" s="9" t="n"/>
      <c r="O340" s="10" t="n"/>
      <c r="P340" s="10" t="n"/>
      <c r="Q340" s="10" t="n"/>
      <c r="R340" s="10" t="n"/>
      <c r="S340" s="10" t="n"/>
    </row>
    <row r="341" ht="145" customHeight="1">
      <c r="A341" s="6">
        <f>IFERROR(__xludf.DUMMYFUNCTION("""COMPUTED_VALUE"""),"Transcription &amp; Translation")</f>
        <v/>
      </c>
      <c r="B341" s="6">
        <f>IFERROR(__xludf.DUMMYFUNCTION("""COMPUTED_VALUE"""),"Resource")</f>
        <v/>
      </c>
      <c r="C341" s="6">
        <f>IFERROR(__xludf.DUMMYFUNCTION("""COMPUTED_VALUE"""),"question ks5 2.graasp")</f>
        <v/>
      </c>
      <c r="D341" s="7">
        <f>IFERROR(__xludf.DUMMYFUNCTION("""COMPUTED_VALUE"""),"&lt;p&gt;In the box below describe what is missing in the animation that is needed for understanding the process of translation at KS 5 level:&lt;/p&gt;")</f>
        <v/>
      </c>
      <c r="E341" s="7">
        <f>IFERROR(__xludf.DUMMYFUNCTION("""COMPUTED_VALUE"""),"No artifact embedded")</f>
        <v/>
      </c>
      <c r="F341" s="7" t="inlineStr">
        <is>
          <t>Students have no task descriptions for Items 1 and 2, but are given apps to take notes and provide feedback. Item 3 asks students to describe what's missing in an animation about translation.</t>
        </is>
      </c>
      <c r="G341" s="8" t="n"/>
      <c r="H341" s="8" t="n"/>
      <c r="I341" s="8" t="n"/>
      <c r="J341" s="8" t="n"/>
      <c r="K341" s="9" t="n"/>
      <c r="L341" s="9" t="n"/>
      <c r="M341" s="9" t="n"/>
      <c r="N341" s="9" t="n"/>
      <c r="O341" s="10" t="n"/>
      <c r="P341" s="10" t="n"/>
      <c r="Q341" s="10" t="n"/>
      <c r="R341" s="10" t="n"/>
      <c r="S341" s="10" t="n"/>
    </row>
    <row r="342" ht="318" customHeight="1">
      <c r="A342" s="6">
        <f>IFERROR(__xludf.DUMMYFUNCTION("""COMPUTED_VALUE"""),"Transcription &amp; Translation")</f>
        <v/>
      </c>
      <c r="B342" s="6">
        <f>IFERROR(__xludf.DUMMYFUNCTION("""COMPUTED_VALUE"""),"Application")</f>
        <v/>
      </c>
      <c r="C342" s="6">
        <f>IFERROR(__xludf.DUMMYFUNCTION("""COMPUTED_VALUE"""),"Input Box (3)")</f>
        <v/>
      </c>
      <c r="D342" s="7">
        <f>IFERROR(__xludf.DUMMYFUNCTION("""COMPUTED_VALUE"""),"No task description")</f>
        <v/>
      </c>
      <c r="E34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2" s="7" t="inlineStr">
        <is>
          <t>Students received 3 tasks with varying levels of description and embedded artifacts, including Golabz apps for feedback and note-taking.</t>
        </is>
      </c>
      <c r="G342" s="8" t="n"/>
      <c r="H342" s="8" t="n"/>
      <c r="I342" s="8" t="n"/>
      <c r="J342" s="8" t="n"/>
      <c r="K342" s="9" t="n"/>
      <c r="L342" s="9" t="n"/>
      <c r="M342" s="9" t="n"/>
      <c r="N342" s="9" t="n"/>
      <c r="O342" s="10" t="n"/>
      <c r="P342" s="10" t="n"/>
      <c r="Q342" s="10" t="n"/>
      <c r="R342" s="10" t="n"/>
      <c r="S342" s="10" t="n"/>
    </row>
    <row r="343" ht="109" customHeight="1">
      <c r="A343" s="6">
        <f>IFERROR(__xludf.DUMMYFUNCTION("""COMPUTED_VALUE"""),"Transcription &amp; Translation")</f>
        <v/>
      </c>
      <c r="B343" s="6">
        <f>IFERROR(__xludf.DUMMYFUNCTION("""COMPUTED_VALUE"""),"Application")</f>
        <v/>
      </c>
      <c r="C343" s="6">
        <f>IFERROR(__xludf.DUMMYFUNCTION("""COMPUTED_VALUE"""),"Teacher Feedback (3)")</f>
        <v/>
      </c>
      <c r="D343" s="7">
        <f>IFERROR(__xludf.DUMMYFUNCTION("""COMPUTED_VALUE"""),"No task description")</f>
        <v/>
      </c>
      <c r="E343" s="7">
        <f>IFERROR(__xludf.DUMMYFUNCTION("""COMPUTED_VALUE"""),"Golabz app/lab: ""&lt;p&gt;A tool where teachers can provide feedback to students&lt;/p&gt;\r\n""")</f>
        <v/>
      </c>
      <c r="F343" s="7" t="inlineStr">
        <is>
          <t>Students describe what's missing in an animation for understanding translation. Embedded artifacts include note-taking and feedback tools.</t>
        </is>
      </c>
      <c r="G343" s="8" t="n"/>
      <c r="H343" s="8" t="n"/>
      <c r="I343" s="8" t="n"/>
      <c r="J343" s="8" t="n"/>
      <c r="K343" s="9" t="n"/>
      <c r="L343" s="9" t="n"/>
      <c r="M343" s="9" t="n"/>
      <c r="N343" s="9" t="n"/>
      <c r="O343" s="10" t="n"/>
      <c r="P343" s="10" t="n"/>
      <c r="Q343" s="10" t="n"/>
      <c r="R343" s="10" t="n"/>
      <c r="S343" s="10" t="n"/>
    </row>
    <row r="344" ht="85" customHeight="1">
      <c r="A344" s="6">
        <f>IFERROR(__xludf.DUMMYFUNCTION("""COMPUTED_VALUE"""),"Transcription &amp; Translation")</f>
        <v/>
      </c>
      <c r="B344" s="6">
        <f>IFERROR(__xludf.DUMMYFUNCTION("""COMPUTED_VALUE"""),"Space")</f>
        <v/>
      </c>
      <c r="C344" s="6">
        <f>IFERROR(__xludf.DUMMYFUNCTION("""COMPUTED_VALUE"""),"Conclusion")</f>
        <v/>
      </c>
      <c r="D344" s="7">
        <f>IFERROR(__xludf.DUMMYFUNCTION("""COMPUTED_VALUE"""),"This is the Conclusion phase.")</f>
        <v/>
      </c>
      <c r="E344" s="7">
        <f>IFERROR(__xludf.DUMMYFUNCTION("""COMPUTED_VALUE"""),"No artifact embedded")</f>
        <v/>
      </c>
      <c r="F344" s="7" t="inlineStr">
        <is>
          <t>No instructions are provided. Embedded artifacts include a note-taking app and a feedback tool.</t>
        </is>
      </c>
      <c r="G344" s="8" t="n"/>
      <c r="H344" s="8" t="n"/>
      <c r="I344" s="8" t="n"/>
      <c r="J344" s="8" t="n"/>
      <c r="K344" s="9" t="n"/>
      <c r="L344" s="9" t="n"/>
      <c r="M344" s="9" t="n"/>
      <c r="N344" s="9" t="n"/>
      <c r="O344" s="10" t="n"/>
      <c r="P344" s="10" t="n"/>
      <c r="Q344" s="10" t="n"/>
      <c r="R344" s="10" t="n"/>
      <c r="S344" s="10" t="n"/>
    </row>
    <row r="345" ht="109" customHeight="1">
      <c r="A345" s="6">
        <f>IFERROR(__xludf.DUMMYFUNCTION("""COMPUTED_VALUE"""),"Transcription &amp; Translation")</f>
        <v/>
      </c>
      <c r="B345" s="6">
        <f>IFERROR(__xludf.DUMMYFUNCTION("""COMPUTED_VALUE"""),"Resource")</f>
        <v/>
      </c>
      <c r="C345" s="6">
        <f>IFERROR(__xludf.DUMMYFUNCTION("""COMPUTED_VALUE"""),"Conclusion 1.graasp")</f>
        <v/>
      </c>
      <c r="D345" s="7">
        <f>IFERROR(__xludf.DUMMYFUNCTION("""COMPUTED_VALUE"""),"&lt;p&gt;Write a short conclusion on the main things you have learned today&lt;/p&gt;")</f>
        <v/>
      </c>
      <c r="E345" s="7">
        <f>IFERROR(__xludf.DUMMYFUNCTION("""COMPUTED_VALUE"""),"No artifact embedded")</f>
        <v/>
      </c>
      <c r="F345" s="7" t="inlineStr">
        <is>
          <t>Students were given tasks with descriptions and some had embedded artifacts, including Golabz app for teacher feedback.</t>
        </is>
      </c>
      <c r="G345" s="8" t="n"/>
      <c r="H345" s="8" t="n"/>
      <c r="I345" s="8" t="n"/>
      <c r="J345" s="8" t="n"/>
      <c r="K345" s="9" t="n"/>
      <c r="L345" s="9" t="n"/>
      <c r="M345" s="9" t="n"/>
      <c r="N345" s="9" t="n"/>
      <c r="O345" s="10" t="n"/>
      <c r="P345" s="10" t="n"/>
      <c r="Q345" s="10" t="n"/>
      <c r="R345" s="10" t="n"/>
      <c r="S345" s="10" t="n"/>
    </row>
    <row r="346" ht="318" customHeight="1">
      <c r="A346" s="6">
        <f>IFERROR(__xludf.DUMMYFUNCTION("""COMPUTED_VALUE"""),"Transcription &amp; Translation")</f>
        <v/>
      </c>
      <c r="B346" s="6">
        <f>IFERROR(__xludf.DUMMYFUNCTION("""COMPUTED_VALUE"""),"Application")</f>
        <v/>
      </c>
      <c r="C346" s="6">
        <f>IFERROR(__xludf.DUMMYFUNCTION("""COMPUTED_VALUE"""),"Input Box")</f>
        <v/>
      </c>
      <c r="D346" s="7">
        <f>IFERROR(__xludf.DUMMYFUNCTION("""COMPUTED_VALUE"""),"No task description")</f>
        <v/>
      </c>
      <c r="E3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6" s="7" t="inlineStr">
        <is>
          <t>Students were instructed to conclude their learnings. Embedded artifacts include a note-taking app, Golabz, which allows teachers to overview student inputs and enables collaboration.</t>
        </is>
      </c>
      <c r="G346" s="8" t="n"/>
      <c r="H346" s="8" t="n"/>
      <c r="I346" s="8" t="n"/>
      <c r="J346" s="8" t="n"/>
      <c r="K346" s="9" t="n"/>
      <c r="L346" s="9" t="n"/>
      <c r="M346" s="9" t="n"/>
      <c r="N346" s="9" t="n"/>
      <c r="O346" s="10" t="n"/>
      <c r="P346" s="10" t="n"/>
      <c r="Q346" s="10" t="n"/>
      <c r="R346" s="10" t="n"/>
      <c r="S346" s="10" t="n"/>
    </row>
    <row r="347" ht="121" customHeight="1">
      <c r="A347" s="6">
        <f>IFERROR(__xludf.DUMMYFUNCTION("""COMPUTED_VALUE"""),"Transcription &amp; Translation")</f>
        <v/>
      </c>
      <c r="B347" s="6">
        <f>IFERROR(__xludf.DUMMYFUNCTION("""COMPUTED_VALUE"""),"Application")</f>
        <v/>
      </c>
      <c r="C347" s="6">
        <f>IFERROR(__xludf.DUMMYFUNCTION("""COMPUTED_VALUE"""),"Teacher Feedback")</f>
        <v/>
      </c>
      <c r="D347" s="7">
        <f>IFERROR(__xludf.DUMMYFUNCTION("""COMPUTED_VALUE"""),"No task description")</f>
        <v/>
      </c>
      <c r="E347" s="7">
        <f>IFERROR(__xludf.DUMMYFUNCTION("""COMPUTED_VALUE"""),"Golabz app/lab: ""&lt;p&gt;A tool where teachers can provide feedback to students&lt;/p&gt;\r\n""")</f>
        <v/>
      </c>
      <c r="F347" s="7" t="inlineStr">
        <is>
          <t>Students were instructed to write a conclusion on main learnings. Embedded artifacts include note-taking and feedback tools in the Golabz app/lab.</t>
        </is>
      </c>
      <c r="G347" s="8" t="n"/>
      <c r="H347" s="8" t="n"/>
      <c r="I347" s="8" t="n"/>
      <c r="J347" s="8" t="n"/>
      <c r="K347" s="9" t="n"/>
      <c r="L347" s="9" t="n"/>
      <c r="M347" s="9" t="n"/>
      <c r="N347" s="9" t="n"/>
      <c r="O347" s="10" t="n"/>
      <c r="P347" s="10" t="n"/>
      <c r="Q347" s="10" t="n"/>
      <c r="R347" s="10" t="n"/>
      <c r="S347" s="10" t="n"/>
    </row>
    <row r="348" ht="85" customHeight="1">
      <c r="A348" s="6">
        <f>IFERROR(__xludf.DUMMYFUNCTION("""COMPUTED_VALUE"""),"Transcription &amp; Translation")</f>
        <v/>
      </c>
      <c r="B348" s="6">
        <f>IFERROR(__xludf.DUMMYFUNCTION("""COMPUTED_VALUE"""),"Space")</f>
        <v/>
      </c>
      <c r="C348" s="6">
        <f>IFERROR(__xludf.DUMMYFUNCTION("""COMPUTED_VALUE"""),"Discussion")</f>
        <v/>
      </c>
      <c r="D348" s="7">
        <f>IFERROR(__xludf.DUMMYFUNCTION("""COMPUTED_VALUE"""),"This is the Discussion phase.")</f>
        <v/>
      </c>
      <c r="E348" s="7">
        <f>IFERROR(__xludf.DUMMYFUNCTION("""COMPUTED_VALUE"""),"No artifact embedded")</f>
        <v/>
      </c>
      <c r="F348" s="7" t="inlineStr">
        <is>
          <t>Students received no task descriptions, but had access to apps for note-taking and teacher feedback.</t>
        </is>
      </c>
      <c r="G348" s="8" t="n"/>
      <c r="H348" s="8" t="n"/>
      <c r="I348" s="8" t="n"/>
      <c r="J348" s="8" t="n"/>
      <c r="K348" s="9" t="n"/>
      <c r="L348" s="9" t="n"/>
      <c r="M348" s="9" t="n"/>
      <c r="N348" s="9" t="n"/>
      <c r="O348" s="10" t="n"/>
      <c r="P348" s="10" t="n"/>
      <c r="Q348" s="10" t="n"/>
      <c r="R348" s="10" t="n"/>
      <c r="S348" s="10" t="n"/>
    </row>
    <row r="349" ht="340" customHeight="1">
      <c r="A349" s="6">
        <f>IFERROR(__xludf.DUMMYFUNCTION("""COMPUTED_VALUE"""),"Transcription &amp; Translation")</f>
        <v/>
      </c>
      <c r="B349" s="6">
        <f>IFERROR(__xludf.DUMMYFUNCTION("""COMPUTED_VALUE"""),"Resource")</f>
        <v/>
      </c>
      <c r="C349" s="6">
        <f>IFERROR(__xludf.DUMMYFUNCTION("""COMPUTED_VALUE"""),"Discussion 1.graasp")</f>
        <v/>
      </c>
      <c r="D349" s="7">
        <f>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
      </c>
      <c r="E349" s="7">
        <f>IFERROR(__xludf.DUMMYFUNCTION("""COMPUTED_VALUE"""),"No artifact embedded")</f>
        <v/>
      </c>
      <c r="F349" s="7" t="inlineStr">
        <is>
          <t>Students receive task descriptions and access to an embedded Golabz app/lab for feedback, with some items lacking artifacts or detailed instructions.</t>
        </is>
      </c>
      <c r="G349" s="8" t="n"/>
      <c r="H349" s="8" t="n"/>
      <c r="I349" s="8" t="n"/>
      <c r="J349" s="8" t="n"/>
      <c r="K349" s="9" t="n"/>
      <c r="L349" s="9" t="n"/>
      <c r="M349" s="9" t="n"/>
      <c r="N349" s="9" t="n"/>
      <c r="O349" s="10" t="n"/>
      <c r="P349" s="10" t="n"/>
      <c r="Q349" s="10" t="n"/>
      <c r="R349" s="10" t="n"/>
      <c r="S349" s="10" t="n"/>
    </row>
    <row r="350" ht="133" customHeight="1">
      <c r="A350" s="6">
        <f>IFERROR(__xludf.DUMMYFUNCTION("""COMPUTED_VALUE"""),"Transcription &amp; Translation")</f>
        <v/>
      </c>
      <c r="B350" s="6">
        <f>IFERROR(__xludf.DUMMYFUNCTION("""COMPUTED_VALUE"""),"Resource")</f>
        <v/>
      </c>
      <c r="C350" s="6">
        <f>IFERROR(__xludf.DUMMYFUNCTION("""COMPUTED_VALUE"""),"Enzyme Function | University Of Surrey")</f>
        <v/>
      </c>
      <c r="D350" s="7">
        <f>IFERROR(__xludf.DUMMYFUNCTION("""COMPUTED_VALUE"""),"No task description")</f>
        <v/>
      </c>
      <c r="E350" s="7">
        <f>IFERROR(__xludf.DUMMYFUNCTION("""COMPUTED_VALUE"""),"youtube.com: A widely known video-sharing platform where users can watch videos on a vast array of topics, including educational content.")</f>
        <v/>
      </c>
      <c r="F350" s="7" t="inlineStr">
        <is>
          <t>Students discuss transcription and translation's link to enzyme activity. No artifacts are embedded in Items 1 and 2, but Item 3 mentions YouTube as an artifact.</t>
        </is>
      </c>
      <c r="G350" s="8" t="n"/>
      <c r="H350" s="8" t="n"/>
      <c r="I350" s="8" t="n"/>
      <c r="J350" s="8" t="n"/>
      <c r="K350" s="9" t="n"/>
      <c r="L350" s="9" t="n"/>
      <c r="M350" s="9" t="n"/>
      <c r="N350" s="9" t="n"/>
      <c r="O350" s="10" t="n"/>
      <c r="P350" s="10" t="n"/>
      <c r="Q350" s="10" t="n"/>
      <c r="R350" s="10" t="n"/>
      <c r="S350" s="10" t="n"/>
    </row>
    <row r="351" ht="318" customHeight="1">
      <c r="A351" s="6">
        <f>IFERROR(__xludf.DUMMYFUNCTION("""COMPUTED_VALUE"""),"Transcription &amp; Translation")</f>
        <v/>
      </c>
      <c r="B351" s="6">
        <f>IFERROR(__xludf.DUMMYFUNCTION("""COMPUTED_VALUE"""),"Application")</f>
        <v/>
      </c>
      <c r="C351" s="6">
        <f>IFERROR(__xludf.DUMMYFUNCTION("""COMPUTED_VALUE"""),"Input Box")</f>
        <v/>
      </c>
      <c r="D351" s="7">
        <f>IFERROR(__xludf.DUMMYFUNCTION("""COMPUTED_VALUE"""),"No task description")</f>
        <v/>
      </c>
      <c r="E3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1" s="7" t="inlineStr">
        <is>
          <t>Students discuss transcription and translation's link to enzyme activity using a video. Embedded artifacts include a video and note-taking apps (Golabz and Input Box).</t>
        </is>
      </c>
      <c r="G351" s="8" t="n"/>
      <c r="H351" s="8" t="n"/>
      <c r="I351" s="8" t="n"/>
      <c r="J351" s="8" t="n"/>
      <c r="K351" s="9" t="n"/>
      <c r="L351" s="9" t="n"/>
      <c r="M351" s="9" t="n"/>
      <c r="N351" s="9" t="n"/>
      <c r="O351" s="10" t="n"/>
      <c r="P351" s="10" t="n"/>
      <c r="Q351" s="10" t="n"/>
      <c r="R351" s="10" t="n"/>
      <c r="S351" s="10" t="n"/>
    </row>
    <row r="352" ht="109" customHeight="1">
      <c r="A352" s="6">
        <f>IFERROR(__xludf.DUMMYFUNCTION("""COMPUTED_VALUE"""),"Transcription &amp; Translation")</f>
        <v/>
      </c>
      <c r="B352" s="6">
        <f>IFERROR(__xludf.DUMMYFUNCTION("""COMPUTED_VALUE"""),"Application")</f>
        <v/>
      </c>
      <c r="C352" s="6">
        <f>IFERROR(__xludf.DUMMYFUNCTION("""COMPUTED_VALUE"""),"Teacher Feedback")</f>
        <v/>
      </c>
      <c r="D352" s="7">
        <f>IFERROR(__xludf.DUMMYFUNCTION("""COMPUTED_VALUE"""),"No task description")</f>
        <v/>
      </c>
      <c r="E352" s="7">
        <f>IFERROR(__xludf.DUMMYFUNCTION("""COMPUTED_VALUE"""),"Golabz app/lab: ""&lt;p&gt;A tool where teachers can provide feedback to students&lt;/p&gt;\r\n""")</f>
        <v/>
      </c>
      <c r="F352" s="7" t="inlineStr">
        <is>
          <t>No task descriptions are provided. Embedded artifacts include YouTube and two Golabz apps for note-taking and teacher feedback.</t>
        </is>
      </c>
      <c r="G352" s="8" t="n"/>
      <c r="H352" s="8" t="n"/>
      <c r="I352" s="8" t="n"/>
      <c r="J352" s="8" t="n"/>
      <c r="K352" s="9" t="n"/>
      <c r="L352" s="9" t="n"/>
      <c r="M352" s="9" t="n"/>
      <c r="N352" s="9" t="n"/>
      <c r="O352" s="10" t="n"/>
      <c r="P352" s="10" t="n"/>
      <c r="Q352" s="10" t="n"/>
      <c r="R352" s="10" t="n"/>
      <c r="S352" s="10" t="n"/>
    </row>
    <row r="353" ht="133" customHeight="1">
      <c r="A353" s="6">
        <f>IFERROR(__xludf.DUMMYFUNCTION("""COMPUTED_VALUE"""),"Transcription &amp; Translation")</f>
        <v/>
      </c>
      <c r="B353" s="6">
        <f>IFERROR(__xludf.DUMMYFUNCTION("""COMPUTED_VALUE"""),"Resource")</f>
        <v/>
      </c>
      <c r="C353" s="6">
        <f>IFERROR(__xludf.DUMMYFUNCTION("""COMPUTED_VALUE"""),"Discussion 2.graasp")</f>
        <v/>
      </c>
      <c r="D353" s="7">
        <f>IFERROR(__xludf.DUMMYFUNCTION("""COMPUTED_VALUE"""),"&lt;p&gt;Discuss the role of transcription and translation in &lt;strong&gt;&lt;em&gt;two&lt;/em&gt;&lt;/strong&gt; other processes within a living organism.&lt;/p&gt;")</f>
        <v/>
      </c>
      <c r="E353" s="7">
        <f>IFERROR(__xludf.DUMMYFUNCTION("""COMPUTED_VALUE"""),"No artifact embedded")</f>
        <v/>
      </c>
      <c r="F353" s="7" t="inlineStr">
        <is>
          <t>Students received no task descriptions for Items 1 and 2, but an app/lab tool was provided. Item 3 described a discussion task with no embedded artifact.</t>
        </is>
      </c>
      <c r="G353" s="8" t="n"/>
      <c r="H353" s="8" t="n"/>
      <c r="I353" s="8" t="n"/>
      <c r="J353" s="8" t="n"/>
      <c r="K353" s="9" t="n"/>
      <c r="L353" s="9" t="n"/>
      <c r="M353" s="9" t="n"/>
      <c r="N353" s="9" t="n"/>
      <c r="O353" s="10" t="n"/>
      <c r="P353" s="10" t="n"/>
      <c r="Q353" s="10" t="n"/>
      <c r="R353" s="10" t="n"/>
      <c r="S353" s="10" t="n"/>
    </row>
    <row r="354" ht="318" customHeight="1">
      <c r="A354" s="6">
        <f>IFERROR(__xludf.DUMMYFUNCTION("""COMPUTED_VALUE"""),"Transcription &amp; Translation")</f>
        <v/>
      </c>
      <c r="B354" s="6">
        <f>IFERROR(__xludf.DUMMYFUNCTION("""COMPUTED_VALUE"""),"Application")</f>
        <v/>
      </c>
      <c r="C354" s="6">
        <f>IFERROR(__xludf.DUMMYFUNCTION("""COMPUTED_VALUE"""),"Input Box (1)")</f>
        <v/>
      </c>
      <c r="D354" s="7">
        <f>IFERROR(__xludf.DUMMYFUNCTION("""COMPUTED_VALUE"""),"No task description")</f>
        <v/>
      </c>
      <c r="E35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4" s="7" t="inlineStr">
        <is>
          <t>Students received tasks and used Golabz apps, including a feedback tool and note-taking app with optional collaboration mode.</t>
        </is>
      </c>
      <c r="G354" s="8" t="n"/>
      <c r="H354" s="8" t="n"/>
      <c r="I354" s="8" t="n"/>
      <c r="J354" s="8" t="n"/>
      <c r="K354" s="9" t="n"/>
      <c r="L354" s="9" t="n"/>
      <c r="M354" s="9" t="n"/>
      <c r="N354" s="9" t="n"/>
      <c r="O354" s="10" t="n"/>
      <c r="P354" s="10" t="n"/>
      <c r="Q354" s="10" t="n"/>
      <c r="R354" s="10" t="n"/>
      <c r="S354" s="10" t="n"/>
    </row>
    <row r="355" ht="73" customHeight="1">
      <c r="A355" s="6">
        <f>IFERROR(__xludf.DUMMYFUNCTION("""COMPUTED_VALUE"""),"Transcription &amp; Translation")</f>
        <v/>
      </c>
      <c r="B355" s="6">
        <f>IFERROR(__xludf.DUMMYFUNCTION("""COMPUTED_VALUE"""),"Application")</f>
        <v/>
      </c>
      <c r="C355" s="6">
        <f>IFERROR(__xludf.DUMMYFUNCTION("""COMPUTED_VALUE"""),"Teacher Feedback (1)")</f>
        <v/>
      </c>
      <c r="D355" s="7">
        <f>IFERROR(__xludf.DUMMYFUNCTION("""COMPUTED_VALUE"""),"No task description")</f>
        <v/>
      </c>
      <c r="E355" s="7">
        <f>IFERROR(__xludf.DUMMYFUNCTION("""COMPUTED_VALUE"""),"Golabz app/lab: ""&lt;p&gt;A tool where teachers can provide feedback to students&lt;/p&gt;\r\n""")</f>
        <v/>
      </c>
      <c r="F355" s="7" t="inlineStr">
        <is>
          <t>Students discuss transcription/translation roles; artifacts include note-taking and feedback tools.</t>
        </is>
      </c>
      <c r="G355" s="8" t="n"/>
      <c r="H355" s="8" t="n"/>
      <c r="I355" s="8" t="n"/>
      <c r="J355" s="8" t="n"/>
      <c r="K355" s="9" t="n"/>
      <c r="L355" s="9" t="n"/>
      <c r="M355" s="9" t="n"/>
      <c r="N355" s="9" t="n"/>
      <c r="O355" s="10" t="n"/>
      <c r="P355" s="10" t="n"/>
      <c r="Q355" s="10" t="n"/>
      <c r="R355" s="10" t="n"/>
      <c r="S355" s="10" t="n"/>
    </row>
    <row r="356" ht="85" customHeight="1">
      <c r="A356" s="6">
        <f>IFERROR(__xludf.DUMMYFUNCTION("""COMPUTED_VALUE"""),"Managing a Haber Process Plant")</f>
        <v/>
      </c>
      <c r="B356" s="6">
        <f>IFERROR(__xludf.DUMMYFUNCTION("""COMPUTED_VALUE"""),"Space")</f>
        <v/>
      </c>
      <c r="C356" s="6">
        <f>IFERROR(__xludf.DUMMYFUNCTION("""COMPUTED_VALUE"""),"Orientation")</f>
        <v/>
      </c>
      <c r="D356" s="7">
        <f>IFERROR(__xludf.DUMMYFUNCTION("""COMPUTED_VALUE"""),"&lt;p&gt;THE HABER PROCESS - the chemical reaction that feeds the world&lt;/p&gt;")</f>
        <v/>
      </c>
      <c r="E356" s="7">
        <f>IFERROR(__xludf.DUMMYFUNCTION("""COMPUTED_VALUE"""),"No artifact embedded")</f>
        <v/>
      </c>
      <c r="F356" s="7" t="inlineStr">
        <is>
          <t>No task descriptions, but Items 1 and 2 have Golabz app/lab artifacts for note-taking and feedback.</t>
        </is>
      </c>
      <c r="G356" s="8" t="n"/>
      <c r="H356" s="8" t="n"/>
      <c r="I356" s="8" t="n"/>
      <c r="J356" s="8" t="n"/>
      <c r="K356" s="9" t="n"/>
      <c r="L356" s="9" t="n"/>
      <c r="M356" s="9" t="n"/>
      <c r="N356" s="9" t="n"/>
      <c r="O356" s="10" t="n"/>
      <c r="P356" s="10" t="n"/>
      <c r="Q356" s="10" t="n"/>
      <c r="R356" s="10" t="n"/>
      <c r="S356" s="10" t="n"/>
    </row>
    <row r="357" ht="133" customHeight="1">
      <c r="A357" s="6">
        <f>IFERROR(__xludf.DUMMYFUNCTION("""COMPUTED_VALUE"""),"Managing a Haber Process Plant")</f>
        <v/>
      </c>
      <c r="B357" s="6">
        <f>IFERROR(__xludf.DUMMYFUNCTION("""COMPUTED_VALUE"""),"Resource")</f>
        <v/>
      </c>
      <c r="C357" s="6">
        <f>IFERROR(__xludf.DUMMYFUNCTION("""COMPUTED_VALUE"""),"The chemical reaction that feeds the world - Daniel D. Dulek.mp4")</f>
        <v/>
      </c>
      <c r="D357" s="7">
        <f>IFERROR(__xludf.DUMMYFUNCTION("""COMPUTED_VALUE"""),"No task description")</f>
        <v/>
      </c>
      <c r="E357" s="7">
        <f>IFERROR(__xludf.DUMMYFUNCTION("""COMPUTED_VALUE"""),"video/mp4 – A video file containing moving images and possibly audio, suitable for playback on most modern devices and platforms.")</f>
        <v/>
      </c>
      <c r="F357" s="7" t="inlineStr">
        <is>
          <t>Students received tasks with varying descriptions and embedded artifacts, including a feedback tool, a chemical reaction topic, and a video file.</t>
        </is>
      </c>
      <c r="G357" s="8" t="n"/>
      <c r="H357" s="8" t="n"/>
      <c r="I357" s="8" t="n"/>
      <c r="J357" s="8" t="n"/>
      <c r="K357" s="9" t="n"/>
      <c r="L357" s="9" t="n"/>
      <c r="M357" s="9" t="n"/>
      <c r="N357" s="9" t="n"/>
      <c r="O357" s="10" t="n"/>
      <c r="P357" s="10" t="n"/>
      <c r="Q357" s="10" t="n"/>
      <c r="R357" s="10" t="n"/>
      <c r="S357" s="10" t="n"/>
    </row>
    <row r="358" ht="121" customHeight="1">
      <c r="A358" s="6">
        <f>IFERROR(__xludf.DUMMYFUNCTION("""COMPUTED_VALUE"""),"Managing a Haber Process Plant")</f>
        <v/>
      </c>
      <c r="B358" s="6">
        <f>IFERROR(__xludf.DUMMYFUNCTION("""COMPUTED_VALUE"""),"Space")</f>
        <v/>
      </c>
      <c r="C358" s="6">
        <f>IFERROR(__xludf.DUMMYFUNCTION("""COMPUTED_VALUE"""),"Conceptualisation")</f>
        <v/>
      </c>
      <c r="D358" s="7">
        <f>IFERROR(__xludf.DUMMYFUNCTION("""COMPUTED_VALUE"""),"&lt;p&gt;Manage the plant to produce as much ammonia as possible&lt;/p&gt;")</f>
        <v/>
      </c>
      <c r="E358" s="7">
        <f>IFERROR(__xludf.DUMMYFUNCTION("""COMPUTED_VALUE"""),"No artifact embedded")</f>
        <v/>
      </c>
      <c r="F358" s="7" t="inlineStr">
        <is>
          <t>Students were instructed on the Haber process and managing a plant to produce ammonia, with one item including an embedded MP4 video artifact.</t>
        </is>
      </c>
      <c r="G358" s="8" t="n"/>
      <c r="H358" s="8" t="n"/>
      <c r="I358" s="8" t="n"/>
      <c r="J358" s="8" t="n"/>
      <c r="K358" s="9" t="n"/>
      <c r="L358" s="9" t="n"/>
      <c r="M358" s="9" t="n"/>
      <c r="N358" s="9" t="n"/>
      <c r="O358" s="10" t="n"/>
      <c r="P358" s="10" t="n"/>
      <c r="Q358" s="10" t="n"/>
      <c r="R358" s="10" t="n"/>
      <c r="S358" s="10" t="n"/>
    </row>
    <row r="359" ht="409.6" customHeight="1">
      <c r="A359" s="6">
        <f>IFERROR(__xludf.DUMMYFUNCTION("""COMPUTED_VALUE"""),"Managing a Haber Process Plant")</f>
        <v/>
      </c>
      <c r="B359" s="6">
        <f>IFERROR(__xludf.DUMMYFUNCTION("""COMPUTED_VALUE"""),"Resource")</f>
        <v/>
      </c>
      <c r="C359" s="6">
        <f>IFERROR(__xludf.DUMMYFUNCTION("""COMPUTED_VALUE"""),"Managing the plant.graasp")</f>
        <v/>
      </c>
      <c r="D359" s="7">
        <f>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
      </c>
      <c r="E359" s="7">
        <f>IFERROR(__xludf.DUMMYFUNCTION("""COMPUTED_VALUE"""),"No artifact embedded")</f>
        <v/>
      </c>
      <c r="F359" s="7" t="inlineStr">
        <is>
          <t>Students are given tasks to manage a plant producing ammonia with varying levels of guidance and no embedded artifacts.</t>
        </is>
      </c>
      <c r="G359" s="8" t="n"/>
      <c r="H359" s="8" t="n"/>
      <c r="I359" s="8" t="n"/>
      <c r="J359" s="8" t="n"/>
      <c r="K359" s="9" t="n"/>
      <c r="L359" s="9" t="n"/>
      <c r="M359" s="9" t="n"/>
      <c r="N359" s="9" t="n"/>
      <c r="O359" s="10" t="n"/>
      <c r="P359" s="10" t="n"/>
      <c r="Q359" s="10" t="n"/>
      <c r="R359" s="10" t="n"/>
      <c r="S359" s="10" t="n"/>
    </row>
    <row r="360" ht="121" customHeight="1">
      <c r="A360" s="6">
        <f>IFERROR(__xludf.DUMMYFUNCTION("""COMPUTED_VALUE"""),"Managing a Haber Process Plant")</f>
        <v/>
      </c>
      <c r="B360" s="6">
        <f>IFERROR(__xludf.DUMMYFUNCTION("""COMPUTED_VALUE"""),"Space")</f>
        <v/>
      </c>
      <c r="C360" s="6">
        <f>IFERROR(__xludf.DUMMYFUNCTION("""COMPUTED_VALUE"""),"Investigation")</f>
        <v/>
      </c>
      <c r="D360" s="7">
        <f>IFERROR(__xludf.DUMMYFUNCTION("""COMPUTED_VALUE"""),"&lt;p&gt;Write your hypothesis re the effect of pressure on the yield of ammonia&lt;/p&gt;")</f>
        <v/>
      </c>
      <c r="E360" s="7">
        <f>IFERROR(__xludf.DUMMYFUNCTION("""COMPUTED_VALUE"""),"No artifact embedded")</f>
        <v/>
      </c>
      <c r="F360" s="7" t="inlineStr">
        <is>
          <t>Students manage a plant to produce ammonia, adjusting variables and analyzing results, then write a hypothesis about pressure's effect on yield.</t>
        </is>
      </c>
      <c r="G360" s="8" t="n"/>
      <c r="H360" s="8" t="n"/>
      <c r="I360" s="8" t="n"/>
      <c r="J360" s="8" t="n"/>
      <c r="K360" s="9" t="n"/>
      <c r="L360" s="9" t="n"/>
      <c r="M360" s="9" t="n"/>
      <c r="N360" s="9" t="n"/>
      <c r="O360" s="10" t="n"/>
      <c r="P360" s="10" t="n"/>
      <c r="Q360" s="10" t="n"/>
      <c r="R360" s="10" t="n"/>
      <c r="S360" s="10" t="n"/>
    </row>
    <row r="361" ht="409.6" customHeight="1">
      <c r="A361" s="6">
        <f>IFERROR(__xludf.DUMMYFUNCTION("""COMPUTED_VALUE"""),"Managing a Haber Process Plant")</f>
        <v/>
      </c>
      <c r="B361" s="6">
        <f>IFERROR(__xludf.DUMMYFUNCTION("""COMPUTED_VALUE"""),"Application")</f>
        <v/>
      </c>
      <c r="C361" s="6">
        <f>IFERROR(__xludf.DUMMYFUNCTION("""COMPUTED_VALUE"""),"Hypothesis Scratchpad")</f>
        <v/>
      </c>
      <c r="D361" s="7">
        <f>IFERROR(__xludf.DUMMYFUNCTION("""COMPUTED_VALUE"""),"&lt;p&gt;Write your hypothesis re effect of temperature on the yield of ammonia&lt;/p&gt;")</f>
        <v/>
      </c>
      <c r="E361"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1" s="7" t="inlineStr">
        <is>
          <t>Students are instructed to synthesize ammonia and write hypotheses on pressure and temperature effects. Embedded artifacts include a control panel and output monitor for simulation, and a Hypothesis Scratchpad app for formulating hypotheses.</t>
        </is>
      </c>
      <c r="G361" s="8" t="n"/>
      <c r="H361" s="8" t="n"/>
      <c r="I361" s="8" t="n"/>
      <c r="J361" s="8" t="n"/>
      <c r="K361" s="9" t="n"/>
      <c r="L361" s="9" t="n"/>
      <c r="M361" s="9" t="n"/>
      <c r="N361" s="9" t="n"/>
      <c r="O361" s="10" t="n"/>
      <c r="P361" s="10" t="n"/>
      <c r="Q361" s="10" t="n"/>
      <c r="R361" s="10" t="n"/>
      <c r="S361" s="10" t="n"/>
    </row>
    <row r="362" ht="409.6" customHeight="1">
      <c r="A362" s="6">
        <f>IFERROR(__xludf.DUMMYFUNCTION("""COMPUTED_VALUE"""),"Managing a Haber Process Plant")</f>
        <v/>
      </c>
      <c r="B362" s="6">
        <f>IFERROR(__xludf.DUMMYFUNCTION("""COMPUTED_VALUE"""),"Application")</f>
        <v/>
      </c>
      <c r="C362" s="6">
        <f>IFERROR(__xludf.DUMMYFUNCTION("""COMPUTED_VALUE"""),"Hypothesis Scratchpad (1)")</f>
        <v/>
      </c>
      <c r="D362" s="7">
        <f>IFERROR(__xludf.DUMMYFUNCTION("""COMPUTED_VALUE"""),"No task description")</f>
        <v/>
      </c>
      <c r="E36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2" s="7" t="inlineStr">
        <is>
          <t>Students write hypotheses on ammonia yield. Embedded artifact: Hypothesis Scratchpad tool for forming hypotheses.</t>
        </is>
      </c>
      <c r="G362" s="8" t="n"/>
      <c r="H362" s="8" t="n"/>
      <c r="I362" s="8" t="n"/>
      <c r="J362" s="8" t="n"/>
      <c r="K362" s="9" t="n"/>
      <c r="L362" s="9" t="n"/>
      <c r="M362" s="9" t="n"/>
      <c r="N362" s="9" t="n"/>
      <c r="O362" s="10" t="n"/>
      <c r="P362" s="10" t="n"/>
      <c r="Q362" s="10" t="n"/>
      <c r="R362" s="10" t="n"/>
      <c r="S362" s="10" t="n"/>
    </row>
    <row r="363" ht="409.6" customHeight="1">
      <c r="A363" s="6">
        <f>IFERROR(__xludf.DUMMYFUNCTION("""COMPUTED_VALUE"""),"Managing a Haber Process Plant")</f>
        <v/>
      </c>
      <c r="B363" s="6">
        <f>IFERROR(__xludf.DUMMYFUNCTION("""COMPUTED_VALUE"""),"Resource")</f>
        <v/>
      </c>
      <c r="C363" s="6">
        <f>IFERROR(__xludf.DUMMYFUNCTION("""COMPUTED_VALUE"""),"Follow the following instructions to investigate the effect of varying pressure on the yield of ammonia and.graasp")</f>
        <v/>
      </c>
      <c r="D363" s="7">
        <f>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
      </c>
      <c r="E363" s="7">
        <f>IFERROR(__xludf.DUMMYFUNCTION("""COMPUTED_VALUE"""),"No artifact embedded")</f>
        <v/>
      </c>
      <c r="F363" s="7" t="inlineStr">
        <is>
          <t>Students write hypotheses and experiment with variables affecting ammonia yield using the Hypothesis Scratchpad app.</t>
        </is>
      </c>
      <c r="G363" s="8" t="n"/>
      <c r="H363" s="8" t="n"/>
      <c r="I363" s="8" t="n"/>
      <c r="J363" s="8" t="n"/>
      <c r="K363" s="9" t="n"/>
      <c r="L363" s="9" t="n"/>
      <c r="M363" s="9" t="n"/>
      <c r="N363" s="9" t="n"/>
      <c r="O363" s="10" t="n"/>
      <c r="P363" s="10" t="n"/>
      <c r="Q363" s="10" t="n"/>
      <c r="R363" s="10" t="n"/>
      <c r="S363" s="10" t="n"/>
    </row>
    <row r="364" ht="145" customHeight="1">
      <c r="A364" s="6">
        <f>IFERROR(__xludf.DUMMYFUNCTION("""COMPUTED_VALUE"""),"Managing a Haber Process Plant")</f>
        <v/>
      </c>
      <c r="B364" s="6">
        <f>IFERROR(__xludf.DUMMYFUNCTION("""COMPUTED_VALUE"""),"Resource")</f>
        <v/>
      </c>
      <c r="C364" s="6">
        <f>IFERROR(__xludf.DUMMYFUNCTION("""COMPUTED_VALUE"""),"Haber: Control Panel")</f>
        <v/>
      </c>
      <c r="D364" s="7">
        <f>IFERROR(__xludf.DUMMYFUNCTION("""COMPUTED_VALUE"""),"No task description")</f>
        <v/>
      </c>
      <c r="E364" s="7">
        <f>IFERROR(__xludf.DUMMYFUNCTION("""COMPUTED_VALUE"""),"Artifact from learner.org: Annenberg Learner provides educational resources, such as information on the Haber process in chemistry.")</f>
        <v/>
      </c>
      <c r="F364" s="7" t="inlineStr">
        <is>
          <t>Students receive tasks and use interactive tools, such as the Hypothesis Scratchpad and Control Panel, with embedded artifacts like Golabz app/lab and Annenberg Learner.</t>
        </is>
      </c>
      <c r="G364" s="8" t="n"/>
      <c r="H364" s="8" t="n"/>
      <c r="I364" s="8" t="n"/>
      <c r="J364" s="8" t="n"/>
      <c r="K364" s="9" t="n"/>
      <c r="L364" s="9" t="n"/>
      <c r="M364" s="9" t="n"/>
      <c r="N364" s="9" t="n"/>
      <c r="O364" s="10" t="n"/>
      <c r="P364" s="10" t="n"/>
      <c r="Q364" s="10" t="n"/>
      <c r="R364" s="10" t="n"/>
      <c r="S364" s="10" t="n"/>
    </row>
    <row r="365" ht="409.6" customHeight="1">
      <c r="A365" s="6">
        <f>IFERROR(__xludf.DUMMYFUNCTION("""COMPUTED_VALUE"""),"Managing a Haber Process Plant")</f>
        <v/>
      </c>
      <c r="B365" s="6">
        <f>IFERROR(__xludf.DUMMYFUNCTION("""COMPUTED_VALUE"""),"Application")</f>
        <v/>
      </c>
      <c r="C365" s="6">
        <f>IFERROR(__xludf.DUMMYFUNCTION("""COMPUTED_VALUE"""),"Table tool")</f>
        <v/>
      </c>
      <c r="D365" s="7">
        <f>IFERROR(__xludf.DUMMYFUNCTION("""COMPUTED_VALUE"""),"&lt;p&gt;Enter your observations re effect of pressure on the %yield of ammonia and time for system to equilibrate at 200, 400 and 600 deg Celsius in the Table below&lt;/p&gt;")</f>
        <v/>
      </c>
      <c r="E36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365" s="7" t="inlineStr">
        <is>
          <t>Students experiment with pressure's effect on ammonia yield and equilibrium time at different temperatures (200˚C, 400˚C, 600˚C) using a Control Panel. Embedded artifacts include a table tool and educational resources from Annenberg Learner.</t>
        </is>
      </c>
      <c r="G365" s="8" t="n"/>
      <c r="H365" s="8" t="n"/>
      <c r="I365" s="8" t="n"/>
      <c r="J365" s="8" t="n"/>
      <c r="K365" s="9" t="n"/>
      <c r="L365" s="9" t="n"/>
      <c r="M365" s="9" t="n"/>
      <c r="N365" s="9" t="n"/>
      <c r="O365" s="10" t="n"/>
      <c r="P365" s="10" t="n"/>
      <c r="Q365" s="10" t="n"/>
      <c r="R365" s="10" t="n"/>
      <c r="S365" s="10" t="n"/>
    </row>
    <row r="366" ht="133" customHeight="1">
      <c r="A366" s="6">
        <f>IFERROR(__xludf.DUMMYFUNCTION("""COMPUTED_VALUE"""),"Managing a Haber Process Plant")</f>
        <v/>
      </c>
      <c r="B366" s="6">
        <f>IFERROR(__xludf.DUMMYFUNCTION("""COMPUTED_VALUE"""),"Space")</f>
        <v/>
      </c>
      <c r="C366" s="6">
        <f>IFERROR(__xludf.DUMMYFUNCTION("""COMPUTED_VALUE"""),"Conclusion")</f>
        <v/>
      </c>
      <c r="D366" s="7">
        <f>IFERROR(__xludf.DUMMYFUNCTION("""COMPUTED_VALUE"""),"&lt;p&gt;Once you have carried out the investigation, you need to analyse your results&lt;/p&gt;")</f>
        <v/>
      </c>
      <c r="E366" s="7">
        <f>IFERROR(__xludf.DUMMYFUNCTION("""COMPUTED_VALUE"""),"No artifact embedded")</f>
        <v/>
      </c>
      <c r="F366" s="7" t="inlineStr">
        <is>
          <t>Students receive task descriptions and access to embedded artifacts, including educational resources and interactive tools like tables and data entry tools.</t>
        </is>
      </c>
      <c r="G366" s="8" t="n"/>
      <c r="H366" s="8" t="n"/>
      <c r="I366" s="8" t="n"/>
      <c r="J366" s="8" t="n"/>
      <c r="K366" s="9" t="n"/>
      <c r="L366" s="9" t="n"/>
      <c r="M366" s="9" t="n"/>
      <c r="N366" s="9" t="n"/>
      <c r="O366" s="10" t="n"/>
      <c r="P366" s="10" t="n"/>
      <c r="Q366" s="10" t="n"/>
      <c r="R366" s="10" t="n"/>
      <c r="S366" s="10" t="n"/>
    </row>
    <row r="367" ht="157" customHeight="1">
      <c r="A367" s="6">
        <f>IFERROR(__xludf.DUMMYFUNCTION("""COMPUTED_VALUE"""),"Managing a Haber Process Plant")</f>
        <v/>
      </c>
      <c r="B367" s="6">
        <f>IFERROR(__xludf.DUMMYFUNCTION("""COMPUTED_VALUE"""),"Application")</f>
        <v/>
      </c>
      <c r="C367" s="6">
        <f>IFERROR(__xludf.DUMMYFUNCTION("""COMPUTED_VALUE"""),"File Drop")</f>
        <v/>
      </c>
      <c r="D367" s="7">
        <f>IFERROR(__xludf.DUMMYFUNCTION("""COMPUTED_VALUE"""),"&lt;p&gt;Analyse your results by plotting a graph of % yield against pressure for the different temperatures investigated. You may either plot your graph freehand or use any computer software of your choice&lt;/p&gt;")</f>
        <v/>
      </c>
      <c r="E367" s="7">
        <f>IFERROR(__xludf.DUMMYFUNCTION("""COMPUTED_VALUE"""),"Golabz app/lab: ""&lt;p&gt;This app allows students to upload files, e.g., assignment and reports, to the Inquiry learning Space. The app also allows teachers to download the uploaded files.&lt;/p&gt;\r\n""")</f>
        <v/>
      </c>
      <c r="F367" s="7" t="inlineStr">
        <is>
          <t>Students enter data, analyze results, and plot graphs using Golabz apps, including table and file upload tools.</t>
        </is>
      </c>
      <c r="G367" s="8" t="n"/>
      <c r="H367" s="8" t="n"/>
      <c r="I367" s="8" t="n"/>
      <c r="J367" s="8" t="n"/>
      <c r="K367" s="9" t="n"/>
      <c r="L367" s="9" t="n"/>
      <c r="M367" s="9" t="n"/>
      <c r="N367" s="9" t="n"/>
      <c r="O367" s="10" t="n"/>
      <c r="P367" s="10" t="n"/>
      <c r="Q367" s="10" t="n"/>
      <c r="R367" s="10" t="n"/>
      <c r="S367" s="10" t="n"/>
    </row>
    <row r="368" ht="318" customHeight="1">
      <c r="A368" s="6">
        <f>IFERROR(__xludf.DUMMYFUNCTION("""COMPUTED_VALUE"""),"Managing a Haber Process Plant")</f>
        <v/>
      </c>
      <c r="B368" s="6">
        <f>IFERROR(__xludf.DUMMYFUNCTION("""COMPUTED_VALUE"""),"Application")</f>
        <v/>
      </c>
      <c r="C368" s="6">
        <f>IFERROR(__xludf.DUMMYFUNCTION("""COMPUTED_VALUE"""),"Input Box")</f>
        <v/>
      </c>
      <c r="D368" s="7">
        <f>IFERROR(__xludf.DUMMYFUNCTION("""COMPUTED_VALUE"""),"&lt;p&gt;Consult your graph and state which conditions of temperature and pressure give the highest yield of ammonia.&lt;/p&gt;")</f>
        <v/>
      </c>
      <c r="E36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8" s="7" t="inlineStr">
        <is>
          <t>Students analyze results, plot graphs, and identify optimal conditions using tools like Golabz app/lab and Input Box for note-taking and file-sharing.</t>
        </is>
      </c>
      <c r="G368" s="8" t="n"/>
      <c r="H368" s="8" t="n"/>
      <c r="I368" s="8" t="n"/>
      <c r="J368" s="8" t="n"/>
      <c r="K368" s="9" t="n"/>
      <c r="L368" s="9" t="n"/>
      <c r="M368" s="9" t="n"/>
      <c r="N368" s="9" t="n"/>
      <c r="O368" s="10" t="n"/>
      <c r="P368" s="10" t="n"/>
      <c r="Q368" s="10" t="n"/>
      <c r="R368" s="10" t="n"/>
      <c r="S368" s="10" t="n"/>
    </row>
    <row r="369" ht="340" customHeight="1">
      <c r="A369" s="6">
        <f>IFERROR(__xludf.DUMMYFUNCTION("""COMPUTED_VALUE"""),"Managing a Haber Process Plant")</f>
        <v/>
      </c>
      <c r="B369" s="6">
        <f>IFERROR(__xludf.DUMMYFUNCTION("""COMPUTED_VALUE"""),"Application")</f>
        <v/>
      </c>
      <c r="C369" s="6">
        <f>IFERROR(__xludf.DUMMYFUNCTION("""COMPUTED_VALUE"""),"Input Box (1)")</f>
        <v/>
      </c>
      <c r="D369" s="7">
        <f>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
      </c>
      <c r="E36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9" s="7" t="inlineStr">
        <is>
          <t>Students analyze results, plot graphs, and identify optimal conditions for ammonia yield using Golabz apps for note-taking and file uploads.</t>
        </is>
      </c>
      <c r="G369" s="8" t="n"/>
      <c r="H369" s="8" t="n"/>
      <c r="I369" s="8" t="n"/>
      <c r="J369" s="8" t="n"/>
      <c r="K369" s="9" t="n"/>
      <c r="L369" s="9" t="n"/>
      <c r="M369" s="9" t="n"/>
      <c r="N369" s="9" t="n"/>
      <c r="O369" s="10" t="n"/>
      <c r="P369" s="10" t="n"/>
      <c r="Q369" s="10" t="n"/>
      <c r="R369" s="10" t="n"/>
      <c r="S369" s="10" t="n"/>
    </row>
    <row r="370" ht="109" customHeight="1">
      <c r="A370" s="6">
        <f>IFERROR(__xludf.DUMMYFUNCTION("""COMPUTED_VALUE"""),"Managing a Haber Process Plant")</f>
        <v/>
      </c>
      <c r="B370" s="6">
        <f>IFERROR(__xludf.DUMMYFUNCTION("""COMPUTED_VALUE"""),"Application")</f>
        <v/>
      </c>
      <c r="C370" s="6">
        <f>IFERROR(__xludf.DUMMYFUNCTION("""COMPUTED_VALUE"""),"Teacher Feedback")</f>
        <v/>
      </c>
      <c r="D370" s="7">
        <f>IFERROR(__xludf.DUMMYFUNCTION("""COMPUTED_VALUE"""),"No task description")</f>
        <v/>
      </c>
      <c r="E370" s="7">
        <f>IFERROR(__xludf.DUMMYFUNCTION("""COMPUTED_VALUE"""),"Golabz app/lab: ""&lt;p&gt;A tool where teachers can provide feedback to students&lt;/p&gt;\r\n""")</f>
        <v/>
      </c>
      <c r="F370" s="7" t="inlineStr">
        <is>
          <t>Students analyze temperature and pressure conditions for highest ammonia yield, using an input box app for notes and collaboration.</t>
        </is>
      </c>
      <c r="G370" s="8" t="n"/>
      <c r="H370" s="8" t="n"/>
      <c r="I370" s="8" t="n"/>
      <c r="J370" s="8" t="n"/>
      <c r="K370" s="9" t="n"/>
      <c r="L370" s="9" t="n"/>
      <c r="M370" s="9" t="n"/>
      <c r="N370" s="9" t="n"/>
      <c r="O370" s="10" t="n"/>
      <c r="P370" s="10" t="n"/>
      <c r="Q370" s="10" t="n"/>
      <c r="R370" s="10" t="n"/>
      <c r="S370" s="10" t="n"/>
    </row>
    <row r="371" ht="73" customHeight="1">
      <c r="A371" s="6">
        <f>IFERROR(__xludf.DUMMYFUNCTION("""COMPUTED_VALUE"""),"function of human eye")</f>
        <v/>
      </c>
      <c r="B371" s="6">
        <f>IFERROR(__xludf.DUMMYFUNCTION("""COMPUTED_VALUE"""),"Space")</f>
        <v/>
      </c>
      <c r="C371" s="6">
        <f>IFERROR(__xludf.DUMMYFUNCTION("""COMPUTED_VALUE"""),"engage")</f>
        <v/>
      </c>
      <c r="D371" s="7">
        <f>IFERROR(__xludf.DUMMYFUNCTION("""COMPUTED_VALUE"""),"No task description")</f>
        <v/>
      </c>
      <c r="E371" s="7">
        <f>IFERROR(__xludf.DUMMYFUNCTION("""COMPUTED_VALUE"""),"No artifact embedded")</f>
        <v/>
      </c>
      <c r="F371" s="7" t="inlineStr">
        <is>
          <t>Students analyze plant conditions and yields, using an input box app to take notes, with teacher overview.</t>
        </is>
      </c>
      <c r="G371" s="8" t="n"/>
      <c r="H371" s="8" t="n"/>
      <c r="I371" s="8" t="n"/>
      <c r="J371" s="8" t="n"/>
      <c r="K371" s="9" t="n"/>
      <c r="L371" s="9" t="n"/>
      <c r="M371" s="9" t="n"/>
      <c r="N371" s="9" t="n"/>
      <c r="O371" s="10" t="n"/>
      <c r="P371" s="10" t="n"/>
      <c r="Q371" s="10" t="n"/>
      <c r="R371" s="10" t="n"/>
      <c r="S371" s="10" t="n"/>
    </row>
    <row r="372" ht="217" customHeight="1">
      <c r="A372" s="6">
        <f>IFERROR(__xludf.DUMMYFUNCTION("""COMPUTED_VALUE"""),"function of human eye")</f>
        <v/>
      </c>
      <c r="B372" s="6">
        <f>IFERROR(__xludf.DUMMYFUNCTION("""COMPUTED_VALUE"""),"Resource")</f>
        <v/>
      </c>
      <c r="C372" s="6">
        <f>IFERROR(__xludf.DUMMYFUNCTION("""COMPUTED_VALUE"""),"human eye.PNG")</f>
        <v/>
      </c>
      <c r="D372" s="7">
        <f>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
      </c>
      <c r="E372" s="7">
        <f>IFERROR(__xludf.DUMMYFUNCTION("""COMPUTED_VALUE"""),"image/png – A high-quality image with support for transparency, often used in design and web applications.")</f>
        <v/>
      </c>
      <c r="F372" s="7" t="inlineStr">
        <is>
          <t>Students received no task descriptions for Items 1 and 2. Item 3 described the mammalian eye, with an embedded PNG image artifact.</t>
        </is>
      </c>
      <c r="G372" s="8" t="n"/>
      <c r="H372" s="8" t="n"/>
      <c r="I372" s="8" t="n"/>
      <c r="J372" s="8" t="n"/>
      <c r="K372" s="9" t="n"/>
      <c r="L372" s="9" t="n"/>
      <c r="M372" s="9" t="n"/>
      <c r="N372" s="9" t="n"/>
      <c r="O372" s="10" t="n"/>
      <c r="P372" s="10" t="n"/>
      <c r="Q372" s="10" t="n"/>
      <c r="R372" s="10" t="n"/>
      <c r="S372" s="10" t="n"/>
    </row>
    <row r="373" ht="252" customHeight="1">
      <c r="A373" s="6">
        <f>IFERROR(__xludf.DUMMYFUNCTION("""COMPUTED_VALUE"""),"function of human eye")</f>
        <v/>
      </c>
      <c r="B373" s="6">
        <f>IFERROR(__xludf.DUMMYFUNCTION("""COMPUTED_VALUE"""),"Application")</f>
        <v/>
      </c>
      <c r="C373" s="6">
        <f>IFERROR(__xludf.DUMMYFUNCTION("""COMPUTED_VALUE"""),"Quest")</f>
        <v/>
      </c>
      <c r="D373" s="7">
        <f>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
      </c>
      <c r="E373"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373" s="7" t="inlineStr">
        <is>
          <t>Students are instructed to describe eye parts and their functions, with embedded artifacts including an image of the eye and a questionnaire app.</t>
        </is>
      </c>
      <c r="G373" s="8" t="n"/>
      <c r="H373" s="8" t="n"/>
      <c r="I373" s="8" t="n"/>
      <c r="J373" s="8" t="n"/>
      <c r="K373" s="9" t="n"/>
      <c r="L373" s="9" t="n"/>
      <c r="M373" s="9" t="n"/>
      <c r="N373" s="9" t="n"/>
      <c r="O373" s="10" t="n"/>
      <c r="P373" s="10" t="n"/>
      <c r="Q373" s="10" t="n"/>
      <c r="R373" s="10" t="n"/>
      <c r="S373" s="10" t="n"/>
    </row>
    <row r="374" ht="318" customHeight="1">
      <c r="A374" s="6">
        <f>IFERROR(__xludf.DUMMYFUNCTION("""COMPUTED_VALUE"""),"function of human eye")</f>
        <v/>
      </c>
      <c r="B374" s="6">
        <f>IFERROR(__xludf.DUMMYFUNCTION("""COMPUTED_VALUE"""),"Application")</f>
        <v/>
      </c>
      <c r="C374" s="6">
        <f>IFERROR(__xludf.DUMMYFUNCTION("""COMPUTED_VALUE"""),"Input Box")</f>
        <v/>
      </c>
      <c r="D374" s="7">
        <f>IFERROR(__xludf.DUMMYFUNCTION("""COMPUTED_VALUE"""),"No task description")</f>
        <v/>
      </c>
      <c r="E37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74" s="7" t="inlineStr">
        <is>
          <t>Students observe and compare eye parts, describing their functions and differences. Embedded artifacts include images and interactive apps for note-taking and surveys.</t>
        </is>
      </c>
      <c r="G374" s="8" t="n"/>
      <c r="H374" s="8" t="n"/>
      <c r="I374" s="8" t="n"/>
      <c r="J374" s="8" t="n"/>
      <c r="K374" s="9" t="n"/>
      <c r="L374" s="9" t="n"/>
      <c r="M374" s="9" t="n"/>
      <c r="N374" s="9" t="n"/>
      <c r="O374" s="10" t="n"/>
      <c r="P374" s="10" t="n"/>
      <c r="Q374" s="10" t="n"/>
      <c r="R374" s="10" t="n"/>
      <c r="S374" s="10" t="n"/>
    </row>
    <row r="375" ht="274" customHeight="1">
      <c r="A375" s="6">
        <f>IFERROR(__xludf.DUMMYFUNCTION("""COMPUTED_VALUE"""),"function of human eye")</f>
        <v/>
      </c>
      <c r="B375" s="6">
        <f>IFERROR(__xludf.DUMMYFUNCTION("""COMPUTED_VALUE"""),"Space")</f>
        <v/>
      </c>
      <c r="C375" s="6">
        <f>IFERROR(__xludf.DUMMYFUNCTION("""COMPUTED_VALUE"""),"explore")</f>
        <v/>
      </c>
      <c r="D375" s="7">
        <f>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
      </c>
      <c r="E375" s="7">
        <f>IFERROR(__xludf.DUMMYFUNCTION("""COMPUTED_VALUE"""),"No artifact embedded")</f>
        <v/>
      </c>
      <c r="F375" s="7" t="inlineStr">
        <is>
          <t>Students observe and compare eye photos, identifying and describing parts and their functions, using Golabz app/lab for questionnaires and note-taking.</t>
        </is>
      </c>
      <c r="G375" s="8" t="n"/>
      <c r="H375" s="8" t="n"/>
      <c r="I375" s="8" t="n"/>
      <c r="J375" s="8" t="n"/>
      <c r="K375" s="9" t="n"/>
      <c r="L375" s="9" t="n"/>
      <c r="M375" s="9" t="n"/>
      <c r="N375" s="9" t="n"/>
      <c r="O375" s="10" t="n"/>
      <c r="P375" s="10" t="n"/>
      <c r="Q375" s="10" t="n"/>
      <c r="R375" s="10" t="n"/>
      <c r="S375" s="10" t="n"/>
    </row>
    <row r="376" ht="409.6" customHeight="1">
      <c r="A376" s="6">
        <f>IFERROR(__xludf.DUMMYFUNCTION("""COMPUTED_VALUE"""),"function of human eye")</f>
        <v/>
      </c>
      <c r="B376" s="6">
        <f>IFERROR(__xludf.DUMMYFUNCTION("""COMPUTED_VALUE"""),"Resource")</f>
        <v/>
      </c>
      <c r="C376" s="6">
        <f>IFERROR(__xludf.DUMMYFUNCTION("""COMPUTED_VALUE"""),"lab instructions.graasp")</f>
        <v/>
      </c>
      <c r="D376" s="7">
        <f>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
      </c>
      <c r="E376" s="7">
        <f>IFERROR(__xludf.DUMMYFUNCTION("""COMPUTED_VALUE"""),"No artifact embedded")</f>
        <v/>
      </c>
      <c r="F376" s="7" t="inlineStr">
        <is>
          <t>Students received task descriptions with some having embedded artifacts, such as Golabz app/lab for note-taking.</t>
        </is>
      </c>
      <c r="G376" s="8" t="n"/>
      <c r="H376" s="8" t="n"/>
      <c r="I376" s="8" t="n"/>
      <c r="J376" s="8" t="n"/>
      <c r="K376" s="9" t="n"/>
      <c r="L376" s="9" t="n"/>
      <c r="M376" s="9" t="n"/>
      <c r="N376" s="9" t="n"/>
      <c r="O376" s="10" t="n"/>
      <c r="P376" s="10" t="n"/>
      <c r="Q376" s="10" t="n"/>
      <c r="R376" s="10" t="n"/>
      <c r="S376" s="10" t="n"/>
    </row>
    <row r="377" ht="193" customHeight="1">
      <c r="A377" s="6">
        <f>IFERROR(__xludf.DUMMYFUNCTION("""COMPUTED_VALUE"""),"function of human eye")</f>
        <v/>
      </c>
      <c r="B377" s="6">
        <f>IFERROR(__xludf.DUMMYFUNCTION("""COMPUTED_VALUE"""),"Resource")</f>
        <v/>
      </c>
      <c r="C377" s="6">
        <f>IFERROR(__xludf.DUMMYFUNCTION("""COMPUTED_VALUE"""),"KScience - Animations")</f>
        <v/>
      </c>
      <c r="D377" s="7">
        <f>IFERROR(__xludf.DUMMYFUNCTION("""COMPUTED_VALUE"""),"No task description")</f>
        <v/>
      </c>
      <c r="E377" s="7">
        <f>IFERROR(__xludf.DUMMYFUNCTION("""COMPUTED_VALUE"""),"Artifact from kscience.co.uk: A UK-based educational site offering animations and interactive content related to science topics, such as eye function.")</f>
        <v/>
      </c>
      <c r="F377" s="7" t="inlineStr">
        <is>
          <t>Students observe mammalian eye parts and functions through labs and animations, recording observations on lens curvature, cornea, and pupil responses to light. Embedded artifacts include an animation and a link to kscience.co.uk.</t>
        </is>
      </c>
      <c r="G377" s="8" t="n"/>
      <c r="H377" s="8" t="n"/>
      <c r="I377" s="8" t="n"/>
      <c r="J377" s="8" t="n"/>
      <c r="K377" s="9" t="n"/>
      <c r="L377" s="9" t="n"/>
      <c r="M377" s="9" t="n"/>
      <c r="N377" s="9" t="n"/>
      <c r="O377" s="10" t="n"/>
      <c r="P377" s="10" t="n"/>
      <c r="Q377" s="10" t="n"/>
      <c r="R377" s="10" t="n"/>
      <c r="S377" s="10" t="n"/>
    </row>
    <row r="378" ht="384" customHeight="1">
      <c r="A378" s="6">
        <f>IFERROR(__xludf.DUMMYFUNCTION("""COMPUTED_VALUE"""),"function of human eye")</f>
        <v/>
      </c>
      <c r="B378" s="6">
        <f>IFERROR(__xludf.DUMMYFUNCTION("""COMPUTED_VALUE"""),"Application")</f>
        <v/>
      </c>
      <c r="C378" s="6">
        <f>IFERROR(__xludf.DUMMYFUNCTION("""COMPUTED_VALUE"""),"Observation Tool")</f>
        <v/>
      </c>
      <c r="D378" s="7">
        <f>IFERROR(__xludf.DUMMYFUNCTION("""COMPUTED_VALUE"""),"&lt;p&gt;Record your observation &lt;/p&gt;")</f>
        <v/>
      </c>
      <c r="E37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78" s="7" t="inlineStr">
        <is>
          <t>Students study an animation of a mammalian eye, recording observations on lens curvature, cornea, and pupil response to light using a provided observation tool. Embedded artifacts include an educational animation and a lab app for recording observations.</t>
        </is>
      </c>
      <c r="G378" s="8" t="n"/>
      <c r="H378" s="8" t="n"/>
      <c r="I378" s="8" t="n"/>
      <c r="J378" s="8" t="n"/>
      <c r="K378" s="9" t="n"/>
      <c r="L378" s="9" t="n"/>
      <c r="M378" s="9" t="n"/>
      <c r="N378" s="9" t="n"/>
      <c r="O378" s="10" t="n"/>
      <c r="P378" s="10" t="n"/>
      <c r="Q378" s="10" t="n"/>
      <c r="R378" s="10" t="n"/>
      <c r="S378" s="10" t="n"/>
    </row>
    <row r="379" ht="133" customHeight="1">
      <c r="A379" s="6">
        <f>IFERROR(__xludf.DUMMYFUNCTION("""COMPUTED_VALUE"""),"function of human eye")</f>
        <v/>
      </c>
      <c r="B379" s="6">
        <f>IFERROR(__xludf.DUMMYFUNCTION("""COMPUTED_VALUE"""),"Space")</f>
        <v/>
      </c>
      <c r="C379" s="6">
        <f>IFERROR(__xludf.DUMMYFUNCTION("""COMPUTED_VALUE"""),"explain")</f>
        <v/>
      </c>
      <c r="D379" s="7">
        <f>IFERROR(__xludf.DUMMYFUNCTION("""COMPUTED_VALUE"""),"No task description")</f>
        <v/>
      </c>
      <c r="E379" s="7">
        <f>IFERROR(__xludf.DUMMYFUNCTION("""COMPUTED_VALUE"""),"No artifact embedded")</f>
        <v/>
      </c>
      <c r="F379" s="7" t="inlineStr">
        <is>
          <t>Students were given tasks with some having no descriptions. Embedded artifacts included a science animation and an observation tool from Golabz app/lab.</t>
        </is>
      </c>
      <c r="G379" s="8" t="n"/>
      <c r="H379" s="8" t="n"/>
      <c r="I379" s="8" t="n"/>
      <c r="J379" s="8" t="n"/>
      <c r="K379" s="9" t="n"/>
      <c r="L379" s="9" t="n"/>
      <c r="M379" s="9" t="n"/>
      <c r="N379" s="9" t="n"/>
      <c r="O379" s="10" t="n"/>
      <c r="P379" s="10" t="n"/>
      <c r="Q379" s="10" t="n"/>
      <c r="R379" s="10" t="n"/>
      <c r="S379" s="10" t="n"/>
    </row>
    <row r="380" ht="229" customHeight="1">
      <c r="A380" s="6">
        <f>IFERROR(__xludf.DUMMYFUNCTION("""COMPUTED_VALUE"""),"function of human eye")</f>
        <v/>
      </c>
      <c r="B380" s="6">
        <f>IFERROR(__xludf.DUMMYFUNCTION("""COMPUTED_VALUE"""),"Resource")</f>
        <v/>
      </c>
      <c r="C380" s="6">
        <f>IFERROR(__xludf.DUMMYFUNCTION("""COMPUTED_VALUE"""),"function of human eye.graasp")</f>
        <v/>
      </c>
      <c r="D380" s="7">
        <f>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
      </c>
      <c r="E380" s="7">
        <f>IFERROR(__xludf.DUMMYFUNCTION("""COMPUTED_VALUE"""),"No artifact embedded")</f>
        <v/>
      </c>
      <c r="F380" s="7" t="inlineStr">
        <is>
          <t>Students record observations using Golabz app, analyzing experiments. Item 3 requires written explanations of observations on light rays and pupil reactions.</t>
        </is>
      </c>
      <c r="G380" s="8" t="n"/>
      <c r="H380" s="8" t="n"/>
      <c r="I380" s="8" t="n"/>
      <c r="J380" s="8" t="n"/>
      <c r="K380" s="9" t="n"/>
      <c r="L380" s="9" t="n"/>
      <c r="M380" s="9" t="n"/>
      <c r="N380" s="9" t="n"/>
      <c r="O380" s="10" t="n"/>
      <c r="P380" s="10" t="n"/>
      <c r="Q380" s="10" t="n"/>
      <c r="R380" s="10" t="n"/>
      <c r="S380" s="10" t="n"/>
    </row>
    <row r="381" ht="318" customHeight="1">
      <c r="A381" s="6">
        <f>IFERROR(__xludf.DUMMYFUNCTION("""COMPUTED_VALUE"""),"function of human eye")</f>
        <v/>
      </c>
      <c r="B381" s="6">
        <f>IFERROR(__xludf.DUMMYFUNCTION("""COMPUTED_VALUE"""),"Application")</f>
        <v/>
      </c>
      <c r="C381" s="6">
        <f>IFERROR(__xludf.DUMMYFUNCTION("""COMPUTED_VALUE"""),"Input Box")</f>
        <v/>
      </c>
      <c r="D381" s="7">
        <f>IFERROR(__xludf.DUMMYFUNCTION("""COMPUTED_VALUE"""),"No task description")</f>
        <v/>
      </c>
      <c r="E3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81" s="7" t="inlineStr">
        <is>
          <t>Students were given tasks with no descriptions for Items 1 and 3. Item 2 had questions about light refraction and pupil response. An embedded Golabz app allowed note-taking and collaboration in Item 3.</t>
        </is>
      </c>
      <c r="G381" s="8" t="n"/>
      <c r="H381" s="8" t="n"/>
      <c r="I381" s="8" t="n"/>
      <c r="J381" s="8" t="n"/>
      <c r="K381" s="9" t="n"/>
      <c r="L381" s="9" t="n"/>
      <c r="M381" s="9" t="n"/>
      <c r="N381" s="9" t="n"/>
      <c r="O381" s="10" t="n"/>
      <c r="P381" s="10" t="n"/>
      <c r="Q381" s="10" t="n"/>
      <c r="R381" s="10" t="n"/>
      <c r="S381" s="10" t="n"/>
    </row>
    <row r="382" ht="157" customHeight="1">
      <c r="A382" s="6">
        <f>IFERROR(__xludf.DUMMYFUNCTION("""COMPUTED_VALUE"""),"function of human eye")</f>
        <v/>
      </c>
      <c r="B382" s="6">
        <f>IFERROR(__xludf.DUMMYFUNCTION("""COMPUTED_VALUE"""),"Space")</f>
        <v/>
      </c>
      <c r="C382" s="6">
        <f>IFERROR(__xludf.DUMMYFUNCTION("""COMPUTED_VALUE"""),"elaborate")</f>
        <v/>
      </c>
      <c r="D382" s="7">
        <f>IFERROR(__xludf.DUMMYFUNCTION("""COMPUTED_VALUE"""),"No task description")</f>
        <v/>
      </c>
      <c r="E382" s="7">
        <f>IFERROR(__xludf.DUMMYFUNCTION("""COMPUTED_VALUE"""),"No artifact embedded")</f>
        <v/>
      </c>
      <c r="F382" s="7" t="inlineStr">
        <is>
          <t>Students observe and explain light ray behavior through the cornea, accommodation of objects, and pupil response to light. Embedded artifacts include a note-taking app for collaboration and feedback.</t>
        </is>
      </c>
      <c r="G382" s="8" t="n"/>
      <c r="H382" s="8" t="n"/>
      <c r="I382" s="8" t="n"/>
      <c r="J382" s="8" t="n"/>
      <c r="K382" s="9" t="n"/>
      <c r="L382" s="9" t="n"/>
      <c r="M382" s="9" t="n"/>
      <c r="N382" s="9" t="n"/>
      <c r="O382" s="10" t="n"/>
      <c r="P382" s="10" t="n"/>
      <c r="Q382" s="10" t="n"/>
      <c r="R382" s="10" t="n"/>
      <c r="S382" s="10" t="n"/>
    </row>
    <row r="383" ht="229" customHeight="1">
      <c r="A383" s="6">
        <f>IFERROR(__xludf.DUMMYFUNCTION("""COMPUTED_VALUE"""),"function of human eye")</f>
        <v/>
      </c>
      <c r="B383" s="6">
        <f>IFERROR(__xludf.DUMMYFUNCTION("""COMPUTED_VALUE"""),"Resource")</f>
        <v/>
      </c>
      <c r="C383" s="6">
        <f>IFERROR(__xludf.DUMMYFUNCTION("""COMPUTED_VALUE"""),"How human eye functions.graasp")</f>
        <v/>
      </c>
      <c r="D383" s="7">
        <f>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
      </c>
      <c r="E383" s="7">
        <f>IFERROR(__xludf.DUMMYFUNCTION("""COMPUTED_VALUE"""),"No artifact embedded")</f>
        <v/>
      </c>
      <c r="F383" s="7" t="inlineStr">
        <is>
          <t>No task descriptions; artifacts include Golabz app/lab for note-taking and collaboration.</t>
        </is>
      </c>
      <c r="G383" s="8" t="n"/>
      <c r="H383" s="8" t="n"/>
      <c r="I383" s="8" t="n"/>
      <c r="J383" s="8" t="n"/>
      <c r="K383" s="9" t="n"/>
      <c r="L383" s="9" t="n"/>
      <c r="M383" s="9" t="n"/>
      <c r="N383" s="9" t="n"/>
      <c r="O383" s="10" t="n"/>
      <c r="P383" s="10" t="n"/>
      <c r="Q383" s="10" t="n"/>
      <c r="R383" s="10" t="n"/>
      <c r="S383" s="10" t="n"/>
    </row>
    <row r="384" ht="109" customHeight="1">
      <c r="A384" s="6">
        <f>IFERROR(__xludf.DUMMYFUNCTION("""COMPUTED_VALUE"""),"function of human eye")</f>
        <v/>
      </c>
      <c r="B384" s="6">
        <f>IFERROR(__xludf.DUMMYFUNCTION("""COMPUTED_VALUE"""),"Resource")</f>
        <v/>
      </c>
      <c r="C384" s="6">
        <f>IFERROR(__xludf.DUMMYFUNCTION("""COMPUTED_VALUE"""),"human  eye structure.PNG")</f>
        <v/>
      </c>
      <c r="D384" s="7">
        <f>IFERROR(__xludf.DUMMYFUNCTION("""COMPUTED_VALUE"""),"Vmeous Humor Aqueous Humor Clliary Muscxe Eprtnelrum Cornea 'Pun Iris EYElashes Kenna Fovea Lens Optic Nerve Eyelid Orbital Muscles")</f>
        <v/>
      </c>
      <c r="E384" s="7">
        <f>IFERROR(__xludf.DUMMYFUNCTION("""COMPUTED_VALUE"""),"image/png – A high-quality image with support for transparency, often used in design and web applications.")</f>
        <v/>
      </c>
      <c r="F384" s="7" t="inlineStr">
        <is>
          <t>Students received task descriptions about the human eye. Embedded artifacts included no items, then an image in Item 3.</t>
        </is>
      </c>
      <c r="G384" s="8" t="n"/>
      <c r="H384" s="8" t="n"/>
      <c r="I384" s="8" t="n"/>
      <c r="J384" s="8" t="n"/>
      <c r="K384" s="9" t="n"/>
      <c r="L384" s="9" t="n"/>
      <c r="M384" s="9" t="n"/>
      <c r="N384" s="9" t="n"/>
      <c r="O384" s="10" t="n"/>
      <c r="P384" s="10" t="n"/>
      <c r="Q384" s="10" t="n"/>
      <c r="R384" s="10" t="n"/>
      <c r="S384" s="10" t="n"/>
    </row>
    <row r="385" ht="351" customHeight="1">
      <c r="A385" s="6">
        <f>IFERROR(__xludf.DUMMYFUNCTION("""COMPUTED_VALUE"""),"function of human eye")</f>
        <v/>
      </c>
      <c r="B385" s="6">
        <f>IFERROR(__xludf.DUMMYFUNCTION("""COMPUTED_VALUE"""),"Resource")</f>
        <v/>
      </c>
      <c r="C385" s="6">
        <f>IFERROR(__xludf.DUMMYFUNCTION("""COMPUTED_VALUE"""),"human eye is like a camera.graasp")</f>
        <v/>
      </c>
      <c r="D385" s="7">
        <f>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
      </c>
      <c r="E385" s="7">
        <f>IFERROR(__xludf.DUMMYFUNCTION("""COMPUTED_VALUE"""),"No artifact embedded")</f>
        <v/>
      </c>
      <c r="F385" s="7" t="inlineStr">
        <is>
          <t>Students learn about eye anatomy and function. Embedded artifacts include an image/png file in Item 2.</t>
        </is>
      </c>
      <c r="G385" s="8" t="n"/>
      <c r="H385" s="8" t="n"/>
      <c r="I385" s="8" t="n"/>
      <c r="J385" s="8" t="n"/>
      <c r="K385" s="9" t="n"/>
      <c r="L385" s="9" t="n"/>
      <c r="M385" s="9" t="n"/>
      <c r="N385" s="9" t="n"/>
      <c r="O385" s="10" t="n"/>
      <c r="P385" s="10" t="n"/>
      <c r="Q385" s="10" t="n"/>
      <c r="R385" s="10" t="n"/>
      <c r="S385" s="10" t="n"/>
    </row>
    <row r="386" ht="109" customHeight="1">
      <c r="A386" s="6">
        <f>IFERROR(__xludf.DUMMYFUNCTION("""COMPUTED_VALUE"""),"function of human eye")</f>
        <v/>
      </c>
      <c r="B386" s="6">
        <f>IFERROR(__xludf.DUMMYFUNCTION("""COMPUTED_VALUE"""),"Resource")</f>
        <v/>
      </c>
      <c r="C386" s="6">
        <f>IFERROR(__xludf.DUMMYFUNCTION("""COMPUTED_VALUE"""),"Camera.PNG")</f>
        <v/>
      </c>
      <c r="D386" s="7">
        <f>IFERROR(__xludf.DUMMYFUNCTION("""COMPUTED_VALUE"""),", rsznurz _ '\ Lem _ 7 7 7 Slick mm!")</f>
        <v/>
      </c>
      <c r="E386" s="7">
        <f>IFERROR(__xludf.DUMMYFUNCTION("""COMPUTED_VALUE"""),"image/png – A high-quality image with support for transparency, often used in design and web applications.")</f>
        <v/>
      </c>
      <c r="F386" s="7" t="inlineStr">
        <is>
          <t>Students are given tasks describing eye components, with some items including PNG images as embedded artifacts.</t>
        </is>
      </c>
      <c r="G386" s="8" t="n"/>
      <c r="H386" s="8" t="n"/>
      <c r="I386" s="8" t="n"/>
      <c r="J386" s="8" t="n"/>
      <c r="K386" s="9" t="n"/>
      <c r="L386" s="9" t="n"/>
      <c r="M386" s="9" t="n"/>
      <c r="N386" s="9" t="n"/>
      <c r="O386" s="10" t="n"/>
      <c r="P386" s="10" t="n"/>
      <c r="Q386" s="10" t="n"/>
      <c r="R386" s="10" t="n"/>
      <c r="S386" s="10" t="n"/>
    </row>
    <row r="387" ht="409.6" customHeight="1">
      <c r="A387" s="6">
        <f>IFERROR(__xludf.DUMMYFUNCTION("""COMPUTED_VALUE"""),"function of human eye")</f>
        <v/>
      </c>
      <c r="B387" s="6">
        <f>IFERROR(__xludf.DUMMYFUNCTION("""COMPUTED_VALUE"""),"Resource")</f>
        <v/>
      </c>
      <c r="C387" s="6">
        <f>IFERROR(__xludf.DUMMYFUNCTION("""COMPUTED_VALUE"""),"human eye is like the camera.graasp")</f>
        <v/>
      </c>
      <c r="D387" s="7">
        <f>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
      </c>
      <c r="E387" s="7">
        <f>IFERROR(__xludf.DUMMYFUNCTION("""COMPUTED_VALUE"""),"No artifact embedded")</f>
        <v/>
      </c>
      <c r="F387" s="7" t="inlineStr">
        <is>
          <t>Students were instructed to describe the human eye's components. Embedded artifacts include a PNG image in Item2.</t>
        </is>
      </c>
      <c r="G387" s="8" t="n"/>
      <c r="H387" s="8" t="n"/>
      <c r="I387" s="8" t="n"/>
      <c r="J387" s="8" t="n"/>
      <c r="K387" s="9" t="n"/>
      <c r="L387" s="9" t="n"/>
      <c r="M387" s="9" t="n"/>
      <c r="N387" s="9" t="n"/>
      <c r="O387" s="10" t="n"/>
      <c r="P387" s="10" t="n"/>
      <c r="Q387" s="10" t="n"/>
      <c r="R387" s="10" t="n"/>
      <c r="S387" s="10" t="n"/>
    </row>
    <row r="388" ht="109" customHeight="1">
      <c r="A388" s="6">
        <f>IFERROR(__xludf.DUMMYFUNCTION("""COMPUTED_VALUE"""),"function of human eye")</f>
        <v/>
      </c>
      <c r="B388" s="6">
        <f>IFERROR(__xludf.DUMMYFUNCTION("""COMPUTED_VALUE"""),"Space")</f>
        <v/>
      </c>
      <c r="C388" s="6">
        <f>IFERROR(__xludf.DUMMYFUNCTION("""COMPUTED_VALUE"""),"evaluate")</f>
        <v/>
      </c>
      <c r="D388" s="7">
        <f>IFERROR(__xludf.DUMMYFUNCTION("""COMPUTED_VALUE"""),"&lt;p&gt;Evaluate your self after learning&lt;/p&gt;")</f>
        <v/>
      </c>
      <c r="E388" s="7">
        <f>IFERROR(__xludf.DUMMYFUNCTION("""COMPUTED_VALUE"""),"No artifact embedded")</f>
        <v/>
      </c>
      <c r="F388" s="7" t="inlineStr">
        <is>
          <t>No instructions are provided; task descriptions include a nonsensical text, an eye anatomy lesson, and a self-evaluation prompt.</t>
        </is>
      </c>
      <c r="G388" s="8" t="n"/>
      <c r="H388" s="8" t="n"/>
      <c r="I388" s="8" t="n"/>
      <c r="J388" s="8" t="n"/>
      <c r="K388" s="9" t="n"/>
      <c r="L388" s="9" t="n"/>
      <c r="M388" s="9" t="n"/>
      <c r="N388" s="9" t="n"/>
      <c r="O388" s="10" t="n"/>
      <c r="P388" s="10" t="n"/>
      <c r="Q388" s="10" t="n"/>
      <c r="R388" s="10" t="n"/>
      <c r="S388" s="10" t="n"/>
    </row>
    <row r="389" ht="121" customHeight="1">
      <c r="A389" s="6">
        <f>IFERROR(__xludf.DUMMYFUNCTION("""COMPUTED_VALUE"""),"function of human eye")</f>
        <v/>
      </c>
      <c r="B389" s="6">
        <f>IFERROR(__xludf.DUMMYFUNCTION("""COMPUTED_VALUE"""),"Resource")</f>
        <v/>
      </c>
      <c r="C389" s="6">
        <f>IFERROR(__xludf.DUMMYFUNCTION("""COMPUTED_VALUE"""),"KScience - Animations")</f>
        <v/>
      </c>
      <c r="D389" s="7">
        <f>IFERROR(__xludf.DUMMYFUNCTION("""COMPUTED_VALUE"""),"No task description")</f>
        <v/>
      </c>
      <c r="E389" s="7">
        <f>IFERROR(__xludf.DUMMYFUNCTION("""COMPUTED_VALUE"""),"kscience.co.uk: A UK-based educational site offering animations and interactive content related to science topics, such as eye function.")</f>
        <v/>
      </c>
      <c r="F389" s="7" t="inlineStr">
        <is>
          <t>Students learn about the human eye, then evaluate themselves. An educational website is provided as a resource.</t>
        </is>
      </c>
      <c r="G389" s="8" t="n"/>
      <c r="H389" s="8" t="n"/>
      <c r="I389" s="8" t="n"/>
      <c r="J389" s="8" t="n"/>
      <c r="K389" s="9" t="n"/>
      <c r="L389" s="9" t="n"/>
      <c r="M389" s="9" t="n"/>
      <c r="N389" s="9" t="n"/>
      <c r="O389" s="10" t="n"/>
      <c r="P389" s="10" t="n"/>
      <c r="Q389" s="10" t="n"/>
      <c r="R389" s="10" t="n"/>
      <c r="S389" s="10" t="n"/>
    </row>
    <row r="390" ht="121" customHeight="1">
      <c r="A390" s="6">
        <f>IFERROR(__xludf.DUMMYFUNCTION("""COMPUTED_VALUE"""),"function of human eye")</f>
        <v/>
      </c>
      <c r="B390" s="6">
        <f>IFERROR(__xludf.DUMMYFUNCTION("""COMPUTED_VALUE"""),"Resource")</f>
        <v/>
      </c>
      <c r="C390" s="6">
        <f>IFERROR(__xludf.DUMMYFUNCTION("""COMPUTED_VALUE"""),"Quiz: Eyes")</f>
        <v/>
      </c>
      <c r="D390" s="7">
        <f>IFERROR(__xludf.DUMMYFUNCTION("""COMPUTED_VALUE"""),"Take this quiz about your eyes.")</f>
        <v/>
      </c>
      <c r="E390" s="7">
        <f>IFERROR(__xludf.DUMMYFUNCTION("""COMPUTED_VALUE"""),"Artifact from kidshealth.org: Offers health-related information and quizzes designed for children, such as eye health quizzes.")</f>
        <v/>
      </c>
      <c r="F390" s="7" t="inlineStr">
        <is>
          <t>Students were instructed to evaluate themselves and take a quiz, with embedded artifacts from kscience.co.uk and kidshealth.org.</t>
        </is>
      </c>
      <c r="G390" s="8" t="n"/>
      <c r="H390" s="8" t="n"/>
      <c r="I390" s="8" t="n"/>
      <c r="J390" s="8" t="n"/>
      <c r="K390" s="9" t="n"/>
      <c r="L390" s="9" t="n"/>
      <c r="M390" s="9" t="n"/>
      <c r="N390" s="9" t="n"/>
      <c r="O390" s="10" t="n"/>
      <c r="P390" s="10" t="n"/>
      <c r="Q390" s="10" t="n"/>
      <c r="R390" s="10" t="n"/>
      <c r="S390" s="10" t="n"/>
    </row>
    <row r="391" ht="133" customHeight="1">
      <c r="A391" s="6">
        <f>IFERROR(__xludf.DUMMYFUNCTION("""COMPUTED_VALUE"""),"molarity")</f>
        <v/>
      </c>
      <c r="B391" s="6">
        <f>IFERROR(__xludf.DUMMYFUNCTION("""COMPUTED_VALUE"""),"Space")</f>
        <v/>
      </c>
      <c r="C391" s="6">
        <f>IFERROR(__xludf.DUMMYFUNCTION("""COMPUTED_VALUE"""),"Engage")</f>
        <v/>
      </c>
      <c r="D391" s="7">
        <f>IFERROR(__xludf.DUMMYFUNCTION("""COMPUTED_VALUE"""),"No task description")</f>
        <v/>
      </c>
      <c r="E391" s="7">
        <f>IFERROR(__xludf.DUMMYFUNCTION("""COMPUTED_VALUE"""),"No artifact embedded")</f>
        <v/>
      </c>
      <c r="F391" s="7" t="inlineStr">
        <is>
          <t>Students were given tasks and artifacts to complete, including a quiz and interactive content on eye function from kscience.co.uk and kidshealth.org.</t>
        </is>
      </c>
      <c r="G391" s="8" t="n"/>
      <c r="H391" s="8" t="n"/>
      <c r="I391" s="8" t="n"/>
      <c r="J391" s="8" t="n"/>
      <c r="K391" s="9" t="n"/>
      <c r="L391" s="9" t="n"/>
      <c r="M391" s="9" t="n"/>
      <c r="N391" s="9" t="n"/>
      <c r="O391" s="10" t="n"/>
      <c r="P391" s="10" t="n"/>
      <c r="Q391" s="10" t="n"/>
      <c r="R391" s="10" t="n"/>
      <c r="S391" s="10" t="n"/>
    </row>
    <row r="392" ht="121" customHeight="1">
      <c r="A392" s="6">
        <f>IFERROR(__xludf.DUMMYFUNCTION("""COMPUTED_VALUE"""),"molarity")</f>
        <v/>
      </c>
      <c r="B392" s="6">
        <f>IFERROR(__xludf.DUMMYFUNCTION("""COMPUTED_VALUE"""),"Resource")</f>
        <v/>
      </c>
      <c r="C392" s="6">
        <f>IFERROR(__xludf.DUMMYFUNCTION("""COMPUTED_VALUE"""),"proc 1.graasp")</f>
        <v/>
      </c>
      <c r="D392" s="7">
        <f>IFERROR(__xludf.DUMMYFUNCTION("""COMPUTED_VALUE"""),"&lt;ol&gt;&lt;li&gt;study the image below and make observation&lt;/li&gt;&lt;li&gt;compare the concentration of those four solutions&lt;/li&gt;&lt;/ol&gt;")</f>
        <v/>
      </c>
      <c r="E392" s="7">
        <f>IFERROR(__xludf.DUMMYFUNCTION("""COMPUTED_VALUE"""),"No artifact embedded")</f>
        <v/>
      </c>
      <c r="F392" s="7" t="inlineStr">
        <is>
          <t>Students take a quiz on eye health, study an image to compare solution concentrations. Embedded artifacts include kidshealth.org quizzes.</t>
        </is>
      </c>
      <c r="G392" s="8" t="n"/>
      <c r="H392" s="8" t="n"/>
      <c r="I392" s="8" t="n"/>
      <c r="J392" s="8" t="n"/>
      <c r="K392" s="9" t="n"/>
      <c r="L392" s="9" t="n"/>
      <c r="M392" s="9" t="n"/>
      <c r="N392" s="9" t="n"/>
      <c r="O392" s="10" t="n"/>
      <c r="P392" s="10" t="n"/>
      <c r="Q392" s="10" t="n"/>
      <c r="R392" s="10" t="n"/>
      <c r="S392" s="10" t="n"/>
    </row>
    <row r="393" ht="181" customHeight="1">
      <c r="A393" s="6">
        <f>IFERROR(__xludf.DUMMYFUNCTION("""COMPUTED_VALUE"""),"molarity")</f>
        <v/>
      </c>
      <c r="B393" s="6">
        <f>IFERROR(__xludf.DUMMYFUNCTION("""COMPUTED_VALUE"""),"Resource")</f>
        <v/>
      </c>
      <c r="C393" s="6">
        <f>IFERROR(__xludf.DUMMYFUNCTION("""COMPUTED_VALUE"""),"dilution.JPG")</f>
        <v/>
      </c>
      <c r="D393" s="7">
        <f>IFERROR(__xludf.DUMMYFUNCTION("""COMPUTED_VALUE"""),"rnmxmmr + 9m] + 9m + 9m] + 9ml Ml IIdIIli Ml undid Col-Int!""")</f>
        <v/>
      </c>
      <c r="E393" s="7">
        <f>IFERROR(__xludf.DUMMYFUNCTION("""COMPUTED_VALUE"""),"image/jpeg – A digital photograph or web image stored in a compressed format, often used for photography and web graphics.")</f>
        <v/>
      </c>
      <c r="F393" s="7" t="inlineStr">
        <is>
          <t>Students were given tasks with varying levels of detail. Items 1 and 2 had text-based instructions, while Item 3 was unclear. Embedded artifacts included no artifact in Items 1 and 2, but an image/jpeg in Item 3.</t>
        </is>
      </c>
      <c r="G393" s="8" t="n"/>
      <c r="H393" s="8" t="n"/>
      <c r="I393" s="8" t="n"/>
      <c r="J393" s="8" t="n"/>
      <c r="K393" s="9" t="n"/>
      <c r="L393" s="9" t="n"/>
      <c r="M393" s="9" t="n"/>
      <c r="N393" s="9" t="n"/>
      <c r="O393" s="10" t="n"/>
      <c r="P393" s="10" t="n"/>
      <c r="Q393" s="10" t="n"/>
      <c r="R393" s="10" t="n"/>
      <c r="S393" s="10" t="n"/>
    </row>
    <row r="394" ht="318" customHeight="1">
      <c r="A394" s="6">
        <f>IFERROR(__xludf.DUMMYFUNCTION("""COMPUTED_VALUE"""),"molarity")</f>
        <v/>
      </c>
      <c r="B394" s="6">
        <f>IFERROR(__xludf.DUMMYFUNCTION("""COMPUTED_VALUE"""),"Application")</f>
        <v/>
      </c>
      <c r="C394" s="6">
        <f>IFERROR(__xludf.DUMMYFUNCTION("""COMPUTED_VALUE"""),"Input Box")</f>
        <v/>
      </c>
      <c r="D394" s="7">
        <f>IFERROR(__xludf.DUMMYFUNCTION("""COMPUTED_VALUE"""),"No task description")</f>
        <v/>
      </c>
      <c r="E39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94" s="7" t="inlineStr">
        <is>
          <t>Students are given tasks with images and apps to observe and compare solutions, with some items having embedded artifacts like digital photos or note-taking apps.</t>
        </is>
      </c>
      <c r="G394" s="8" t="n"/>
      <c r="H394" s="8" t="n"/>
      <c r="I394" s="8" t="n"/>
      <c r="J394" s="8" t="n"/>
      <c r="K394" s="9" t="n"/>
      <c r="L394" s="9" t="n"/>
      <c r="M394" s="9" t="n"/>
      <c r="N394" s="9" t="n"/>
      <c r="O394" s="10" t="n"/>
      <c r="P394" s="10" t="n"/>
      <c r="Q394" s="10" t="n"/>
      <c r="R394" s="10" t="n"/>
      <c r="S394" s="10" t="n"/>
    </row>
    <row r="395" ht="109" customHeight="1">
      <c r="A395" s="6">
        <f>IFERROR(__xludf.DUMMYFUNCTION("""COMPUTED_VALUE"""),"molarity")</f>
        <v/>
      </c>
      <c r="B395" s="6">
        <f>IFERROR(__xludf.DUMMYFUNCTION("""COMPUTED_VALUE"""),"Resource")</f>
        <v/>
      </c>
      <c r="C395" s="6">
        <f>IFERROR(__xludf.DUMMYFUNCTION("""COMPUTED_VALUE"""),"Concentration of Solutions.mp4")</f>
        <v/>
      </c>
      <c r="D395" s="7">
        <f>IFERROR(__xludf.DUMMYFUNCTION("""COMPUTED_VALUE"""),"No task description")</f>
        <v/>
      </c>
      <c r="E395" s="7">
        <f>IFERROR(__xludf.DUMMYFUNCTION("""COMPUTED_VALUE"""),"video/mp4 – A video file containing moving images and possibly audio, suitable for playback on most modern devices and platforms.")</f>
        <v/>
      </c>
      <c r="F395" s="7" t="inlineStr">
        <is>
          <t>Students were given tasks with embedded artifacts, including images, note-taking apps, and videos.</t>
        </is>
      </c>
      <c r="G395" s="8" t="n"/>
      <c r="H395" s="8" t="n"/>
      <c r="I395" s="8" t="n"/>
      <c r="J395" s="8" t="n"/>
      <c r="K395" s="9" t="n"/>
      <c r="L395" s="9" t="n"/>
      <c r="M395" s="9" t="n"/>
      <c r="N395" s="9" t="n"/>
      <c r="O395" s="10" t="n"/>
      <c r="P395" s="10" t="n"/>
      <c r="Q395" s="10" t="n"/>
      <c r="R395" s="10" t="n"/>
      <c r="S395" s="10" t="n"/>
    </row>
    <row r="396" ht="85" customHeight="1">
      <c r="A396" s="6">
        <f>IFERROR(__xludf.DUMMYFUNCTION("""COMPUTED_VALUE"""),"molarity")</f>
        <v/>
      </c>
      <c r="B396" s="6">
        <f>IFERROR(__xludf.DUMMYFUNCTION("""COMPUTED_VALUE"""),"Resource")</f>
        <v/>
      </c>
      <c r="C396" s="6">
        <f>IFERROR(__xludf.DUMMYFUNCTION("""COMPUTED_VALUE"""),"proc 2.graasp")</f>
        <v/>
      </c>
      <c r="D396" s="7">
        <f>IFERROR(__xludf.DUMMYFUNCTION("""COMPUTED_VALUE"""),"No task description")</f>
        <v/>
      </c>
      <c r="E396" s="7">
        <f>IFERROR(__xludf.DUMMYFUNCTION("""COMPUTED_VALUE"""),"No artifact embedded")</f>
        <v/>
      </c>
      <c r="F396" s="7" t="inlineStr">
        <is>
          <t>No instructions provided; artifacts include a note-taking app, a video file, and no artifact in the third item.</t>
        </is>
      </c>
      <c r="G396" s="8" t="n"/>
      <c r="H396" s="8" t="n"/>
      <c r="I396" s="8" t="n"/>
      <c r="J396" s="8" t="n"/>
      <c r="K396" s="9" t="n"/>
      <c r="L396" s="9" t="n"/>
      <c r="M396" s="9" t="n"/>
      <c r="N396" s="9" t="n"/>
      <c r="O396" s="10" t="n"/>
      <c r="P396" s="10" t="n"/>
      <c r="Q396" s="10" t="n"/>
      <c r="R396" s="10" t="n"/>
      <c r="S396" s="10" t="n"/>
    </row>
    <row r="397" ht="85" customHeight="1">
      <c r="A397" s="6">
        <f>IFERROR(__xludf.DUMMYFUNCTION("""COMPUTED_VALUE"""),"molarity")</f>
        <v/>
      </c>
      <c r="B397" s="6">
        <f>IFERROR(__xludf.DUMMYFUNCTION("""COMPUTED_VALUE"""),"Space")</f>
        <v/>
      </c>
      <c r="C397" s="6">
        <f>IFERROR(__xludf.DUMMYFUNCTION("""COMPUTED_VALUE"""),"Explore")</f>
        <v/>
      </c>
      <c r="D397" s="7">
        <f>IFERROR(__xludf.DUMMYFUNCTION("""COMPUTED_VALUE"""),"No task description")</f>
        <v/>
      </c>
      <c r="E397" s="7">
        <f>IFERROR(__xludf.DUMMYFUNCTION("""COMPUTED_VALUE"""),"No artifact embedded")</f>
        <v/>
      </c>
      <c r="F397" s="7" t="inlineStr">
        <is>
          <t>No task descriptions provided; only Item1 has an embedded video/mp4 artifact.</t>
        </is>
      </c>
      <c r="G397" s="8" t="n"/>
      <c r="H397" s="8" t="n"/>
      <c r="I397" s="8" t="n"/>
      <c r="J397" s="8" t="n"/>
      <c r="K397" s="9" t="n"/>
      <c r="L397" s="9" t="n"/>
      <c r="M397" s="9" t="n"/>
      <c r="N397" s="9" t="n"/>
      <c r="O397" s="10" t="n"/>
      <c r="P397" s="10" t="n"/>
      <c r="Q397" s="10" t="n"/>
      <c r="R397" s="10" t="n"/>
      <c r="S397" s="10" t="n"/>
    </row>
    <row r="398" ht="49" customHeight="1">
      <c r="A398" s="6">
        <f>IFERROR(__xludf.DUMMYFUNCTION("""COMPUTED_VALUE"""),"molarity")</f>
        <v/>
      </c>
      <c r="B398" s="6">
        <f>IFERROR(__xludf.DUMMYFUNCTION("""COMPUTED_VALUE"""),"Resource")</f>
        <v/>
      </c>
      <c r="C398" s="6">
        <f>IFERROR(__xludf.DUMMYFUNCTION("""COMPUTED_VALUE"""),"procedure.graasp")</f>
        <v/>
      </c>
      <c r="D398" s="7">
        <f>IFERROR(__xludf.DUMMYFUNCTION("""COMPUTED_VALUE"""),"No task description")</f>
        <v/>
      </c>
      <c r="E398" s="7">
        <f>IFERROR(__xludf.DUMMYFUNCTION("""COMPUTED_VALUE"""),"No artifact embedded")</f>
        <v/>
      </c>
      <c r="F398" s="7" t="inlineStr">
        <is>
          <t>No instructions or artifacts are provided for Items 1, 2, and 3.</t>
        </is>
      </c>
      <c r="G398" s="8" t="n"/>
      <c r="H398" s="8" t="n"/>
      <c r="I398" s="8" t="n"/>
      <c r="J398" s="8" t="n"/>
      <c r="K398" s="9" t="n"/>
      <c r="L398" s="9" t="n"/>
      <c r="M398" s="9" t="n"/>
      <c r="N398" s="9" t="n"/>
      <c r="O398" s="10" t="n"/>
      <c r="P398" s="10" t="n"/>
      <c r="Q398" s="10" t="n"/>
      <c r="R398" s="10" t="n"/>
      <c r="S398" s="10" t="n"/>
    </row>
    <row r="399" ht="229" customHeight="1">
      <c r="A399" s="6">
        <f>IFERROR(__xludf.DUMMYFUNCTION("""COMPUTED_VALUE"""),"molarity")</f>
        <v/>
      </c>
      <c r="B399" s="6">
        <f>IFERROR(__xludf.DUMMYFUNCTION("""COMPUTED_VALUE"""),"Application")</f>
        <v/>
      </c>
      <c r="C399" s="6">
        <f>IFERROR(__xludf.DUMMYFUNCTION("""COMPUTED_VALUE"""),"Molarity app")</f>
        <v/>
      </c>
      <c r="D399" s="7">
        <f>IFERROR(__xludf.DUMMYFUNCTION("""COMPUTED_VALUE"""),"No task description")</f>
        <v/>
      </c>
      <c r="E399" s="7">
        <f>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
      </c>
      <c r="F399" s="7" t="inlineStr">
        <is>
          <t>No task descriptions provided, but Item3 has an embedded Golabz app/lab artifact about solution concentration.</t>
        </is>
      </c>
      <c r="G399" s="8" t="n"/>
      <c r="H399" s="8" t="n"/>
      <c r="I399" s="8" t="n"/>
      <c r="J399" s="8" t="n"/>
      <c r="K399" s="9" t="n"/>
      <c r="L399" s="9" t="n"/>
      <c r="M399" s="9" t="n"/>
      <c r="N399" s="9" t="n"/>
      <c r="O399" s="10" t="n"/>
      <c r="P399" s="10" t="n"/>
      <c r="Q399" s="10" t="n"/>
      <c r="R399" s="10" t="n"/>
      <c r="S399" s="10" t="n"/>
    </row>
    <row r="400" ht="409.6" customHeight="1">
      <c r="A400" s="6">
        <f>IFERROR(__xludf.DUMMYFUNCTION("""COMPUTED_VALUE"""),"molarity")</f>
        <v/>
      </c>
      <c r="B400" s="6">
        <f>IFERROR(__xludf.DUMMYFUNCTION("""COMPUTED_VALUE"""),"Application")</f>
        <v/>
      </c>
      <c r="C400" s="6">
        <f>IFERROR(__xludf.DUMMYFUNCTION("""COMPUTED_VALUE"""),"Table Tool")</f>
        <v/>
      </c>
      <c r="D400" s="7">
        <f>IFERROR(__xludf.DUMMYFUNCTION("""COMPUTED_VALUE"""),"No task description")</f>
        <v/>
      </c>
      <c r="E400"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00" s="7" t="inlineStr">
        <is>
          <t>No task descriptions; Golabz apps/labs embedded with interactive science and data tools.</t>
        </is>
      </c>
      <c r="G400" s="8" t="n"/>
      <c r="H400" s="8" t="n"/>
      <c r="I400" s="8" t="n"/>
      <c r="J400" s="8" t="n"/>
      <c r="K400" s="9" t="n"/>
      <c r="L400" s="9" t="n"/>
      <c r="M400" s="9" t="n"/>
      <c r="N400" s="9" t="n"/>
      <c r="O400" s="10" t="n"/>
      <c r="P400" s="10" t="n"/>
      <c r="Q400" s="10" t="n"/>
      <c r="R400" s="10" t="n"/>
      <c r="S400" s="10" t="n"/>
    </row>
    <row r="401" ht="109" customHeight="1">
      <c r="A401" s="6">
        <f>IFERROR(__xludf.DUMMYFUNCTION("""COMPUTED_VALUE"""),"molarity")</f>
        <v/>
      </c>
      <c r="B401" s="6">
        <f>IFERROR(__xludf.DUMMYFUNCTION("""COMPUTED_VALUE"""),"Space")</f>
        <v/>
      </c>
      <c r="C401" s="6">
        <f>IFERROR(__xludf.DUMMYFUNCTION("""COMPUTED_VALUE"""),"Explain")</f>
        <v/>
      </c>
      <c r="D401" s="7">
        <f>IFERROR(__xludf.DUMMYFUNCTION("""COMPUTED_VALUE"""),"No task description")</f>
        <v/>
      </c>
      <c r="E401" s="7">
        <f>IFERROR(__xludf.DUMMYFUNCTION("""COMPUTED_VALUE"""),"No artifact embedded")</f>
        <v/>
      </c>
      <c r="F401" s="7" t="inlineStr">
        <is>
          <t>No task descriptions provided; artifacts include Golabz apps for learning about solution concentration and using tables for data entry.</t>
        </is>
      </c>
      <c r="G401" s="8" t="n"/>
      <c r="H401" s="8" t="n"/>
      <c r="I401" s="8" t="n"/>
      <c r="J401" s="8" t="n"/>
      <c r="K401" s="9" t="n"/>
      <c r="L401" s="9" t="n"/>
      <c r="M401" s="9" t="n"/>
      <c r="N401" s="9" t="n"/>
      <c r="O401" s="10" t="n"/>
      <c r="P401" s="10" t="n"/>
      <c r="Q401" s="10" t="n"/>
      <c r="R401" s="10" t="n"/>
      <c r="S401" s="10" t="n"/>
    </row>
    <row r="402" ht="121" customHeight="1">
      <c r="A402" s="6">
        <f>IFERROR(__xludf.DUMMYFUNCTION("""COMPUTED_VALUE"""),"molarity")</f>
        <v/>
      </c>
      <c r="B402" s="6">
        <f>IFERROR(__xludf.DUMMYFUNCTION("""COMPUTED_VALUE"""),"Space")</f>
        <v/>
      </c>
      <c r="C402" s="6">
        <f>IFERROR(__xludf.DUMMYFUNCTION("""COMPUTED_VALUE"""),"Elaborate")</f>
        <v/>
      </c>
      <c r="D402" s="7">
        <f>IFERROR(__xludf.DUMMYFUNCTION("""COMPUTED_VALUE"""),"No task description")</f>
        <v/>
      </c>
      <c r="E402" s="7">
        <f>IFERROR(__xludf.DUMMYFUNCTION("""COMPUTED_VALUE"""),"No artifact embedded")</f>
        <v/>
      </c>
      <c r="F402" s="7" t="inlineStr">
        <is>
          <t>No task descriptions. Embedded artifacts include Golabz app/lab instructions for using the table tool and collaboration mode.</t>
        </is>
      </c>
      <c r="G402" s="8" t="n"/>
      <c r="H402" s="8" t="n"/>
      <c r="I402" s="8" t="n"/>
      <c r="J402" s="8" t="n"/>
      <c r="K402" s="9" t="n"/>
      <c r="L402" s="9" t="n"/>
      <c r="M402" s="9" t="n"/>
      <c r="N402" s="9" t="n"/>
      <c r="O402" s="10" t="n"/>
      <c r="P402" s="10" t="n"/>
      <c r="Q402" s="10" t="n"/>
      <c r="R402" s="10" t="n"/>
      <c r="S402" s="10" t="n"/>
    </row>
    <row r="403" ht="109" customHeight="1">
      <c r="A403" s="6">
        <f>IFERROR(__xludf.DUMMYFUNCTION("""COMPUTED_VALUE"""),"molarity")</f>
        <v/>
      </c>
      <c r="B403" s="6">
        <f>IFERROR(__xludf.DUMMYFUNCTION("""COMPUTED_VALUE"""),"Resource")</f>
        <v/>
      </c>
      <c r="C403" s="6">
        <f>IFERROR(__xludf.DUMMYFUNCTION("""COMPUTED_VALUE"""),"instr 1.graasp")</f>
        <v/>
      </c>
      <c r="D403" s="7">
        <f>IFERROR(__xludf.DUMMYFUNCTION("""COMPUTED_VALUE"""),"&lt;ul&gt;&lt;li&gt;Concentrated refers to chemical solutions that have high concentrations of a large amount of solute in the solution&lt;/li&gt;&lt;/ul&gt;")</f>
        <v/>
      </c>
      <c r="E403" s="7">
        <f>IFERROR(__xludf.DUMMYFUNCTION("""COMPUTED_VALUE"""),"No artifact embedded")</f>
        <v/>
      </c>
      <c r="F403" s="7" t="inlineStr">
        <is>
          <t>No instructions or artifacts provided for Items 1 and 2. Item 3 describes concentrated chemical solutions.</t>
        </is>
      </c>
      <c r="G403" s="8" t="n"/>
      <c r="H403" s="8" t="n"/>
      <c r="I403" s="8" t="n"/>
      <c r="J403" s="8" t="n"/>
      <c r="K403" s="9" t="n"/>
      <c r="L403" s="9" t="n"/>
      <c r="M403" s="9" t="n"/>
      <c r="N403" s="9" t="n"/>
      <c r="O403" s="10" t="n"/>
      <c r="P403" s="10" t="n"/>
      <c r="Q403" s="10" t="n"/>
      <c r="R403" s="10" t="n"/>
      <c r="S403" s="10" t="n"/>
    </row>
    <row r="404" ht="97" customHeight="1">
      <c r="A404" s="6">
        <f>IFERROR(__xludf.DUMMYFUNCTION("""COMPUTED_VALUE"""),"molarity")</f>
        <v/>
      </c>
      <c r="B404" s="6">
        <f>IFERROR(__xludf.DUMMYFUNCTION("""COMPUTED_VALUE"""),"Resource")</f>
        <v/>
      </c>
      <c r="C404" s="6">
        <f>IFERROR(__xludf.DUMMYFUNCTION("""COMPUTED_VALUE"""),"dilute solutions.graasp")</f>
        <v/>
      </c>
      <c r="D404" s="7">
        <f>IFERROR(__xludf.DUMMYFUNCTION("""COMPUTED_VALUE"""),"&lt;em&gt;&lt;/em&gt;&lt;strong&gt;&lt;/strong&gt;Dilute solutions contains a small amount of solvent compared with the amount of solvent")</f>
        <v/>
      </c>
      <c r="E404" s="7">
        <f>IFERROR(__xludf.DUMMYFUNCTION("""COMPUTED_VALUE"""),"No artifact embedded")</f>
        <v/>
      </c>
      <c r="F404" s="7" t="inlineStr">
        <is>
          <t>Students received task descriptions on concentrated and dilute solutions, but no artifacts were embedded.</t>
        </is>
      </c>
      <c r="G404" s="8" t="n"/>
      <c r="H404" s="8" t="n"/>
      <c r="I404" s="8" t="n"/>
      <c r="J404" s="8" t="n"/>
      <c r="K404" s="9" t="n"/>
      <c r="L404" s="9" t="n"/>
      <c r="M404" s="9" t="n"/>
      <c r="N404" s="9" t="n"/>
      <c r="O404" s="10" t="n"/>
      <c r="P404" s="10" t="n"/>
      <c r="Q404" s="10" t="n"/>
      <c r="R404" s="10" t="n"/>
      <c r="S404" s="10" t="n"/>
    </row>
    <row r="405" ht="121" customHeight="1">
      <c r="A405" s="6">
        <f>IFERROR(__xludf.DUMMYFUNCTION("""COMPUTED_VALUE"""),"molarity")</f>
        <v/>
      </c>
      <c r="B405" s="6">
        <f>IFERROR(__xludf.DUMMYFUNCTION("""COMPUTED_VALUE"""),"Space")</f>
        <v/>
      </c>
      <c r="C405" s="6">
        <f>IFERROR(__xludf.DUMMYFUNCTION("""COMPUTED_VALUE"""),"Evaluate")</f>
        <v/>
      </c>
      <c r="D405" s="7">
        <f>IFERROR(__xludf.DUMMYFUNCTION("""COMPUTED_VALUE"""),"No task description")</f>
        <v/>
      </c>
      <c r="E405" s="7">
        <f>IFERROR(__xludf.DUMMYFUNCTION("""COMPUTED_VALUE"""),"No artifact embedded")</f>
        <v/>
      </c>
      <c r="F405" s="7" t="inlineStr">
        <is>
          <t>Students are given tasks about chemical solutions. Items 1 and 2 provide descriptions, while Item 3 has none. No artifacts are embedded in any items.</t>
        </is>
      </c>
      <c r="G405" s="8" t="n"/>
      <c r="H405" s="8" t="n"/>
      <c r="I405" s="8" t="n"/>
      <c r="J405" s="8" t="n"/>
      <c r="K405" s="9" t="n"/>
      <c r="L405" s="9" t="n"/>
      <c r="M405" s="9" t="n"/>
      <c r="N405" s="9" t="n"/>
      <c r="O405" s="10" t="n"/>
      <c r="P405" s="10" t="n"/>
      <c r="Q405" s="10" t="n"/>
      <c r="R405" s="10" t="n"/>
      <c r="S405" s="10" t="n"/>
    </row>
    <row r="406" ht="157" customHeight="1">
      <c r="A406" s="6">
        <f>IFERROR(__xludf.DUMMYFUNCTION("""COMPUTED_VALUE"""),"molarity")</f>
        <v/>
      </c>
      <c r="B406" s="6">
        <f>IFERROR(__xludf.DUMMYFUNCTION("""COMPUTED_VALUE"""),"Application")</f>
        <v/>
      </c>
      <c r="C406" s="6">
        <f>IFERROR(__xludf.DUMMYFUNCTION("""COMPUTED_VALUE"""),"File Drop")</f>
        <v/>
      </c>
      <c r="D406" s="7">
        <f>IFERROR(__xludf.DUMMYFUNCTION("""COMPUTED_VALUE"""),"&lt;p&gt;click here to upload file to answer the following question.what is the differences between molarity and concentration &lt;/p&gt;")</f>
        <v/>
      </c>
      <c r="E406" s="7">
        <f>IFERROR(__xludf.DUMMYFUNCTION("""COMPUTED_VALUE"""),"Golabz app/lab: ""&lt;p&gt;This app allows students to upload files, e.g., assignment and reports, to the Inquiry learning Space. The app also allows teachers to download the uploaded files.&lt;/p&gt;\r\n""")</f>
        <v/>
      </c>
      <c r="F406" s="7" t="inlineStr">
        <is>
          <t>Students were given tasks with varying instructions and no embedded artifacts, except for Item3 which used Golabz app for file uploads.</t>
        </is>
      </c>
      <c r="G406" s="8" t="n"/>
      <c r="H406" s="8" t="n"/>
      <c r="I406" s="8" t="n"/>
      <c r="J406" s="8" t="n"/>
      <c r="K406" s="9" t="n"/>
      <c r="L406" s="9" t="n"/>
      <c r="M406" s="9" t="n"/>
      <c r="N406" s="9" t="n"/>
      <c r="O406" s="10" t="n"/>
      <c r="P406" s="10" t="n"/>
      <c r="Q406" s="10" t="n"/>
      <c r="R406" s="10" t="n"/>
      <c r="S406" s="10" t="n"/>
    </row>
    <row r="407" ht="274" customHeight="1">
      <c r="A407" s="6">
        <f>IFERROR(__xludf.DUMMYFUNCTION("""COMPUTED_VALUE"""),"molarity")</f>
        <v/>
      </c>
      <c r="B407" s="6">
        <f>IFERROR(__xludf.DUMMYFUNCTION("""COMPUTED_VALUE"""),"Application")</f>
        <v/>
      </c>
      <c r="C407" s="6">
        <f>IFERROR(__xludf.DUMMYFUNCTION("""COMPUTED_VALUE"""),"Quiz Tool")</f>
        <v/>
      </c>
      <c r="D407" s="7">
        <f>IFERROR(__xludf.DUMMYFUNCTION("""COMPUTED_VALUE"""),"No task description")</f>
        <v/>
      </c>
      <c r="E4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07" s="7" t="inlineStr">
        <is>
          <t>Students were instructed to upload a file answering the question about molarity and concentration differences. Embedded artifacts include Golabz apps for file uploads and quizzes with interactive question editing.</t>
        </is>
      </c>
      <c r="G407" s="8" t="n"/>
      <c r="H407" s="8" t="n"/>
      <c r="I407" s="8" t="n"/>
      <c r="J407" s="8" t="n"/>
      <c r="K407" s="9" t="n"/>
      <c r="L407" s="9" t="n"/>
      <c r="M407" s="9" t="n"/>
      <c r="N407" s="9" t="n"/>
      <c r="O407" s="10" t="n"/>
      <c r="P407" s="10" t="n"/>
      <c r="Q407" s="10" t="n"/>
      <c r="R407" s="10" t="n"/>
      <c r="S407" s="10" t="n"/>
    </row>
    <row r="408" ht="145" customHeight="1">
      <c r="A408" s="6">
        <f>IFERROR(__xludf.DUMMYFUNCTION("""COMPUTED_VALUE"""),"Transcription and translation of DNA")</f>
        <v/>
      </c>
      <c r="B408" s="6">
        <f>IFERROR(__xludf.DUMMYFUNCTION("""COMPUTED_VALUE"""),"Space")</f>
        <v/>
      </c>
      <c r="C408" s="6">
        <f>IFERROR(__xludf.DUMMYFUNCTION("""COMPUTED_VALUE"""),"Do you look like your parents?")</f>
        <v/>
      </c>
      <c r="D408" s="7">
        <f>IFERROR(__xludf.DUMMYFUNCTION("""COMPUTED_VALUE"""),"&lt;p&gt;Welcome to the first phase of the course, the Orientation phase.&lt;/p&gt;")</f>
        <v/>
      </c>
      <c r="E408" s="7">
        <f>IFERROR(__xludf.DUMMYFUNCTION("""COMPUTED_VALUE"""),"No artifact embedded")</f>
        <v/>
      </c>
      <c r="F408" s="7" t="inlineStr">
        <is>
          <t>Students are instructed to upload files and answer questions. Embedded artifacts include Golabz app for file uploads and quizzes with interactive question editing.</t>
        </is>
      </c>
      <c r="G408" s="8" t="n"/>
      <c r="H408" s="8" t="n"/>
      <c r="I408" s="8" t="n"/>
      <c r="J408" s="8" t="n"/>
      <c r="K408" s="9" t="n"/>
      <c r="L408" s="9" t="n"/>
      <c r="M408" s="9" t="n"/>
      <c r="N408" s="9" t="n"/>
      <c r="O408" s="10" t="n"/>
      <c r="P408" s="10" t="n"/>
      <c r="Q408" s="10" t="n"/>
      <c r="R408" s="10" t="n"/>
      <c r="S408" s="10" t="n"/>
    </row>
    <row r="409" ht="340" customHeight="1">
      <c r="A409" s="6">
        <f>IFERROR(__xludf.DUMMYFUNCTION("""COMPUTED_VALUE"""),"Transcription and translation of DNA")</f>
        <v/>
      </c>
      <c r="B409" s="6">
        <f>IFERROR(__xludf.DUMMYFUNCTION("""COMPUTED_VALUE"""),"Resource")</f>
        <v/>
      </c>
      <c r="C409" s="6">
        <f>IFERROR(__xludf.DUMMYFUNCTION("""COMPUTED_VALUE"""),"Orientation.graasp")</f>
        <v/>
      </c>
      <c r="D409" s="7">
        <f>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
      </c>
      <c r="E409" s="7">
        <f>IFERROR(__xludf.DUMMYFUNCTION("""COMPUTED_VALUE"""),"No artifact embedded")</f>
        <v/>
      </c>
      <c r="F409" s="7" t="inlineStr">
        <is>
          <t>Students received task descriptions and interacted with artifacts, including a quiz app and videos, to complete assignments.</t>
        </is>
      </c>
      <c r="G409" s="8" t="n"/>
      <c r="H409" s="8" t="n"/>
      <c r="I409" s="8" t="n"/>
      <c r="J409" s="8" t="n"/>
      <c r="K409" s="9" t="n"/>
      <c r="L409" s="9" t="n"/>
      <c r="M409" s="9" t="n"/>
      <c r="N409" s="9" t="n"/>
      <c r="O409" s="10" t="n"/>
      <c r="P409" s="10" t="n"/>
      <c r="Q409" s="10" t="n"/>
      <c r="R409" s="10" t="n"/>
      <c r="S409" s="10" t="n"/>
    </row>
    <row r="410" ht="121" customHeight="1">
      <c r="A410" s="6">
        <f>IFERROR(__xludf.DUMMYFUNCTION("""COMPUTED_VALUE"""),"Transcription and translation of DNA")</f>
        <v/>
      </c>
      <c r="B410" s="6">
        <f>IFERROR(__xludf.DUMMYFUNCTION("""COMPUTED_VALUE"""),"Resource")</f>
        <v/>
      </c>
      <c r="C410" s="6">
        <f>IFERROR(__xludf.DUMMYFUNCTION("""COMPUTED_VALUE"""),"What is DNA and How Does it Work?")</f>
        <v/>
      </c>
      <c r="D410" s="7">
        <f>IFERROR(__xludf.DUMMYFUNCTION("""COMPUTED_VALUE"""),"No task description")</f>
        <v/>
      </c>
      <c r="E410" s="7">
        <f>IFERROR(__xludf.DUMMYFUNCTION("""COMPUTED_VALUE"""),"youtube.com: A widely known video-sharing platform where users can watch videos on a vast array of topics, including educational content.")</f>
        <v/>
      </c>
      <c r="F410" s="7" t="inlineStr">
        <is>
          <t>Students are given orientation and genetics tasks with no embedded artifacts, except for a YouTube link in Item 3.</t>
        </is>
      </c>
      <c r="G410" s="8" t="n"/>
      <c r="H410" s="8" t="n"/>
      <c r="I410" s="8" t="n"/>
      <c r="J410" s="8" t="n"/>
      <c r="K410" s="9" t="n"/>
      <c r="L410" s="9" t="n"/>
      <c r="M410" s="9" t="n"/>
      <c r="N410" s="9" t="n"/>
      <c r="O410" s="10" t="n"/>
      <c r="P410" s="10" t="n"/>
      <c r="Q410" s="10" t="n"/>
      <c r="R410" s="10" t="n"/>
      <c r="S410" s="10" t="n"/>
    </row>
    <row r="411" ht="133" customHeight="1">
      <c r="A411" s="6">
        <f>IFERROR(__xludf.DUMMYFUNCTION("""COMPUTED_VALUE"""),"Transcription and translation of DNA")</f>
        <v/>
      </c>
      <c r="B411" s="6">
        <f>IFERROR(__xludf.DUMMYFUNCTION("""COMPUTED_VALUE"""),"Application")</f>
        <v/>
      </c>
      <c r="C411" s="6">
        <f>IFERROR(__xludf.DUMMYFUNCTION("""COMPUTED_VALUE"""),"Padlet")</f>
        <v/>
      </c>
      <c r="D411" s="7">
        <f>IFERROR(__xludf.DUMMYFUNCTION("""COMPUTED_VALUE"""),"No task description")</f>
        <v/>
      </c>
      <c r="E411" s="7">
        <f>IFERROR(__xludf.DUMMYFUNCTION("""COMPUTED_VALUE"""),"Golabz app/lab: Wrong URL. Impossible to access it")</f>
        <v/>
      </c>
      <c r="F411" s="7" t="inlineStr">
        <is>
          <t>Students discuss and write thoughts on genes defining characteristics after watching a video. Embedded artifacts include a YouTube video and inaccessible links.</t>
        </is>
      </c>
      <c r="G411" s="8" t="n"/>
      <c r="H411" s="8" t="n"/>
      <c r="I411" s="8" t="n"/>
      <c r="J411" s="8" t="n"/>
      <c r="K411" s="9" t="n"/>
      <c r="L411" s="9" t="n"/>
      <c r="M411" s="9" t="n"/>
      <c r="N411" s="9" t="n"/>
      <c r="O411" s="10" t="n"/>
      <c r="P411" s="10" t="n"/>
      <c r="Q411" s="10" t="n"/>
      <c r="R411" s="10" t="n"/>
      <c r="S411" s="10" t="n"/>
    </row>
    <row r="412" ht="395" customHeight="1">
      <c r="A412" s="6">
        <f>IFERROR(__xludf.DUMMYFUNCTION("""COMPUTED_VALUE"""),"Transcription and translation of DNA")</f>
        <v/>
      </c>
      <c r="B412" s="6">
        <f>IFERROR(__xludf.DUMMYFUNCTION("""COMPUTED_VALUE"""),"Resource")</f>
        <v/>
      </c>
      <c r="C412" s="6">
        <f>IFERROR(__xludf.DUMMYFUNCTION("""COMPUTED_VALUE"""),"Orientation 2.graasp")</f>
        <v/>
      </c>
      <c r="D412" s="7">
        <f>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
      </c>
      <c r="E412" s="7">
        <f>IFERROR(__xludf.DUMMYFUNCTION("""COMPUTED_VALUE"""),"No artifact embedded")</f>
        <v/>
      </c>
      <c r="F412" s="7" t="inlineStr">
        <is>
          <t>Students received no task descriptions for Items 1 and 2. Item 3 asked students to recall genetic information and answer questions with no embedded artifacts.</t>
        </is>
      </c>
      <c r="G412" s="8" t="n"/>
      <c r="H412" s="8" t="n"/>
      <c r="I412" s="8" t="n"/>
      <c r="J412" s="8" t="n"/>
      <c r="K412" s="9" t="n"/>
      <c r="L412" s="9" t="n"/>
      <c r="M412" s="9" t="n"/>
      <c r="N412" s="9" t="n"/>
      <c r="O412" s="10" t="n"/>
      <c r="P412" s="10" t="n"/>
      <c r="Q412" s="10" t="n"/>
      <c r="R412" s="10" t="n"/>
      <c r="S412" s="10" t="n"/>
    </row>
    <row r="413" ht="274" customHeight="1">
      <c r="A413" s="6">
        <f>IFERROR(__xludf.DUMMYFUNCTION("""COMPUTED_VALUE"""),"Transcription and translation of DNA")</f>
        <v/>
      </c>
      <c r="B413" s="6">
        <f>IFERROR(__xludf.DUMMYFUNCTION("""COMPUTED_VALUE"""),"Application")</f>
        <v/>
      </c>
      <c r="C413" s="6">
        <f>IFERROR(__xludf.DUMMYFUNCTION("""COMPUTED_VALUE"""),"Quiz tool")</f>
        <v/>
      </c>
      <c r="D413" s="7">
        <f>IFERROR(__xludf.DUMMYFUNCTION("""COMPUTED_VALUE"""),"No task description")</f>
        <v/>
      </c>
      <c r="E41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13" s="7" t="inlineStr">
        <is>
          <t>Students received 3 items with varying instructions: genetics review, no task, and an unseen lab. Embedded artifacts included a quiz app and inaccessible Golabz labs.</t>
        </is>
      </c>
      <c r="G413" s="8" t="n"/>
      <c r="H413" s="8" t="n"/>
      <c r="I413" s="8" t="n"/>
      <c r="J413" s="8" t="n"/>
      <c r="K413" s="9" t="n"/>
      <c r="L413" s="9" t="n"/>
      <c r="M413" s="9" t="n"/>
      <c r="N413" s="9" t="n"/>
      <c r="O413" s="10" t="n"/>
      <c r="P413" s="10" t="n"/>
      <c r="Q413" s="10" t="n"/>
      <c r="R413" s="10" t="n"/>
      <c r="S413" s="10" t="n"/>
    </row>
    <row r="414" ht="121" customHeight="1">
      <c r="A414" s="6">
        <f>IFERROR(__xludf.DUMMYFUNCTION("""COMPUTED_VALUE"""),"Transcription and translation of DNA")</f>
        <v/>
      </c>
      <c r="B414" s="6">
        <f>IFERROR(__xludf.DUMMYFUNCTION("""COMPUTED_VALUE"""),"Resource")</f>
        <v/>
      </c>
      <c r="C414" s="6">
        <f>IFERROR(__xludf.DUMMYFUNCTION("""COMPUTED_VALUE"""),"dna1.jpg")</f>
        <v/>
      </c>
      <c r="D414" s="7">
        <f>IFERROR(__xludf.DUMMYFUNCTION("""COMPUTED_VALUE"""),"&lt;p&gt;Congratulations! Having answered the questions above, let's remember the structure of DNA and nucleotides again:&lt;/p&gt;")</f>
        <v/>
      </c>
      <c r="E414" s="7">
        <f>IFERROR(__xludf.DUMMYFUNCTION("""COMPUTED_VALUE"""),"image/jpeg – A digital photograph or web image stored in a compressed format, often used for photography and web graphics.")</f>
        <v/>
      </c>
      <c r="F414" s="7" t="inlineStr">
        <is>
          <t>Students recall genetic information and answer questions. Embedded artifacts include a quiz app and an image of DNA structure.</t>
        </is>
      </c>
      <c r="G414" s="8" t="n"/>
      <c r="H414" s="8" t="n"/>
      <c r="I414" s="8" t="n"/>
      <c r="J414" s="8" t="n"/>
      <c r="K414" s="9" t="n"/>
      <c r="L414" s="9" t="n"/>
      <c r="M414" s="9" t="n"/>
      <c r="N414" s="9" t="n"/>
      <c r="O414" s="10" t="n"/>
      <c r="P414" s="10" t="n"/>
      <c r="Q414" s="10" t="n"/>
      <c r="R414" s="10" t="n"/>
      <c r="S414" s="10" t="n"/>
    </row>
    <row r="415" ht="406" customHeight="1">
      <c r="A415" s="6">
        <f>IFERROR(__xludf.DUMMYFUNCTION("""COMPUTED_VALUE"""),"Transcription and translation of DNA")</f>
        <v/>
      </c>
      <c r="B415" s="6">
        <f>IFERROR(__xludf.DUMMYFUNCTION("""COMPUTED_VALUE"""),"Resource")</f>
        <v/>
      </c>
      <c r="C415" s="6">
        <f>IFERROR(__xludf.DUMMYFUNCTION("""COMPUTED_VALUE"""),"Προσανατολισμός 3.graasp")</f>
        <v/>
      </c>
      <c r="D415" s="7">
        <f>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
      </c>
      <c r="E415" s="7">
        <f>IFERROR(__xludf.DUMMYFUNCTION("""COMPUTED_VALUE"""),"No artifact embedded")</f>
        <v/>
      </c>
      <c r="F415" s="7" t="inlineStr">
        <is>
          <t>Students received tasks with varying levels of detail and interactive artifacts, including a quiz app and an image, to learn about DNA structure and nucleotides.</t>
        </is>
      </c>
      <c r="G415" s="8" t="n"/>
      <c r="H415" s="8" t="n"/>
      <c r="I415" s="8" t="n"/>
      <c r="J415" s="8" t="n"/>
      <c r="K415" s="9" t="n"/>
      <c r="L415" s="9" t="n"/>
      <c r="M415" s="9" t="n"/>
      <c r="N415" s="9" t="n"/>
      <c r="O415" s="10" t="n"/>
      <c r="P415" s="10" t="n"/>
      <c r="Q415" s="10" t="n"/>
      <c r="R415" s="10" t="n"/>
      <c r="S415" s="10" t="n"/>
    </row>
    <row r="416" ht="181" customHeight="1">
      <c r="A416" s="6">
        <f>IFERROR(__xludf.DUMMYFUNCTION("""COMPUTED_VALUE"""),"Transcription and translation of DNA")</f>
        <v/>
      </c>
      <c r="B416" s="6">
        <f>IFERROR(__xludf.DUMMYFUNCTION("""COMPUTED_VALUE"""),"Space")</f>
        <v/>
      </c>
      <c r="C416" s="6">
        <f>IFERROR(__xludf.DUMMYFUNCTION("""COMPUTED_VALUE"""),"Will the mountain come to Muhammad?")</f>
        <v/>
      </c>
      <c r="D416" s="7">
        <f>IFERROR(__xludf.DUMMYFUNCTION("""COMPUTED_VALUE"""),"&lt;p&gt;Do you know the old proverb: 'If the mountain will not come to Muhammad, then Muhammad must go to the mountain'? You might find it useful during the second phase of the lesson, the phase of Conceptualization!&lt;/p&gt;")</f>
        <v/>
      </c>
      <c r="E416" s="7">
        <f>IFERROR(__xludf.DUMMYFUNCTION("""COMPUTED_VALUE"""),"No artifact embedded")</f>
        <v/>
      </c>
      <c r="F416" s="7" t="inlineStr">
        <is>
          <t>Students review DNA structure and nucleotides. Embedded artifacts include a JPEG image in Item1, with no artifacts in Items 2 and 3.</t>
        </is>
      </c>
      <c r="G416" s="8" t="n"/>
      <c r="H416" s="8" t="n"/>
      <c r="I416" s="8" t="n"/>
      <c r="J416" s="8" t="n"/>
      <c r="K416" s="9" t="n"/>
      <c r="L416" s="9" t="n"/>
      <c r="M416" s="9" t="n"/>
      <c r="N416" s="9" t="n"/>
      <c r="O416" s="10" t="n"/>
      <c r="P416" s="10" t="n"/>
      <c r="Q416" s="10" t="n"/>
      <c r="R416" s="10" t="n"/>
      <c r="S416" s="10" t="n"/>
    </row>
    <row r="417" ht="157" customHeight="1">
      <c r="A417" s="6">
        <f>IFERROR(__xludf.DUMMYFUNCTION("""COMPUTED_VALUE"""),"Transcription and translation of DNA")</f>
        <v/>
      </c>
      <c r="B417" s="6">
        <f>IFERROR(__xludf.DUMMYFUNCTION("""COMPUTED_VALUE"""),"Resource")</f>
        <v/>
      </c>
      <c r="C417" s="6">
        <f>IFERROR(__xludf.DUMMYFUNCTION("""COMPUTED_VALUE"""),"Conceptualization.graasp")</f>
        <v/>
      </c>
      <c r="D417" s="7">
        <f>IFERROR(__xludf.DUMMYFUNCTION("""COMPUTED_VALUE"""),"&lt;table class=""table table-bordered""&gt;&lt;tbody&gt;&lt;tr&gt;&lt;td&gt;&lt;p&gt;Watch the rest of the video to remember what we have learned about proteins and amino acids.&lt;/p&gt;&lt;/td&gt;&lt;/tr&gt;&lt;/tbody&gt;&lt;/table&gt;")</f>
        <v/>
      </c>
      <c r="E417" s="7">
        <f>IFERROR(__xludf.DUMMYFUNCTION("""COMPUTED_VALUE"""),"No artifact embedded")</f>
        <v/>
      </c>
      <c r="F417" s="7" t="inlineStr">
        <is>
          <t>Students are instructed on DNA nucleotides and protein basics, with no artifacts embedded.</t>
        </is>
      </c>
      <c r="G417" s="8" t="n"/>
      <c r="H417" s="8" t="n"/>
      <c r="I417" s="8" t="n"/>
      <c r="J417" s="8" t="n"/>
      <c r="K417" s="9" t="n"/>
      <c r="L417" s="9" t="n"/>
      <c r="M417" s="9" t="n"/>
      <c r="N417" s="9" t="n"/>
      <c r="O417" s="10" t="n"/>
      <c r="P417" s="10" t="n"/>
      <c r="Q417" s="10" t="n"/>
      <c r="R417" s="10" t="n"/>
      <c r="S417" s="10" t="n"/>
    </row>
    <row r="418" ht="121" customHeight="1">
      <c r="A418" s="6">
        <f>IFERROR(__xludf.DUMMYFUNCTION("""COMPUTED_VALUE"""),"Transcription and translation of DNA")</f>
        <v/>
      </c>
      <c r="B418" s="6">
        <f>IFERROR(__xludf.DUMMYFUNCTION("""COMPUTED_VALUE"""),"Resource")</f>
        <v/>
      </c>
      <c r="C418" s="6">
        <f>IFERROR(__xludf.DUMMYFUNCTION("""COMPUTED_VALUE"""),"What is DNA and How Does it Work?")</f>
        <v/>
      </c>
      <c r="D418" s="7">
        <f>IFERROR(__xludf.DUMMYFUNCTION("""COMPUTED_VALUE"""),"No task description")</f>
        <v/>
      </c>
      <c r="E418" s="7">
        <f>IFERROR(__xludf.DUMMYFUNCTION("""COMPUTED_VALUE"""),"youtube.com: A widely known video-sharing platform where users can watch videos on a vast array of topics, including educational content.")</f>
        <v/>
      </c>
      <c r="F418" s="7" t="inlineStr">
        <is>
          <t>Students are given tasks and proverbs. Items 1 and 2 have no embedded artifacts, while Item 3 has a YouTube link.</t>
        </is>
      </c>
      <c r="G418" s="8" t="n"/>
      <c r="H418" s="8" t="n"/>
      <c r="I418" s="8" t="n"/>
      <c r="J418" s="8" t="n"/>
      <c r="K418" s="9" t="n"/>
      <c r="L418" s="9" t="n"/>
      <c r="M418" s="9" t="n"/>
      <c r="N418" s="9" t="n"/>
      <c r="O418" s="10" t="n"/>
      <c r="P418" s="10" t="n"/>
      <c r="Q418" s="10" t="n"/>
      <c r="R418" s="10" t="n"/>
      <c r="S418" s="10" t="n"/>
    </row>
    <row r="419" ht="409.6" customHeight="1">
      <c r="A419" s="6">
        <f>IFERROR(__xludf.DUMMYFUNCTION("""COMPUTED_VALUE"""),"Transcription and translation of DNA")</f>
        <v/>
      </c>
      <c r="B419" s="6">
        <f>IFERROR(__xludf.DUMMYFUNCTION("""COMPUTED_VALUE"""),"Application")</f>
        <v/>
      </c>
      <c r="C419" s="6">
        <f>IFERROR(__xludf.DUMMYFUNCTION("""COMPUTED_VALUE"""),"Question Scratchpad")</f>
        <v/>
      </c>
      <c r="D419" s="7">
        <f>IFERROR(__xludf.DUMMYFUNCTION("""COMPUTED_VALUE"""),"&lt;p&gt;Using the Question Scratchpad Tool below, try to create your own research question, keeping in mind what we have discussed so far. Use as many words as you like.&lt;/p&gt;&lt;p&gt;&lt;br&gt;&lt;/p&gt;")</f>
        <v/>
      </c>
      <c r="E419"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419" s="7" t="inlineStr">
        <is>
          <t>Students are instructed to watch a video and create a research question using a tool, with artifacts including YouTube and the Question Scratchpad Tool.</t>
        </is>
      </c>
      <c r="G419" s="8" t="n"/>
      <c r="H419" s="8" t="n"/>
      <c r="I419" s="8" t="n"/>
      <c r="J419" s="8" t="n"/>
      <c r="K419" s="9" t="n"/>
      <c r="L419" s="9" t="n"/>
      <c r="M419" s="9" t="n"/>
      <c r="N419" s="9" t="n"/>
      <c r="O419" s="10" t="n"/>
      <c r="P419" s="10" t="n"/>
      <c r="Q419" s="10" t="n"/>
      <c r="R419" s="10" t="n"/>
      <c r="S419" s="10" t="n"/>
    </row>
    <row r="420" ht="373" customHeight="1">
      <c r="A420" s="6">
        <f>IFERROR(__xludf.DUMMYFUNCTION("""COMPUTED_VALUE"""),"Transcription and translation of DNA")</f>
        <v/>
      </c>
      <c r="B420" s="6">
        <f>IFERROR(__xludf.DUMMYFUNCTION("""COMPUTED_VALUE"""),"Resource")</f>
        <v/>
      </c>
      <c r="C420" s="6">
        <f>IFERROR(__xludf.DUMMYFUNCTION("""COMPUTED_VALUE"""),"Conceptualization1.graasp")</f>
        <v/>
      </c>
      <c r="D420" s="7">
        <f>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
      </c>
      <c r="E420" s="7">
        <f>IFERROR(__xludf.DUMMYFUNCTION("""COMPUTED_VALUE"""),"No artifact embedded")</f>
        <v/>
      </c>
      <c r="F420" s="7" t="inlineStr">
        <is>
          <t>Students are given tasks with tools like YouTube, Question Scratchpad, and conceptual maps to create research questions and explore relationships between concepts.</t>
        </is>
      </c>
      <c r="G420" s="8" t="n"/>
      <c r="H420" s="8" t="n"/>
      <c r="I420" s="8" t="n"/>
      <c r="J420" s="8" t="n"/>
      <c r="K420" s="9" t="n"/>
      <c r="L420" s="9" t="n"/>
      <c r="M420" s="9" t="n"/>
      <c r="N420" s="9" t="n"/>
      <c r="O420" s="10" t="n"/>
      <c r="P420" s="10" t="n"/>
      <c r="Q420" s="10" t="n"/>
      <c r="R420" s="10" t="n"/>
      <c r="S420" s="10" t="n"/>
    </row>
    <row r="421" ht="409.6" customHeight="1">
      <c r="A421" s="6">
        <f>IFERROR(__xludf.DUMMYFUNCTION("""COMPUTED_VALUE"""),"Transcription and translation of DNA")</f>
        <v/>
      </c>
      <c r="B421" s="6">
        <f>IFERROR(__xludf.DUMMYFUNCTION("""COMPUTED_VALUE"""),"Application")</f>
        <v/>
      </c>
      <c r="C421" s="6">
        <f>IFERROR(__xludf.DUMMYFUNCTION("""COMPUTED_VALUE"""),"Concept Mapper")</f>
        <v/>
      </c>
      <c r="D421" s="7">
        <f>IFERROR(__xludf.DUMMYFUNCTION("""COMPUTED_VALUE"""),"No task description")</f>
        <v/>
      </c>
      <c r="E42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21" s="7" t="inlineStr">
        <is>
          <t>Students create research questions and concept maps using Golabz tools: Question Scratchpad and Concept Mapper.</t>
        </is>
      </c>
      <c r="G421" s="8" t="n"/>
      <c r="H421" s="8" t="n"/>
      <c r="I421" s="8" t="n"/>
      <c r="J421" s="8" t="n"/>
      <c r="K421" s="9" t="n"/>
      <c r="L421" s="9" t="n"/>
      <c r="M421" s="9" t="n"/>
      <c r="N421" s="9" t="n"/>
      <c r="O421" s="10" t="n"/>
      <c r="P421" s="10" t="n"/>
      <c r="Q421" s="10" t="n"/>
      <c r="R421" s="10" t="n"/>
      <c r="S421" s="10" t="n"/>
    </row>
    <row r="422" ht="193" customHeight="1">
      <c r="A422" s="6">
        <f>IFERROR(__xludf.DUMMYFUNCTION("""COMPUTED_VALUE"""),"Transcription and translation of DNA")</f>
        <v/>
      </c>
      <c r="B422" s="6">
        <f>IFERROR(__xludf.DUMMYFUNCTION("""COMPUTED_VALUE"""),"Resource")</f>
        <v/>
      </c>
      <c r="C422" s="6">
        <f>IFERROR(__xludf.DUMMYFUNCTION("""COMPUTED_VALUE"""),"Conceptualization2.graasp")</f>
        <v/>
      </c>
      <c r="D422" s="7">
        <f>IFERROR(__xludf.DUMMYFUNCTION("""COMPUTED_VALUE"""),"&lt;table class=""table table-bordered""&gt;&lt;tbody&gt;&lt;tr&gt;&lt;td&gt;&lt;p&gt;Perhaps the conceptual map has helped you answer the question you created. The rest of the video we watch will help you confirm your thoughts!&lt;/p&gt;&lt;/td&gt;&lt;/tr&gt;&lt;/tbody&gt;&lt;/table&gt;")</f>
        <v/>
      </c>
      <c r="E422" s="7">
        <f>IFERROR(__xludf.DUMMYFUNCTION("""COMPUTED_VALUE"""),"No artifact embedded")</f>
        <v/>
      </c>
      <c r="F422" s="7" t="inlineStr">
        <is>
          <t>Students create concept maps using the Concept Mapper tool, defining relationships between concepts, with optional real-time feedback and collaboration modes.</t>
        </is>
      </c>
      <c r="G422" s="8" t="n"/>
      <c r="H422" s="8" t="n"/>
      <c r="I422" s="8" t="n"/>
      <c r="J422" s="8" t="n"/>
      <c r="K422" s="9" t="n"/>
      <c r="L422" s="9" t="n"/>
      <c r="M422" s="9" t="n"/>
      <c r="N422" s="9" t="n"/>
      <c r="O422" s="10" t="n"/>
      <c r="P422" s="10" t="n"/>
      <c r="Q422" s="10" t="n"/>
      <c r="R422" s="10" t="n"/>
      <c r="S422" s="10" t="n"/>
    </row>
    <row r="423" ht="169" customHeight="1">
      <c r="A423" s="6">
        <f>IFERROR(__xludf.DUMMYFUNCTION("""COMPUTED_VALUE"""),"Transcription and translation of DNA")</f>
        <v/>
      </c>
      <c r="B423" s="6">
        <f>IFERROR(__xludf.DUMMYFUNCTION("""COMPUTED_VALUE"""),"Resource")</f>
        <v/>
      </c>
      <c r="C423" s="6">
        <f>IFERROR(__xludf.DUMMYFUNCTION("""COMPUTED_VALUE"""),"What is DNA and How Does it Work? (1)")</f>
        <v/>
      </c>
      <c r="D423" s="7">
        <f>IFERROR(__xludf.DUMMYFUNCTION("""COMPUTED_VALUE"""),"No task description")</f>
        <v/>
      </c>
      <c r="E423" s="7">
        <f>IFERROR(__xludf.DUMMYFUNCTION("""COMPUTED_VALUE"""),"youtube.com: A widely known video-sharing platform where users can watch videos on a vast array of topics, including educational content.")</f>
        <v/>
      </c>
      <c r="F423" s="7" t="inlineStr">
        <is>
          <t>Students use the Concept Mapper tool to create concept maps and receive real-time feedback. Two items have brief instructions, while one has no task description. Embedded artifacts include the Golabz app and YouTube.</t>
        </is>
      </c>
      <c r="G423" s="8" t="n"/>
      <c r="H423" s="8" t="n"/>
      <c r="I423" s="8" t="n"/>
      <c r="J423" s="8" t="n"/>
      <c r="K423" s="9" t="n"/>
      <c r="L423" s="9" t="n"/>
      <c r="M423" s="9" t="n"/>
      <c r="N423" s="9" t="n"/>
      <c r="O423" s="10" t="n"/>
      <c r="P423" s="10" t="n"/>
      <c r="Q423" s="10" t="n"/>
      <c r="R423" s="10" t="n"/>
      <c r="S423" s="10" t="n"/>
    </row>
    <row r="424" ht="406" customHeight="1">
      <c r="A424" s="6">
        <f>IFERROR(__xludf.DUMMYFUNCTION("""COMPUTED_VALUE"""),"Transcription and translation of DNA")</f>
        <v/>
      </c>
      <c r="B424" s="6">
        <f>IFERROR(__xludf.DUMMYFUNCTION("""COMPUTED_VALUE"""),"Resource")</f>
        <v/>
      </c>
      <c r="C424" s="6">
        <f>IFERROR(__xludf.DUMMYFUNCTION("""COMPUTED_VALUE"""),"Conceptualization 3.graasp")</f>
        <v/>
      </c>
      <c r="D424" s="7">
        <f>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
      </c>
      <c r="E424" s="7">
        <f>IFERROR(__xludf.DUMMYFUNCTION("""COMPUTED_VALUE"""),"No artifact embedded")</f>
        <v/>
      </c>
      <c r="F424" s="7" t="inlineStr">
        <is>
          <t>Students received task descriptions and no artifacts were embedded in Items 1 and 3, while Item 2 had no description but mentioned YouTube as an educational resource.</t>
        </is>
      </c>
      <c r="G424" s="8" t="n"/>
      <c r="H424" s="8" t="n"/>
      <c r="I424" s="8" t="n"/>
      <c r="J424" s="8" t="n"/>
      <c r="K424" s="9" t="n"/>
      <c r="L424" s="9" t="n"/>
      <c r="M424" s="9" t="n"/>
      <c r="N424" s="9" t="n"/>
      <c r="O424" s="10" t="n"/>
      <c r="P424" s="10" t="n"/>
      <c r="Q424" s="10" t="n"/>
      <c r="R424" s="10" t="n"/>
      <c r="S424" s="10" t="n"/>
    </row>
    <row r="425" ht="384" customHeight="1">
      <c r="A425" s="6">
        <f>IFERROR(__xludf.DUMMYFUNCTION("""COMPUTED_VALUE"""),"Transcription and translation of DNA")</f>
        <v/>
      </c>
      <c r="B425" s="6">
        <f>IFERROR(__xludf.DUMMYFUNCTION("""COMPUTED_VALUE"""),"Resource")</f>
        <v/>
      </c>
      <c r="C425" s="6">
        <f>IFERROR(__xludf.DUMMYFUNCTION("""COMPUTED_VALUE"""),"Conceptualization 4.graasp")</f>
        <v/>
      </c>
      <c r="D425" s="7">
        <f>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
      </c>
      <c r="E425" s="7">
        <f>IFERROR(__xludf.DUMMYFUNCTION("""COMPUTED_VALUE"""),"No artifact embedded")</f>
        <v/>
      </c>
      <c r="F425" s="7" t="inlineStr">
        <is>
          <t>Students received task descriptions about genetic information and protein synthesis, with one item referencing a YouTube video, but no artifacts were embedded in items 2 and 3.</t>
        </is>
      </c>
      <c r="G425" s="8" t="n"/>
      <c r="H425" s="8" t="n"/>
      <c r="I425" s="8" t="n"/>
      <c r="J425" s="8" t="n"/>
      <c r="K425" s="9" t="n"/>
      <c r="L425" s="9" t="n"/>
      <c r="M425" s="9" t="n"/>
      <c r="N425" s="9" t="n"/>
      <c r="O425" s="10" t="n"/>
      <c r="P425" s="10" t="n"/>
      <c r="Q425" s="10" t="n"/>
      <c r="R425" s="10" t="n"/>
      <c r="S425" s="10" t="n"/>
    </row>
    <row r="426" ht="318" customHeight="1">
      <c r="A426" s="6">
        <f>IFERROR(__xludf.DUMMYFUNCTION("""COMPUTED_VALUE"""),"Transcription and translation of DNA")</f>
        <v/>
      </c>
      <c r="B426" s="6">
        <f>IFERROR(__xludf.DUMMYFUNCTION("""COMPUTED_VALUE"""),"Application")</f>
        <v/>
      </c>
      <c r="C426" s="6">
        <f>IFERROR(__xludf.DUMMYFUNCTION("""COMPUTED_VALUE"""),"Input Box")</f>
        <v/>
      </c>
      <c r="D426" s="7">
        <f>IFERROR(__xludf.DUMMYFUNCTION("""COMPUTED_VALUE"""),"No task description")</f>
        <v/>
      </c>
      <c r="E4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26" s="7" t="inlineStr">
        <is>
          <t>Students are instructed on genetic information and protein synthesis. Embedded artifacts include a notes-taking app for student input.</t>
        </is>
      </c>
      <c r="G426" s="8" t="n"/>
      <c r="H426" s="8" t="n"/>
      <c r="I426" s="8" t="n"/>
      <c r="J426" s="8" t="n"/>
      <c r="K426" s="9" t="n"/>
      <c r="L426" s="9" t="n"/>
      <c r="M426" s="9" t="n"/>
      <c r="N426" s="9" t="n"/>
      <c r="O426" s="10" t="n"/>
      <c r="P426" s="10" t="n"/>
      <c r="Q426" s="10" t="n"/>
      <c r="R426" s="10" t="n"/>
      <c r="S426" s="10" t="n"/>
    </row>
    <row r="427" ht="133" customHeight="1">
      <c r="A427" s="6">
        <f>IFERROR(__xludf.DUMMYFUNCTION("""COMPUTED_VALUE"""),"Transcription and translation of DNA")</f>
        <v/>
      </c>
      <c r="B427" s="6">
        <f>IFERROR(__xludf.DUMMYFUNCTION("""COMPUTED_VALUE"""),"Space")</f>
        <v/>
      </c>
      <c r="C427" s="6">
        <f>IFERROR(__xludf.DUMMYFUNCTION("""COMPUTED_VALUE"""),"Let's experiment!")</f>
        <v/>
      </c>
      <c r="D427" s="7">
        <f>IFERROR(__xludf.DUMMYFUNCTION("""COMPUTED_VALUE"""),"&lt;p&gt;The next phase is the Investigation phase.&lt;/p&gt;")</f>
        <v/>
      </c>
      <c r="E427" s="7">
        <f>IFERROR(__xludf.DUMMYFUNCTION("""COMPUTED_VALUE"""),"No artifact embedded")</f>
        <v/>
      </c>
      <c r="F427" s="7" t="inlineStr">
        <is>
          <t>Students were instructed to describe how DNA controls protein synthesis and proceed to the next lesson phase, with an embedded note-taking app in Item2.</t>
        </is>
      </c>
      <c r="G427" s="8" t="n"/>
      <c r="H427" s="8" t="n"/>
      <c r="I427" s="8" t="n"/>
      <c r="J427" s="8" t="n"/>
      <c r="K427" s="9" t="n"/>
      <c r="L427" s="9" t="n"/>
      <c r="M427" s="9" t="n"/>
      <c r="N427" s="9" t="n"/>
      <c r="O427" s="10" t="n"/>
      <c r="P427" s="10" t="n"/>
      <c r="Q427" s="10" t="n"/>
      <c r="R427" s="10" t="n"/>
      <c r="S427" s="10" t="n"/>
    </row>
    <row r="428" ht="373" customHeight="1">
      <c r="A428" s="6">
        <f>IFERROR(__xludf.DUMMYFUNCTION("""COMPUTED_VALUE"""),"Transcription and translation of DNA")</f>
        <v/>
      </c>
      <c r="B428" s="6">
        <f>IFERROR(__xludf.DUMMYFUNCTION("""COMPUTED_VALUE"""),"Resource")</f>
        <v/>
      </c>
      <c r="C428" s="6">
        <f>IFERROR(__xludf.DUMMYFUNCTION("""COMPUTED_VALUE"""),"Investigation .graasp")</f>
        <v/>
      </c>
      <c r="D428" s="7">
        <f>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
      </c>
      <c r="E428" s="7">
        <f>IFERROR(__xludf.DUMMYFUNCTION("""COMPUTED_VALUE"""),"No artifact embedded")</f>
        <v/>
      </c>
      <c r="F428" s="7" t="inlineStr">
        <is>
          <t>Students received task descriptions and accessed embedded artifacts, including the Golabz app/lab for note-taking and collaboration.</t>
        </is>
      </c>
      <c r="G428" s="8" t="n"/>
      <c r="H428" s="8" t="n"/>
      <c r="I428" s="8" t="n"/>
      <c r="J428" s="8" t="n"/>
      <c r="K428" s="9" t="n"/>
      <c r="L428" s="9" t="n"/>
      <c r="M428" s="9" t="n"/>
      <c r="N428" s="9" t="n"/>
      <c r="O428" s="10" t="n"/>
      <c r="P428" s="10" t="n"/>
      <c r="Q428" s="10" t="n"/>
      <c r="R428" s="10" t="n"/>
      <c r="S428" s="10" t="n"/>
    </row>
    <row r="429" ht="362" customHeight="1">
      <c r="A429" s="6">
        <f>IFERROR(__xludf.DUMMYFUNCTION("""COMPUTED_VALUE"""),"Transcription and translation of DNA")</f>
        <v/>
      </c>
      <c r="B429" s="6">
        <f>IFERROR(__xludf.DUMMYFUNCTION("""COMPUTED_VALUE"""),"Resource")</f>
        <v/>
      </c>
      <c r="C429" s="6">
        <f>IFERROR(__xludf.DUMMYFUNCTION("""COMPUTED_VALUE"""),"Investigation 1.graasp")</f>
        <v/>
      </c>
      <c r="D429" s="7">
        <f>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
      </c>
      <c r="E429" s="7">
        <f>IFERROR(__xludf.DUMMYFUNCTION("""COMPUTED_VALUE"""),"No artifact embedded")</f>
        <v/>
      </c>
      <c r="F429" s="7" t="inlineStr">
        <is>
          <t>Students investigate cell processes using virtual labs and complete a DNA transcription task by selecting correct nitrogenous bases.</t>
        </is>
      </c>
      <c r="G429" s="8" t="n"/>
      <c r="H429" s="8" t="n"/>
      <c r="I429" s="8" t="n"/>
      <c r="J429" s="8" t="n"/>
      <c r="K429" s="9" t="n"/>
      <c r="L429" s="9" t="n"/>
      <c r="M429" s="9" t="n"/>
      <c r="N429" s="9" t="n"/>
      <c r="O429" s="10" t="n"/>
      <c r="P429" s="10" t="n"/>
      <c r="Q429" s="10" t="n"/>
      <c r="R429" s="10" t="n"/>
      <c r="S429" s="10" t="n"/>
    </row>
    <row r="430" ht="285" customHeight="1">
      <c r="A430" s="6">
        <f>IFERROR(__xludf.DUMMYFUNCTION("""COMPUTED_VALUE"""),"Transcription and translation of DNA")</f>
        <v/>
      </c>
      <c r="B430" s="6">
        <f>IFERROR(__xludf.DUMMYFUNCTION("""COMPUTED_VALUE"""),"Application")</f>
        <v/>
      </c>
      <c r="C430" s="6">
        <f>IFERROR(__xludf.DUMMYFUNCTION("""COMPUTED_VALUE"""),"Modeling Transcription App")</f>
        <v/>
      </c>
      <c r="D430" s="7">
        <f>IFERROR(__xludf.DUMMYFUNCTION("""COMPUTED_VALUE"""),"No task description")</f>
        <v/>
      </c>
      <c r="E430" s="7">
        <f>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
      </c>
      <c r="F430" s="7" t="inlineStr">
        <is>
          <t>Students use virtual labs for cell experiments, completing tasks like DNA transcription and exploring mRNA creation, with no embedded artifacts.</t>
        </is>
      </c>
      <c r="G430" s="8" t="n"/>
      <c r="H430" s="8" t="n"/>
      <c r="I430" s="8" t="n"/>
      <c r="J430" s="8" t="n"/>
      <c r="K430" s="9" t="n"/>
      <c r="L430" s="9" t="n"/>
      <c r="M430" s="9" t="n"/>
      <c r="N430" s="9" t="n"/>
      <c r="O430" s="10" t="n"/>
      <c r="P430" s="10" t="n"/>
      <c r="Q430" s="10" t="n"/>
      <c r="R430" s="10" t="n"/>
      <c r="S430" s="10" t="n"/>
    </row>
    <row r="431" ht="384" customHeight="1">
      <c r="A431" s="6">
        <f>IFERROR(__xludf.DUMMYFUNCTION("""COMPUTED_VALUE"""),"Transcription and translation of DNA")</f>
        <v/>
      </c>
      <c r="B431" s="6">
        <f>IFERROR(__xludf.DUMMYFUNCTION("""COMPUTED_VALUE"""),"Application")</f>
        <v/>
      </c>
      <c r="C431" s="6">
        <f>IFERROR(__xludf.DUMMYFUNCTION("""COMPUTED_VALUE"""),"Observation Tool")</f>
        <v/>
      </c>
      <c r="D431" s="7">
        <f>IFERROR(__xludf.DUMMYFUNCTION("""COMPUTED_VALUE"""),"&lt;p&gt;What do you observe? Write down your observations in the following tool by pressing +. You can create as many comments as you like.&lt;/p&gt;")</f>
        <v/>
      </c>
      <c r="E431"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431" s="7" t="inlineStr">
        <is>
          <t>Students are instructed to prepare DNA for transcription and select correct nitrogenous bases. Embedded artifacts include Golabz labs for exploring mRNA and an observation tool.</t>
        </is>
      </c>
      <c r="G431" s="8" t="n"/>
      <c r="H431" s="8" t="n"/>
      <c r="I431" s="8" t="n"/>
      <c r="J431" s="8" t="n"/>
      <c r="K431" s="9" t="n"/>
      <c r="L431" s="9" t="n"/>
      <c r="M431" s="9" t="n"/>
      <c r="N431" s="9" t="n"/>
      <c r="O431" s="10" t="n"/>
      <c r="P431" s="10" t="n"/>
      <c r="Q431" s="10" t="n"/>
      <c r="R431" s="10" t="n"/>
      <c r="S431" s="10" t="n"/>
    </row>
    <row r="432" ht="395" customHeight="1">
      <c r="A432" s="6">
        <f>IFERROR(__xludf.DUMMYFUNCTION("""COMPUTED_VALUE"""),"Transcription and translation of DNA")</f>
        <v/>
      </c>
      <c r="B432" s="6">
        <f>IFERROR(__xludf.DUMMYFUNCTION("""COMPUTED_VALUE"""),"Resource")</f>
        <v/>
      </c>
      <c r="C432" s="6">
        <f>IFERROR(__xludf.DUMMYFUNCTION("""COMPUTED_VALUE"""),"Investigation 2.graasp")</f>
        <v/>
      </c>
      <c r="D432" s="7">
        <f>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
      </c>
      <c r="E432" s="7">
        <f>IFERROR(__xludf.DUMMYFUNCTION("""COMPUTED_VALUE"""),"No artifact embedded")</f>
        <v/>
      </c>
      <c r="F432" s="7" t="inlineStr">
        <is>
          <t>Students explore DNA transcription, record observations, and fill in tables to learn about DNA and nucleotides using Golabz app/labs.</t>
        </is>
      </c>
      <c r="G432" s="8" t="n"/>
      <c r="H432" s="8" t="n"/>
      <c r="I432" s="8" t="n"/>
      <c r="J432" s="8" t="n"/>
      <c r="K432" s="9" t="n"/>
      <c r="L432" s="9" t="n"/>
      <c r="M432" s="9" t="n"/>
      <c r="N432" s="9" t="n"/>
      <c r="O432" s="10" t="n"/>
      <c r="P432" s="10" t="n"/>
      <c r="Q432" s="10" t="n"/>
      <c r="R432" s="10" t="n"/>
      <c r="S432" s="10" t="n"/>
    </row>
    <row r="433" ht="409.6" customHeight="1">
      <c r="A433" s="6">
        <f>IFERROR(__xludf.DUMMYFUNCTION("""COMPUTED_VALUE"""),"Transcription and translation of DNA")</f>
        <v/>
      </c>
      <c r="B433" s="6">
        <f>IFERROR(__xludf.DUMMYFUNCTION("""COMPUTED_VALUE"""),"Application")</f>
        <v/>
      </c>
      <c r="C433" s="6">
        <f>IFERROR(__xludf.DUMMYFUNCTION("""COMPUTED_VALUE"""),"Table Tool")</f>
        <v/>
      </c>
      <c r="D433" s="7">
        <f>IFERROR(__xludf.DUMMYFUNCTION("""COMPUTED_VALUE"""),"No task description")</f>
        <v/>
      </c>
      <c r="E43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33" s="7" t="inlineStr">
        <is>
          <t>Students observe and record findings using tools, fill tables with data, and analyze experiments, with optional collaboration mode.</t>
        </is>
      </c>
      <c r="G433" s="8" t="n"/>
      <c r="H433" s="8" t="n"/>
      <c r="I433" s="8" t="n"/>
      <c r="J433" s="8" t="n"/>
      <c r="K433" s="9" t="n"/>
      <c r="L433" s="9" t="n"/>
      <c r="M433" s="9" t="n"/>
      <c r="N433" s="9" t="n"/>
      <c r="O433" s="10" t="n"/>
      <c r="P433" s="10" t="n"/>
      <c r="Q433" s="10" t="n"/>
      <c r="R433" s="10" t="n"/>
      <c r="S433" s="10" t="n"/>
    </row>
    <row r="434" ht="274" customHeight="1">
      <c r="A434" s="6">
        <f>IFERROR(__xludf.DUMMYFUNCTION("""COMPUTED_VALUE"""),"Transcription and translation of DNA")</f>
        <v/>
      </c>
      <c r="B434" s="6">
        <f>IFERROR(__xludf.DUMMYFUNCTION("""COMPUTED_VALUE"""),"Resource")</f>
        <v/>
      </c>
      <c r="C434" s="6">
        <f>IFERROR(__xludf.DUMMYFUNCTION("""COMPUTED_VALUE"""),"Investigation 3.graasp")</f>
        <v/>
      </c>
      <c r="D434" s="7">
        <f>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
      </c>
      <c r="E434" s="7">
        <f>IFERROR(__xludf.DUMMYFUNCTION("""COMPUTED_VALUE"""),"No artifact embedded")</f>
        <v/>
      </c>
      <c r="F434" s="7" t="inlineStr">
        <is>
          <t>Students fill in a table on DNA transcription. Embedded artifacts include the Golabz app/lab with a table tool for data entry and visualization.</t>
        </is>
      </c>
      <c r="G434" s="8" t="n"/>
      <c r="H434" s="8" t="n"/>
      <c r="I434" s="8" t="n"/>
      <c r="J434" s="8" t="n"/>
      <c r="K434" s="9" t="n"/>
      <c r="L434" s="9" t="n"/>
      <c r="M434" s="9" t="n"/>
      <c r="N434" s="9" t="n"/>
      <c r="O434" s="10" t="n"/>
      <c r="P434" s="10" t="n"/>
      <c r="Q434" s="10" t="n"/>
      <c r="R434" s="10" t="n"/>
      <c r="S434" s="10" t="n"/>
    </row>
    <row r="435" ht="373" customHeight="1">
      <c r="A435" s="6">
        <f>IFERROR(__xludf.DUMMYFUNCTION("""COMPUTED_VALUE"""),"Transcription and translation of DNA")</f>
        <v/>
      </c>
      <c r="B435" s="6">
        <f>IFERROR(__xludf.DUMMYFUNCTION("""COMPUTED_VALUE"""),"Application")</f>
        <v/>
      </c>
      <c r="C435" s="6">
        <f>IFERROR(__xludf.DUMMYFUNCTION("""COMPUTED_VALUE"""),"Modeling Translation App")</f>
        <v/>
      </c>
      <c r="D435" s="7">
        <f>IFERROR(__xludf.DUMMYFUNCTION("""COMPUTED_VALUE"""),"No task description")</f>
        <v/>
      </c>
      <c r="E435" s="7">
        <f>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
      </c>
      <c r="F435" s="7" t="inlineStr">
        <is>
          <t>Students use Golabz app/lab to learn about protein synthesis and fill tables with data. Item2 involves a virtual lab simulation of translation process.</t>
        </is>
      </c>
      <c r="G435" s="8" t="n"/>
      <c r="H435" s="8" t="n"/>
      <c r="I435" s="8" t="n"/>
      <c r="J435" s="8" t="n"/>
      <c r="K435" s="9" t="n"/>
      <c r="L435" s="9" t="n"/>
      <c r="M435" s="9" t="n"/>
      <c r="N435" s="9" t="n"/>
      <c r="O435" s="10" t="n"/>
      <c r="P435" s="10" t="n"/>
      <c r="Q435" s="10" t="n"/>
      <c r="R435" s="10" t="n"/>
      <c r="S435" s="10" t="n"/>
    </row>
    <row r="436" ht="318" customHeight="1">
      <c r="A436" s="6">
        <f>IFERROR(__xludf.DUMMYFUNCTION("""COMPUTED_VALUE"""),"Transcription and translation of DNA")</f>
        <v/>
      </c>
      <c r="B436" s="6">
        <f>IFERROR(__xludf.DUMMYFUNCTION("""COMPUTED_VALUE"""),"Application")</f>
        <v/>
      </c>
      <c r="C436" s="6">
        <f>IFERROR(__xludf.DUMMYFUNCTION("""COMPUTED_VALUE"""),"Input Box")</f>
        <v/>
      </c>
      <c r="D436" s="7">
        <f>IFERROR(__xludf.DUMMYFUNCTION("""COMPUTED_VALUE"""),"&lt;p&gt;What is the end result of the procedure?&lt;/p&gt;")</f>
        <v/>
      </c>
      <c r="E4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36" s="7" t="inlineStr">
        <is>
          <t>Students are instructed to learn about protein synthesis and complete tasks using virtual labs and apps, with embedded artifacts including Golabz lab and input box app.</t>
        </is>
      </c>
      <c r="G436" s="8" t="n"/>
      <c r="H436" s="8" t="n"/>
      <c r="I436" s="8" t="n"/>
      <c r="J436" s="8" t="n"/>
      <c r="K436" s="9" t="n"/>
      <c r="L436" s="9" t="n"/>
      <c r="M436" s="9" t="n"/>
      <c r="N436" s="9" t="n"/>
      <c r="O436" s="10" t="n"/>
      <c r="P436" s="10" t="n"/>
      <c r="Q436" s="10" t="n"/>
      <c r="R436" s="10" t="n"/>
      <c r="S436" s="10" t="n"/>
    </row>
    <row r="437" ht="409.6" customHeight="1">
      <c r="A437" s="6">
        <f>IFERROR(__xludf.DUMMYFUNCTION("""COMPUTED_VALUE"""),"Transcription and translation of DNA")</f>
        <v/>
      </c>
      <c r="B437" s="6">
        <f>IFERROR(__xludf.DUMMYFUNCTION("""COMPUTED_VALUE"""),"Resource")</f>
        <v/>
      </c>
      <c r="C437" s="6">
        <f>IFERROR(__xludf.DUMMYFUNCTION("""COMPUTED_VALUE"""),"Investigation 4.graasp")</f>
        <v/>
      </c>
      <c r="D437" s="7">
        <f>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
      </c>
      <c r="E437" s="7">
        <f>IFERROR(__xludf.DUMMYFUNCTION("""COMPUTED_VALUE"""),"No artifact embedded")</f>
        <v/>
      </c>
      <c r="F437" s="7" t="inlineStr">
        <is>
          <t>Students learn about DNA, translation, and protein synthesis using Golabz app/lab and take notes in an input box.</t>
        </is>
      </c>
      <c r="G437" s="8" t="n"/>
      <c r="H437" s="8" t="n"/>
      <c r="I437" s="8" t="n"/>
      <c r="J437" s="8" t="n"/>
      <c r="K437" s="9" t="n"/>
      <c r="L437" s="9" t="n"/>
      <c r="M437" s="9" t="n"/>
      <c r="N437" s="9" t="n"/>
      <c r="O437" s="10" t="n"/>
      <c r="P437" s="10" t="n"/>
      <c r="Q437" s="10" t="n"/>
      <c r="R437" s="10" t="n"/>
      <c r="S437" s="10" t="n"/>
    </row>
    <row r="438" ht="109" customHeight="1">
      <c r="A438" s="6">
        <f>IFERROR(__xludf.DUMMYFUNCTION("""COMPUTED_VALUE"""),"Transcription and translation of DNA")</f>
        <v/>
      </c>
      <c r="B438" s="6">
        <f>IFERROR(__xludf.DUMMYFUNCTION("""COMPUTED_VALUE"""),"Space")</f>
        <v/>
      </c>
      <c r="C438" s="6">
        <f>IFERROR(__xludf.DUMMYFUNCTION("""COMPUTED_VALUE"""),"What have you learned today?")</f>
        <v/>
      </c>
      <c r="D438" s="7">
        <f>IFERROR(__xludf.DUMMYFUNCTION("""COMPUTED_VALUE"""),"&lt;p&gt;Welcome to the Conclusion phase.&lt;/p&gt;")</f>
        <v/>
      </c>
      <c r="E438" s="7">
        <f>IFERROR(__xludf.DUMMYFUNCTION("""COMPUTED_VALUE"""),"No artifact embedded")</f>
        <v/>
      </c>
      <c r="F438" s="7" t="inlineStr">
        <is>
          <t>Students received task descriptions with some items having embedded artifacts, such as the Golabz app/lab for note-taking and collaboration.</t>
        </is>
      </c>
      <c r="G438" s="8" t="n"/>
      <c r="H438" s="8" t="n"/>
      <c r="I438" s="8" t="n"/>
      <c r="J438" s="8" t="n"/>
      <c r="K438" s="9" t="n"/>
      <c r="L438" s="9" t="n"/>
      <c r="M438" s="9" t="n"/>
      <c r="N438" s="9" t="n"/>
      <c r="O438" s="10" t="n"/>
      <c r="P438" s="10" t="n"/>
      <c r="Q438" s="10" t="n"/>
      <c r="R438" s="10" t="n"/>
      <c r="S438" s="10" t="n"/>
    </row>
    <row r="439" ht="340" customHeight="1">
      <c r="A439" s="6">
        <f>IFERROR(__xludf.DUMMYFUNCTION("""COMPUTED_VALUE"""),"Transcription and translation of DNA")</f>
        <v/>
      </c>
      <c r="B439" s="6">
        <f>IFERROR(__xludf.DUMMYFUNCTION("""COMPUTED_VALUE"""),"Resource")</f>
        <v/>
      </c>
      <c r="C439" s="6">
        <f>IFERROR(__xludf.DUMMYFUNCTION("""COMPUTED_VALUE"""),"Conclusion.graasp")</f>
        <v/>
      </c>
      <c r="D439" s="7">
        <f>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
      </c>
      <c r="E439" s="7">
        <f>IFERROR(__xludf.DUMMYFUNCTION("""COMPUTED_VALUE"""),"No artifact embedded")</f>
        <v/>
      </c>
      <c r="F439" s="7" t="inlineStr">
        <is>
          <t>Students watched a virtual lab on DNA translation, learned about tRNA and rRNA, and are now asked to reflect on their learnings and write conclusions. No artifacts are embedded.</t>
        </is>
      </c>
      <c r="G439" s="8" t="n"/>
      <c r="H439" s="8" t="n"/>
      <c r="I439" s="8" t="n"/>
      <c r="J439" s="8" t="n"/>
      <c r="K439" s="9" t="n"/>
      <c r="L439" s="9" t="n"/>
      <c r="M439" s="9" t="n"/>
      <c r="N439" s="9" t="n"/>
      <c r="O439" s="10" t="n"/>
      <c r="P439" s="10" t="n"/>
      <c r="Q439" s="10" t="n"/>
      <c r="R439" s="10" t="n"/>
      <c r="S439" s="10" t="n"/>
    </row>
    <row r="440" ht="409.6" customHeight="1">
      <c r="A440" s="6">
        <f>IFERROR(__xludf.DUMMYFUNCTION("""COMPUTED_VALUE"""),"Transcription and translation of DNA")</f>
        <v/>
      </c>
      <c r="B440" s="6">
        <f>IFERROR(__xludf.DUMMYFUNCTION("""COMPUTED_VALUE"""),"Application")</f>
        <v/>
      </c>
      <c r="C440" s="6">
        <f>IFERROR(__xludf.DUMMYFUNCTION("""COMPUTED_VALUE"""),"Conclusion Tool")</f>
        <v/>
      </c>
      <c r="D440" s="7">
        <f>IFERROR(__xludf.DUMMYFUNCTION("""COMPUTED_VALUE"""),"No task description")</f>
        <v/>
      </c>
      <c r="E44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440" s="7" t="inlineStr">
        <is>
          <t>Students are instructed to write conclusions based on virtual lab observations. Embedded artifacts include Golabz app/lab for data analysis and hypothesis validation.</t>
        </is>
      </c>
      <c r="G440" s="8" t="n"/>
      <c r="H440" s="8" t="n"/>
      <c r="I440" s="8" t="n"/>
      <c r="J440" s="8" t="n"/>
      <c r="K440" s="9" t="n"/>
      <c r="L440" s="9" t="n"/>
      <c r="M440" s="9" t="n"/>
      <c r="N440" s="9" t="n"/>
      <c r="O440" s="10" t="n"/>
      <c r="P440" s="10" t="n"/>
      <c r="Q440" s="10" t="n"/>
      <c r="R440" s="10" t="n"/>
      <c r="S440" s="10" t="n"/>
    </row>
    <row r="441" ht="205" customHeight="1">
      <c r="A441" s="6">
        <f>IFERROR(__xludf.DUMMYFUNCTION("""COMPUTED_VALUE"""),"Transcription and translation of DNA")</f>
        <v/>
      </c>
      <c r="B441" s="6">
        <f>IFERROR(__xludf.DUMMYFUNCTION("""COMPUTED_VALUE"""),"Resource")</f>
        <v/>
      </c>
      <c r="C441" s="6">
        <f>IFERROR(__xludf.DUMMYFUNCTION("""COMPUTED_VALUE"""),"Conclusion1.graasp")</f>
        <v/>
      </c>
      <c r="D441" s="7">
        <f>IFERROR(__xludf.DUMMYFUNCTION("""COMPUTED_VALUE"""),"&lt;table class=""table table-bordered""&gt;&lt;tbody&gt;&lt;tr&gt;&lt;td&gt;&lt;p&gt;Now that the course has been completed, answer the following questions based on what you already know and what you have learned today.&lt;/p&gt;&lt;/td&gt;&lt;/tr&gt;&lt;/tbody&gt;&lt;/table&gt;")</f>
        <v/>
      </c>
      <c r="E441" s="7">
        <f>IFERROR(__xludf.DUMMYFUNCTION("""COMPUTED_VALUE"""),"No artifact embedded")</f>
        <v/>
      </c>
      <c r="F441" s="7" t="inlineStr">
        <is>
          <t>Students reflect on DNA transcription/translation learning using virtual labs, with some tasks having embedded artifacts like Golabz app/lab for hypothesis validation.</t>
        </is>
      </c>
      <c r="G441" s="8" t="n"/>
      <c r="H441" s="8" t="n"/>
      <c r="I441" s="8" t="n"/>
      <c r="J441" s="8" t="n"/>
      <c r="K441" s="9" t="n"/>
      <c r="L441" s="9" t="n"/>
      <c r="M441" s="9" t="n"/>
      <c r="N441" s="9" t="n"/>
      <c r="O441" s="10" t="n"/>
      <c r="P441" s="10" t="n"/>
      <c r="Q441" s="10" t="n"/>
      <c r="R441" s="10" t="n"/>
      <c r="S441" s="10" t="n"/>
    </row>
    <row r="442" ht="145" customHeight="1">
      <c r="A442" s="6">
        <f>IFERROR(__xludf.DUMMYFUNCTION("""COMPUTED_VALUE"""),"Transcription and translation of DNA")</f>
        <v/>
      </c>
      <c r="B442" s="6">
        <f>IFERROR(__xludf.DUMMYFUNCTION("""COMPUTED_VALUE"""),"Resource")</f>
        <v/>
      </c>
      <c r="C442" s="6">
        <f>IFERROR(__xludf.DUMMYFUNCTION("""COMPUTED_VALUE"""),"Untitled.png")</f>
        <v/>
      </c>
      <c r="D442" s="7">
        <f>IFERROR(__xludf.DUMMYFUNCTION("""COMPUTED_VALUE"""),"&lt;p&gt;1. The process we learned about today is also known as the 'Central Dogma of Molecular Biology'. Fill in the missing words 1 and 2 in the table below.&lt;/p&gt;")</f>
        <v/>
      </c>
      <c r="E442" s="7">
        <f>IFERROR(__xludf.DUMMYFUNCTION("""COMPUTED_VALUE"""),"image/png – A high-quality image with support for transparency, often used in design and web applications.")</f>
        <v/>
      </c>
      <c r="F442" s="7" t="inlineStr">
        <is>
          <t>Students received tasks with varying instructions and embedded artifacts, including an app, questions, and an image.</t>
        </is>
      </c>
      <c r="G442" s="8" t="n"/>
      <c r="H442" s="8" t="n"/>
      <c r="I442" s="8" t="n"/>
      <c r="J442" s="8" t="n"/>
      <c r="K442" s="9" t="n"/>
      <c r="L442" s="9" t="n"/>
      <c r="M442" s="9" t="n"/>
      <c r="N442" s="9" t="n"/>
      <c r="O442" s="10" t="n"/>
      <c r="P442" s="10" t="n"/>
      <c r="Q442" s="10" t="n"/>
      <c r="R442" s="10" t="n"/>
      <c r="S442" s="10" t="n"/>
    </row>
    <row r="443" ht="409.6" customHeight="1">
      <c r="A443" s="6">
        <f>IFERROR(__xludf.DUMMYFUNCTION("""COMPUTED_VALUE"""),"Transcription and translation of DNA")</f>
        <v/>
      </c>
      <c r="B443" s="6">
        <f>IFERROR(__xludf.DUMMYFUNCTION("""COMPUTED_VALUE"""),"Application")</f>
        <v/>
      </c>
      <c r="C443" s="6">
        <f>IFERROR(__xludf.DUMMYFUNCTION("""COMPUTED_VALUE"""),"Table Tool")</f>
        <v/>
      </c>
      <c r="D443" s="7">
        <f>IFERROR(__xludf.DUMMYFUNCTION("""COMPUTED_VALUE"""),"No task description")</f>
        <v/>
      </c>
      <c r="E44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43" s="7" t="inlineStr">
        <is>
          <t>Students complete tasks based on course knowledge. Embedded artifacts include an image and a table tool in the Golabz app/lab.</t>
        </is>
      </c>
      <c r="G443" s="8" t="n"/>
      <c r="H443" s="8" t="n"/>
      <c r="I443" s="8" t="n"/>
      <c r="J443" s="8" t="n"/>
      <c r="K443" s="9" t="n"/>
      <c r="L443" s="9" t="n"/>
      <c r="M443" s="9" t="n"/>
      <c r="N443" s="9" t="n"/>
      <c r="O443" s="10" t="n"/>
      <c r="P443" s="10" t="n"/>
      <c r="Q443" s="10" t="n"/>
      <c r="R443" s="10" t="n"/>
      <c r="S443" s="10" t="n"/>
    </row>
    <row r="444" ht="285" customHeight="1">
      <c r="A444" s="6">
        <f>IFERROR(__xludf.DUMMYFUNCTION("""COMPUTED_VALUE"""),"Transcription and translation of DNA")</f>
        <v/>
      </c>
      <c r="B444" s="6">
        <f>IFERROR(__xludf.DUMMYFUNCTION("""COMPUTED_VALUE"""),"Resource")</f>
        <v/>
      </c>
      <c r="C444" s="6">
        <f>IFERROR(__xludf.DUMMYFUNCTION("""COMPUTED_VALUE"""),"Conclusion2.graasp")</f>
        <v/>
      </c>
      <c r="D444" s="7">
        <f>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
      </c>
      <c r="E444" s="7">
        <f>IFERROR(__xludf.DUMMYFUNCTION("""COMPUTED_VALUE"""),"No artifact embedded")</f>
        <v/>
      </c>
      <c r="F444" s="7" t="inlineStr">
        <is>
          <t>Students fill tables and justify cell differentiation using the Central Dogma of Molecular Biology, with embedded images and interactive table tools.</t>
        </is>
      </c>
      <c r="G444" s="8" t="n"/>
      <c r="H444" s="8" t="n"/>
      <c r="I444" s="8" t="n"/>
      <c r="J444" s="8" t="n"/>
      <c r="K444" s="9" t="n"/>
      <c r="L444" s="9" t="n"/>
      <c r="M444" s="9" t="n"/>
      <c r="N444" s="9" t="n"/>
      <c r="O444" s="10" t="n"/>
      <c r="P444" s="10" t="n"/>
      <c r="Q444" s="10" t="n"/>
      <c r="R444" s="10" t="n"/>
      <c r="S444" s="10" t="n"/>
    </row>
    <row r="445" ht="318" customHeight="1">
      <c r="A445" s="6">
        <f>IFERROR(__xludf.DUMMYFUNCTION("""COMPUTED_VALUE"""),"Transcription and translation of DNA")</f>
        <v/>
      </c>
      <c r="B445" s="6">
        <f>IFERROR(__xludf.DUMMYFUNCTION("""COMPUTED_VALUE"""),"Application")</f>
        <v/>
      </c>
      <c r="C445" s="6">
        <f>IFERROR(__xludf.DUMMYFUNCTION("""COMPUTED_VALUE"""),"Input Box")</f>
        <v/>
      </c>
      <c r="D445" s="7">
        <f>IFERROR(__xludf.DUMMYFUNCTION("""COMPUTED_VALUE"""),"No task description")</f>
        <v/>
      </c>
      <c r="E4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45" s="7" t="inlineStr">
        <is>
          <t>Students receive task descriptions and use Golabz apps like Table tool and Input box with optional collaboration mode.</t>
        </is>
      </c>
      <c r="G445" s="8" t="n"/>
      <c r="H445" s="8" t="n"/>
      <c r="I445" s="8" t="n"/>
      <c r="J445" s="8" t="n"/>
      <c r="K445" s="9" t="n"/>
      <c r="L445" s="9" t="n"/>
      <c r="M445" s="9" t="n"/>
      <c r="N445" s="9" t="n"/>
      <c r="O445" s="10" t="n"/>
      <c r="P445" s="10" t="n"/>
      <c r="Q445" s="10" t="n"/>
      <c r="R445" s="10" t="n"/>
      <c r="S445" s="10" t="n"/>
    </row>
    <row r="446" ht="181" customHeight="1">
      <c r="A446" s="6">
        <f>IFERROR(__xludf.DUMMYFUNCTION("""COMPUTED_VALUE"""),"Transcription and translation of DNA")</f>
        <v/>
      </c>
      <c r="B446" s="6">
        <f>IFERROR(__xludf.DUMMYFUNCTION("""COMPUTED_VALUE"""),"Resource")</f>
        <v/>
      </c>
      <c r="C446" s="6">
        <f>IFERROR(__xludf.DUMMYFUNCTION("""COMPUTED_VALUE"""),"Conclusion3.graasp")</f>
        <v/>
      </c>
      <c r="D446" s="7">
        <f>IFERROR(__xludf.DUMMYFUNCTION("""COMPUTED_VALUE"""),"&lt;table class=""table table-bordered""&gt;&lt;tbody&gt;&lt;tr&gt;&lt;td&gt;&lt;p&gt;Congratulations, you have succeeded in completing the course! You can now proceed to the last phase of the course.&lt;/p&gt;&lt;/td&gt;&lt;/tr&gt;&lt;/tbody&gt;&lt;/table&gt;")</f>
        <v/>
      </c>
      <c r="E446" s="7">
        <f>IFERROR(__xludf.DUMMYFUNCTION("""COMPUTED_VALUE"""),"No artifact embedded")</f>
        <v/>
      </c>
      <c r="F446" s="7" t="inlineStr">
        <is>
          <t>Students are instructed to justify cellular differentiation using the central dogma. Embedded artifacts include a note-taking app and collaboration tool.</t>
        </is>
      </c>
      <c r="G446" s="8" t="n"/>
      <c r="H446" s="8" t="n"/>
      <c r="I446" s="8" t="n"/>
      <c r="J446" s="8" t="n"/>
      <c r="K446" s="9" t="n"/>
      <c r="L446" s="9" t="n"/>
      <c r="M446" s="9" t="n"/>
      <c r="N446" s="9" t="n"/>
      <c r="O446" s="10" t="n"/>
      <c r="P446" s="10" t="n"/>
      <c r="Q446" s="10" t="n"/>
      <c r="R446" s="10" t="n"/>
      <c r="S446" s="10" t="n"/>
    </row>
    <row r="447" ht="85" customHeight="1">
      <c r="A447" s="6">
        <f>IFERROR(__xludf.DUMMYFUNCTION("""COMPUTED_VALUE"""),"Transcription and translation of DNA")</f>
        <v/>
      </c>
      <c r="B447" s="6">
        <f>IFERROR(__xludf.DUMMYFUNCTION("""COMPUTED_VALUE"""),"Space")</f>
        <v/>
      </c>
      <c r="C447" s="6">
        <f>IFERROR(__xludf.DUMMYFUNCTION("""COMPUTED_VALUE"""),"Reflection")</f>
        <v/>
      </c>
      <c r="D447" s="7">
        <f>IFERROR(__xludf.DUMMYFUNCTION("""COMPUTED_VALUE"""),"&lt;p&gt;The phase of Reflection is the last phase of the lesson.&lt;/p&gt;")</f>
        <v/>
      </c>
      <c r="E447" s="7">
        <f>IFERROR(__xludf.DUMMYFUNCTION("""COMPUTED_VALUE"""),"No artifact embedded")</f>
        <v/>
      </c>
      <c r="F447" s="7" t="inlineStr">
        <is>
          <t>Students received tasks and used Golabz app/lab for note-taking, with optional collaboration mode.</t>
        </is>
      </c>
      <c r="G447" s="8" t="n"/>
      <c r="H447" s="8" t="n"/>
      <c r="I447" s="8" t="n"/>
      <c r="J447" s="8" t="n"/>
      <c r="K447" s="9" t="n"/>
      <c r="L447" s="9" t="n"/>
      <c r="M447" s="9" t="n"/>
      <c r="N447" s="9" t="n"/>
      <c r="O447" s="10" t="n"/>
      <c r="P447" s="10" t="n"/>
      <c r="Q447" s="10" t="n"/>
      <c r="R447" s="10" t="n"/>
      <c r="S447" s="10" t="n"/>
    </row>
    <row r="448" ht="285" customHeight="1">
      <c r="A448" s="6">
        <f>IFERROR(__xludf.DUMMYFUNCTION("""COMPUTED_VALUE"""),"Transcription and translation of DNA")</f>
        <v/>
      </c>
      <c r="B448" s="6">
        <f>IFERROR(__xludf.DUMMYFUNCTION("""COMPUTED_VALUE"""),"Resource")</f>
        <v/>
      </c>
      <c r="C448" s="6">
        <f>IFERROR(__xludf.DUMMYFUNCTION("""COMPUTED_VALUE"""),"Reflection.graasp")</f>
        <v/>
      </c>
      <c r="D448" s="7">
        <f>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
      </c>
      <c r="E448" s="7">
        <f>IFERROR(__xludf.DUMMYFUNCTION("""COMPUTED_VALUE"""),"No artifact embedded")</f>
        <v/>
      </c>
      <c r="F448" s="7" t="inlineStr">
        <is>
          <t>Students are instructed to reflect on course completion, with a 5-point agreement scale provided for evaluation, and no artifacts embedded in the items.</t>
        </is>
      </c>
      <c r="G448" s="8" t="n"/>
      <c r="H448" s="8" t="n"/>
      <c r="I448" s="8" t="n"/>
      <c r="J448" s="8" t="n"/>
      <c r="K448" s="9" t="n"/>
      <c r="L448" s="9" t="n"/>
      <c r="M448" s="9" t="n"/>
      <c r="N448" s="9" t="n"/>
      <c r="O448" s="10" t="n"/>
      <c r="P448" s="10" t="n"/>
      <c r="Q448" s="10" t="n"/>
      <c r="R448" s="10" t="n"/>
      <c r="S448" s="10" t="n"/>
    </row>
    <row r="449" ht="241" customHeight="1">
      <c r="A449" s="6">
        <f>IFERROR(__xludf.DUMMYFUNCTION("""COMPUTED_VALUE"""),"Transcription and translation of DNA")</f>
        <v/>
      </c>
      <c r="B449" s="6">
        <f>IFERROR(__xludf.DUMMYFUNCTION("""COMPUTED_VALUE"""),"Application")</f>
        <v/>
      </c>
      <c r="C449" s="6">
        <f>IFERROR(__xludf.DUMMYFUNCTION("""COMPUTED_VALUE"""),"New questionnaire app")</f>
        <v/>
      </c>
      <c r="D449" s="7">
        <f>IFERROR(__xludf.DUMMYFUNCTION("""COMPUTED_VALUE"""),"&lt;p&gt;Reflection&lt;/p&gt;")</f>
        <v/>
      </c>
      <c r="E44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449" s="7" t="inlineStr">
        <is>
          <t>Students reflect on statements using a 5-point scale; no artifacts are embedded in Items 1 and 2, while Item 3 uses the Golabz app/lab.</t>
        </is>
      </c>
      <c r="G449" s="8" t="n"/>
      <c r="H449" s="8" t="n"/>
      <c r="I449" s="8" t="n"/>
      <c r="J449" s="8" t="n"/>
      <c r="K449" s="9" t="n"/>
      <c r="L449" s="9" t="n"/>
      <c r="M449" s="9" t="n"/>
      <c r="N449" s="9" t="n"/>
      <c r="O449" s="10" t="n"/>
      <c r="P449" s="10" t="n"/>
      <c r="Q449" s="10" t="n"/>
      <c r="R449" s="10" t="n"/>
      <c r="S449" s="10" t="n"/>
    </row>
    <row r="450" ht="109" customHeight="1">
      <c r="A450" s="6">
        <f>IFERROR(__xludf.DUMMYFUNCTION("""COMPUTED_VALUE"""),"Scenario: Basic scenario")</f>
        <v/>
      </c>
      <c r="B450" s="6">
        <f>IFERROR(__xludf.DUMMYFUNCTION("""COMPUTED_VALUE"""),"Space")</f>
        <v/>
      </c>
      <c r="C450" s="6">
        <f>IFERROR(__xludf.DUMMYFUNCTION("""COMPUTED_VALUE"""),"Orientation")</f>
        <v/>
      </c>
      <c r="D450" s="7">
        <f>IFERROR(__xludf.DUMMYFUNCTION("""COMPUTED_VALUE"""),"&lt;p&gt;This is the Orientation phase.&lt;/p&gt;")</f>
        <v/>
      </c>
      <c r="E450" s="7">
        <f>IFERROR(__xludf.DUMMYFUNCTION("""COMPUTED_VALUE"""),"No artifact embedded")</f>
        <v/>
      </c>
      <c r="F450" s="7" t="inlineStr">
        <is>
          <t>Students reflect on statements using a 5-point scale. Embedded artifacts include Golabz app/lab with questionnaire features in Item2.</t>
        </is>
      </c>
      <c r="G450" s="8" t="n"/>
      <c r="H450" s="8" t="n"/>
      <c r="I450" s="8" t="n"/>
      <c r="J450" s="8" t="n"/>
      <c r="K450" s="9" t="n"/>
      <c r="L450" s="9" t="n"/>
      <c r="M450" s="9" t="n"/>
      <c r="N450" s="9" t="n"/>
      <c r="O450" s="10" t="n"/>
      <c r="P450" s="10" t="n"/>
      <c r="Q450" s="10" t="n"/>
      <c r="R450" s="10" t="n"/>
      <c r="S450" s="10" t="n"/>
    </row>
    <row r="451" ht="121" customHeight="1">
      <c r="A451" s="6">
        <f>IFERROR(__xludf.DUMMYFUNCTION("""COMPUTED_VALUE"""),"Scenario: Basic scenario")</f>
        <v/>
      </c>
      <c r="B451" s="6">
        <f>IFERROR(__xludf.DUMMYFUNCTION("""COMPUTED_VALUE"""),"Space")</f>
        <v/>
      </c>
      <c r="C451" s="6">
        <f>IFERROR(__xludf.DUMMYFUNCTION("""COMPUTED_VALUE"""),"Conceptualisation")</f>
        <v/>
      </c>
      <c r="D451" s="7">
        <f>IFERROR(__xludf.DUMMYFUNCTION("""COMPUTED_VALUE"""),"&lt;p&gt;This is the Conceptualisation phase.&lt;/p&gt;")</f>
        <v/>
      </c>
      <c r="E451" s="7">
        <f>IFERROR(__xludf.DUMMYFUNCTION("""COMPUTED_VALUE"""),"No artifact embedded")</f>
        <v/>
      </c>
      <c r="F451" s="7" t="inlineStr">
        <is>
          <t>Students received task descriptions for Reflection, Orientation, and Conceptualisation phases, with Golabz app/lab as an embedded artifact in Reflection.</t>
        </is>
      </c>
      <c r="G451" s="8" t="n"/>
      <c r="H451" s="8" t="n"/>
      <c r="I451" s="8" t="n"/>
      <c r="J451" s="8" t="n"/>
      <c r="K451" s="9" t="n"/>
      <c r="L451" s="9" t="n"/>
      <c r="M451" s="9" t="n"/>
      <c r="N451" s="9" t="n"/>
      <c r="O451" s="10" t="n"/>
      <c r="P451" s="10" t="n"/>
      <c r="Q451" s="10" t="n"/>
      <c r="R451" s="10" t="n"/>
      <c r="S451" s="10" t="n"/>
    </row>
    <row r="452" ht="133" customHeight="1">
      <c r="A452" s="6">
        <f>IFERROR(__xludf.DUMMYFUNCTION("""COMPUTED_VALUE"""),"Scenario: Basic scenario")</f>
        <v/>
      </c>
      <c r="B452" s="6">
        <f>IFERROR(__xludf.DUMMYFUNCTION("""COMPUTED_VALUE"""),"Space")</f>
        <v/>
      </c>
      <c r="C452" s="6">
        <f>IFERROR(__xludf.DUMMYFUNCTION("""COMPUTED_VALUE"""),"Investigation")</f>
        <v/>
      </c>
      <c r="D452" s="7">
        <f>IFERROR(__xludf.DUMMYFUNCTION("""COMPUTED_VALUE"""),"&lt;p&gt;This is the Investigation phase.&lt;/p&gt;")</f>
        <v/>
      </c>
      <c r="E452" s="7">
        <f>IFERROR(__xludf.DUMMYFUNCTION("""COMPUTED_VALUE"""),"No artifact embedded")</f>
        <v/>
      </c>
      <c r="F452" s="7" t="inlineStr">
        <is>
          <t>Students are instructed to complete three phases: Orientation, Conceptualisation, and Investigation. No artifacts are embedded in any phase.</t>
        </is>
      </c>
      <c r="G452" s="8" t="n"/>
      <c r="H452" s="8" t="n"/>
      <c r="I452" s="8" t="n"/>
      <c r="J452" s="8" t="n"/>
      <c r="K452" s="9" t="n"/>
      <c r="L452" s="9" t="n"/>
      <c r="M452" s="9" t="n"/>
      <c r="N452" s="9" t="n"/>
      <c r="O452" s="10" t="n"/>
      <c r="P452" s="10" t="n"/>
      <c r="Q452" s="10" t="n"/>
      <c r="R452" s="10" t="n"/>
      <c r="S452" s="10" t="n"/>
    </row>
    <row r="453" ht="97" customHeight="1">
      <c r="A453" s="6">
        <f>IFERROR(__xludf.DUMMYFUNCTION("""COMPUTED_VALUE"""),"Scenario: Basic scenario")</f>
        <v/>
      </c>
      <c r="B453" s="6">
        <f>IFERROR(__xludf.DUMMYFUNCTION("""COMPUTED_VALUE"""),"Space")</f>
        <v/>
      </c>
      <c r="C453" s="6">
        <f>IFERROR(__xludf.DUMMYFUNCTION("""COMPUTED_VALUE"""),"Conclusion")</f>
        <v/>
      </c>
      <c r="D453" s="7">
        <f>IFERROR(__xludf.DUMMYFUNCTION("""COMPUTED_VALUE"""),"&lt;p&gt;This is the Conclusion phase.&lt;/p&gt;")</f>
        <v/>
      </c>
      <c r="E453" s="7">
        <f>IFERROR(__xludf.DUMMYFUNCTION("""COMPUTED_VALUE"""),"No artifact embedded")</f>
        <v/>
      </c>
      <c r="F453" s="7" t="inlineStr">
        <is>
          <t>Students follow phases: Conceptualisation, Investigation, and Conclusion. No artifacts are embedded in any phase.</t>
        </is>
      </c>
      <c r="G453" s="8" t="n"/>
      <c r="H453" s="8" t="n"/>
      <c r="I453" s="8" t="n"/>
      <c r="J453" s="8" t="n"/>
      <c r="K453" s="9" t="n"/>
      <c r="L453" s="9" t="n"/>
      <c r="M453" s="9" t="n"/>
      <c r="N453" s="9" t="n"/>
      <c r="O453" s="10" t="n"/>
      <c r="P453" s="10" t="n"/>
      <c r="Q453" s="10" t="n"/>
      <c r="R453" s="10" t="n"/>
      <c r="S453" s="10" t="n"/>
    </row>
    <row r="454" ht="97" customHeight="1">
      <c r="A454" s="6">
        <f>IFERROR(__xludf.DUMMYFUNCTION("""COMPUTED_VALUE"""),"Scenario: Basic scenario")</f>
        <v/>
      </c>
      <c r="B454" s="6">
        <f>IFERROR(__xludf.DUMMYFUNCTION("""COMPUTED_VALUE"""),"Space")</f>
        <v/>
      </c>
      <c r="C454" s="6">
        <f>IFERROR(__xludf.DUMMYFUNCTION("""COMPUTED_VALUE"""),"Discussion")</f>
        <v/>
      </c>
      <c r="D454" s="7">
        <f>IFERROR(__xludf.DUMMYFUNCTION("""COMPUTED_VALUE"""),"&lt;p&gt;This is the Discussion phase.&lt;/p&gt;")</f>
        <v/>
      </c>
      <c r="E454" s="7">
        <f>IFERROR(__xludf.DUMMYFUNCTION("""COMPUTED_VALUE"""),"No artifact embedded")</f>
        <v/>
      </c>
      <c r="F454" s="7" t="inlineStr">
        <is>
          <t>Students are guided through Investigation, Conclusion, and Discussion phases with no artifacts embedded.</t>
        </is>
      </c>
      <c r="G454" s="8" t="n"/>
      <c r="H454" s="8" t="n"/>
      <c r="I454" s="8" t="n"/>
      <c r="J454" s="8" t="n"/>
      <c r="K454" s="9" t="n"/>
      <c r="L454" s="9" t="n"/>
      <c r="M454" s="9" t="n"/>
      <c r="N454" s="9" t="n"/>
      <c r="O454" s="10" t="n"/>
      <c r="P454" s="10" t="n"/>
      <c r="Q454" s="10" t="n"/>
      <c r="R454" s="10" t="n"/>
      <c r="S454" s="10" t="n"/>
    </row>
    <row r="455" ht="97" customHeight="1">
      <c r="A455" s="6">
        <f>IFERROR(__xludf.DUMMYFUNCTION("""COMPUTED_VALUE"""),"double quotes")</f>
        <v/>
      </c>
      <c r="B455" s="6">
        <f>IFERROR(__xludf.DUMMYFUNCTION("""COMPUTED_VALUE"""),"Space")</f>
        <v/>
      </c>
      <c r="C455" s="6">
        <f>IFERROR(__xludf.DUMMYFUNCTION("""COMPUTED_VALUE"""),"Orientation")</f>
        <v/>
      </c>
      <c r="D455" s="7">
        <f>IFERROR(__xludf.DUMMYFUNCTION("""COMPUTED_VALUE"""),"&lt;p&gt;This is the Orientation phase.&lt;/p&gt;")</f>
        <v/>
      </c>
      <c r="E455" s="7">
        <f>IFERROR(__xludf.DUMMYFUNCTION("""COMPUTED_VALUE"""),"No artifact embedded")</f>
        <v/>
      </c>
      <c r="F455" s="7" t="inlineStr">
        <is>
          <t>Students received instructions for three phases: Conclusion, Discussion, and Orientation, with no artifacts embedded.</t>
        </is>
      </c>
      <c r="G455" s="8" t="n"/>
      <c r="H455" s="8" t="n"/>
      <c r="I455" s="8" t="n"/>
      <c r="J455" s="8" t="n"/>
      <c r="K455" s="9" t="n"/>
      <c r="L455" s="9" t="n"/>
      <c r="M455" s="9" t="n"/>
      <c r="N455" s="9" t="n"/>
      <c r="O455" s="10" t="n"/>
      <c r="P455" s="10" t="n"/>
      <c r="Q455" s="10" t="n"/>
      <c r="R455" s="10" t="n"/>
      <c r="S455" s="10" t="n"/>
    </row>
    <row r="456" ht="97" customHeight="1">
      <c r="A456" s="6">
        <f>IFERROR(__xludf.DUMMYFUNCTION("""COMPUTED_VALUE"""),"double quotes")</f>
        <v/>
      </c>
      <c r="B456" s="6">
        <f>IFERROR(__xludf.DUMMYFUNCTION("""COMPUTED_VALUE"""),"Application")</f>
        <v/>
      </c>
      <c r="C456" s="6">
        <f>IFERROR(__xludf.DUMMYFUNCTION("""COMPUTED_VALUE"""),"res editor")</f>
        <v/>
      </c>
      <c r="D456" s="7">
        <f>IFERROR(__xludf.DUMMYFUNCTION("""COMPUTED_VALUE"""),"No task description")</f>
        <v/>
      </c>
      <c r="E456" s="7">
        <f>IFERROR(__xludf.DUMMYFUNCTION("""COMPUTED_VALUE"""),"Golabz app/lab: No description available for this application")</f>
        <v/>
      </c>
      <c r="F456" s="7" t="inlineStr">
        <is>
          <t>Students received instructions for Discussion, Orientation, and no task. Artifacts included none and the Golabz app/lab.</t>
        </is>
      </c>
      <c r="G456" s="8" t="n"/>
      <c r="H456" s="8" t="n"/>
      <c r="I456" s="8" t="n"/>
      <c r="J456" s="8" t="n"/>
      <c r="K456" s="9" t="n"/>
      <c r="L456" s="9" t="n"/>
      <c r="M456" s="9" t="n"/>
      <c r="N456" s="9" t="n"/>
      <c r="O456" s="10" t="n"/>
      <c r="P456" s="10" t="n"/>
      <c r="Q456" s="10" t="n"/>
      <c r="R456" s="10" t="n"/>
      <c r="S456" s="10" t="n"/>
    </row>
    <row r="457" ht="145" customHeight="1">
      <c r="A457" s="6">
        <f>IFERROR(__xludf.DUMMYFUNCTION("""COMPUTED_VALUE"""),"double quotes")</f>
        <v/>
      </c>
      <c r="B457" s="6">
        <f>IFERROR(__xludf.DUMMYFUNCTION("""COMPUTED_VALUE"""),"Space")</f>
        <v/>
      </c>
      <c r="C457" s="6">
        <f>IFERROR(__xludf.DUMMYFUNCTION("""COMPUTED_VALUE"""),"Conceptualisation")</f>
        <v/>
      </c>
      <c r="D457" s="7">
        <f>IFERROR(__xludf.DUMMYFUNCTION("""COMPUTED_VALUE"""),"&lt;p&gt;This is the Conceptualisation phase.&lt;/p&gt;")</f>
        <v/>
      </c>
      <c r="E457" s="7">
        <f>IFERROR(__xludf.DUMMYFUNCTION("""COMPUTED_VALUE"""),"No artifact embedded")</f>
        <v/>
      </c>
      <c r="F457" s="7" t="inlineStr">
        <is>
          <t>Students received task descriptions for Orientation and Conceptualisation phases, with no artifacts embedded in Items 1 and 3, while Item 2 had an unspecified Golabz app/lab.</t>
        </is>
      </c>
      <c r="G457" s="8" t="n"/>
      <c r="H457" s="8" t="n"/>
      <c r="I457" s="8" t="n"/>
      <c r="J457" s="8" t="n"/>
      <c r="K457" s="9" t="n"/>
      <c r="L457" s="9" t="n"/>
      <c r="M457" s="9" t="n"/>
      <c r="N457" s="9" t="n"/>
      <c r="O457" s="10" t="n"/>
      <c r="P457" s="10" t="n"/>
      <c r="Q457" s="10" t="n"/>
      <c r="R457" s="10" t="n"/>
      <c r="S457" s="10" t="n"/>
    </row>
    <row r="458" ht="409.6" customHeight="1">
      <c r="A458" s="6">
        <f>IFERROR(__xludf.DUMMYFUNCTION("""COMPUTED_VALUE"""),"double quotes")</f>
        <v/>
      </c>
      <c r="B458" s="6">
        <f>IFERROR(__xludf.DUMMYFUNCTION("""COMPUTED_VALUE"""),"Application")</f>
        <v/>
      </c>
      <c r="C458" s="6">
        <f>IFERROR(__xludf.DUMMYFUNCTION("""COMPUTED_VALUE"""),"report")</f>
        <v/>
      </c>
      <c r="D458" s="7">
        <f>IFERROR(__xludf.DUMMYFUNCTION("""COMPUTED_VALUE"""),"No task description")</f>
        <v/>
      </c>
      <c r="E458"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458" s="7" t="inlineStr">
        <is>
          <t>Students were given tasks with varying levels of description and embedded artifacts, including a Golabz app/lab with a report tool for creating final reports.</t>
        </is>
      </c>
      <c r="G458" s="8" t="n"/>
      <c r="H458" s="8" t="n"/>
      <c r="I458" s="8" t="n"/>
      <c r="J458" s="8" t="n"/>
      <c r="K458" s="9" t="n"/>
      <c r="L458" s="9" t="n"/>
      <c r="M458" s="9" t="n"/>
      <c r="N458" s="9" t="n"/>
      <c r="O458" s="10" t="n"/>
      <c r="P458" s="10" t="n"/>
      <c r="Q458" s="10" t="n"/>
      <c r="R458" s="10" t="n"/>
      <c r="S458" s="10" t="n"/>
    </row>
    <row r="459" ht="157" customHeight="1">
      <c r="A459" s="6">
        <f>IFERROR(__xludf.DUMMYFUNCTION("""COMPUTED_VALUE"""),"double quotes")</f>
        <v/>
      </c>
      <c r="B459" s="6">
        <f>IFERROR(__xludf.DUMMYFUNCTION("""COMPUTED_VALUE"""),"Space")</f>
        <v/>
      </c>
      <c r="C459" s="6">
        <f>IFERROR(__xludf.DUMMYFUNCTION("""COMPUTED_VALUE"""),"Investigation")</f>
        <v/>
      </c>
      <c r="D459" s="7">
        <f>IFERROR(__xludf.DUMMYFUNCTION("""COMPUTED_VALUE"""),"&lt;p&gt;This is the Investigation phase.&lt;/p&gt;")</f>
        <v/>
      </c>
      <c r="E459" s="7">
        <f>IFERROR(__xludf.DUMMYFUNCTION("""COMPUTED_VALUE"""),"No artifact embedded")</f>
        <v/>
      </c>
      <c r="F459" s="7" t="inlineStr">
        <is>
          <t>Students receive task descriptions for Conceptualisation and Investigation phases with no artifacts embedded, except for Item2 which describes the Golabz app/lab report tool.</t>
        </is>
      </c>
      <c r="G459" s="8" t="n"/>
      <c r="H459" s="8" t="n"/>
      <c r="I459" s="8" t="n"/>
      <c r="J459" s="8" t="n"/>
      <c r="K459" s="9" t="n"/>
      <c r="L459" s="9" t="n"/>
      <c r="M459" s="9" t="n"/>
      <c r="N459" s="9" t="n"/>
      <c r="O459" s="10" t="n"/>
      <c r="P459" s="10" t="n"/>
      <c r="Q459" s="10" t="n"/>
      <c r="R459" s="10" t="n"/>
      <c r="S459" s="10" t="n"/>
    </row>
    <row r="460" ht="109" customHeight="1">
      <c r="A460" s="6">
        <f>IFERROR(__xludf.DUMMYFUNCTION("""COMPUTED_VALUE"""),"double quotes")</f>
        <v/>
      </c>
      <c r="B460" s="6">
        <f>IFERROR(__xludf.DUMMYFUNCTION("""COMPUTED_VALUE"""),"Space")</f>
        <v/>
      </c>
      <c r="C460" s="6">
        <f>IFERROR(__xludf.DUMMYFUNCTION("""COMPUTED_VALUE"""),"Conclusion")</f>
        <v/>
      </c>
      <c r="D460" s="7">
        <f>IFERROR(__xludf.DUMMYFUNCTION("""COMPUTED_VALUE"""),"&lt;p&gt;This is the Conclusion phase.&lt;/p&gt;")</f>
        <v/>
      </c>
      <c r="E460" s="7">
        <f>IFERROR(__xludf.DUMMYFUNCTION("""COMPUTED_VALUE"""),"No artifact embedded")</f>
        <v/>
      </c>
      <c r="F460" s="7" t="inlineStr">
        <is>
          <t>Students are given tasks with descriptions and access to Golabz app/lab for creating reports, with configuration options available for teachers.</t>
        </is>
      </c>
      <c r="G460" s="8" t="n"/>
      <c r="H460" s="8" t="n"/>
      <c r="I460" s="8" t="n"/>
      <c r="J460" s="8" t="n"/>
      <c r="K460" s="9" t="n"/>
      <c r="L460" s="9" t="n"/>
      <c r="M460" s="9" t="n"/>
      <c r="N460" s="9" t="n"/>
      <c r="O460" s="10" t="n"/>
      <c r="P460" s="10" t="n"/>
      <c r="Q460" s="10" t="n"/>
      <c r="R460" s="10" t="n"/>
      <c r="S460" s="10" t="n"/>
    </row>
    <row r="461" ht="97" customHeight="1">
      <c r="A461" s="6">
        <f>IFERROR(__xludf.DUMMYFUNCTION("""COMPUTED_VALUE"""),"˝ Otkrivanje ˝ Arhimedovog zakona (1)")</f>
        <v/>
      </c>
      <c r="B461" s="6">
        <f>IFERROR(__xludf.DUMMYFUNCTION("""COMPUTED_VALUE"""),"Space")</f>
        <v/>
      </c>
      <c r="C461" s="6">
        <f>IFERROR(__xludf.DUMMYFUNCTION("""COMPUTED_VALUE"""),"Orientation")</f>
        <v/>
      </c>
      <c r="D461" s="7">
        <f>IFERROR(__xludf.DUMMYFUNCTION("""COMPUTED_VALUE"""),"&lt;p&gt;This is the Orientation phase.&lt;/p&gt;")</f>
        <v/>
      </c>
      <c r="E461" s="7">
        <f>IFERROR(__xludf.DUMMYFUNCTION("""COMPUTED_VALUE"""),"No artifact embedded")</f>
        <v/>
      </c>
      <c r="F461" s="7" t="inlineStr">
        <is>
          <t>Students received task descriptions for Investigation, Conclusion, and Orientation phases with no embedded artifacts.</t>
        </is>
      </c>
      <c r="G461" s="8" t="n"/>
      <c r="H461" s="8" t="n"/>
      <c r="I461" s="8" t="n"/>
      <c r="J461" s="8" t="n"/>
      <c r="K461" s="9" t="n"/>
      <c r="L461" s="9" t="n"/>
      <c r="M461" s="9" t="n"/>
      <c r="N461" s="9" t="n"/>
      <c r="O461" s="10" t="n"/>
      <c r="P461" s="10" t="n"/>
      <c r="Q461" s="10" t="n"/>
      <c r="R461" s="10" t="n"/>
      <c r="S461" s="10" t="n"/>
    </row>
    <row r="462" ht="274" customHeight="1">
      <c r="A462" s="6">
        <f>IFERROR(__xludf.DUMMYFUNCTION("""COMPUTED_VALUE"""),"˝ Otkrivanje ˝ Arhimedovog zakona (1)")</f>
        <v/>
      </c>
      <c r="B462" s="6">
        <f>IFERROR(__xludf.DUMMYFUNCTION("""COMPUTED_VALUE"""),"Resource")</f>
        <v/>
      </c>
      <c r="C462" s="6">
        <f>IFERROR(__xludf.DUMMYFUNCTION("""COMPUTED_VALUE"""),"The Golden Crown (Introduction)")</f>
        <v/>
      </c>
      <c r="D462" s="7">
        <f>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
      </c>
      <c r="E462" s="7">
        <f>IFERROR(__xludf.DUMMYFUNCTION("""COMPUTED_VALUE"""),"Artifact from math.nyu.edu: New York University's mathematics department site, offering resources like explorations of Archimedes' principles.")</f>
        <v/>
      </c>
      <c r="F462" s="7" t="inlineStr">
        <is>
          <t>Students receive task descriptions for Conclusion, Orientation, and a problem about Archimedes. Artifacts are embedded in the third item, from NYU's math department website.</t>
        </is>
      </c>
      <c r="G462" s="8" t="n"/>
      <c r="H462" s="8" t="n"/>
      <c r="I462" s="8" t="n"/>
      <c r="J462" s="8" t="n"/>
      <c r="K462" s="9" t="n"/>
      <c r="L462" s="9" t="n"/>
      <c r="M462" s="9" t="n"/>
      <c r="N462" s="9" t="n"/>
      <c r="O462" s="10" t="n"/>
      <c r="P462" s="10" t="n"/>
      <c r="Q462" s="10" t="n"/>
      <c r="R462" s="10" t="n"/>
      <c r="S462" s="10" t="n"/>
    </row>
    <row r="463" ht="97" customHeight="1">
      <c r="A463" s="6">
        <f>IFERROR(__xludf.DUMMYFUNCTION("""COMPUTED_VALUE"""),"˝ Otkrivanje ˝ Arhimedovog zakona (1)")</f>
        <v/>
      </c>
      <c r="B463" s="6">
        <f>IFERROR(__xludf.DUMMYFUNCTION("""COMPUTED_VALUE"""),"Space")</f>
        <v/>
      </c>
      <c r="C463" s="6">
        <f>IFERROR(__xludf.DUMMYFUNCTION("""COMPUTED_VALUE"""),"Conceptualisation")</f>
        <v/>
      </c>
      <c r="D463" s="7">
        <f>IFERROR(__xludf.DUMMYFUNCTION("""COMPUTED_VALUE"""),"&lt;p&gt;This is the Conceptualisation phase.&lt;/p&gt;")</f>
        <v/>
      </c>
      <c r="E463" s="7">
        <f>IFERROR(__xludf.DUMMYFUNCTION("""COMPUTED_VALUE"""),"No artifact embedded")</f>
        <v/>
      </c>
      <c r="F463" s="7" t="inlineStr">
        <is>
          <t>Students are guided through phases with some items containing artifacts, such as a math resource from NYU.</t>
        </is>
      </c>
      <c r="G463" s="8" t="n"/>
      <c r="H463" s="8" t="n"/>
      <c r="I463" s="8" t="n"/>
      <c r="J463" s="8" t="n"/>
      <c r="K463" s="9" t="n"/>
      <c r="L463" s="9" t="n"/>
      <c r="M463" s="9" t="n"/>
      <c r="N463" s="9" t="n"/>
      <c r="O463" s="10" t="n"/>
      <c r="P463" s="10" t="n"/>
      <c r="Q463" s="10" t="n"/>
      <c r="R463" s="10" t="n"/>
      <c r="S463" s="10" t="n"/>
    </row>
    <row r="464" ht="85" customHeight="1">
      <c r="A464" s="6">
        <f>IFERROR(__xludf.DUMMYFUNCTION("""COMPUTED_VALUE"""),"˝ Otkrivanje ˝ Arhimedovog zakona (1)")</f>
        <v/>
      </c>
      <c r="B464" s="6">
        <f>IFERROR(__xludf.DUMMYFUNCTION("""COMPUTED_VALUE"""),"Resource")</f>
        <v/>
      </c>
      <c r="C464" s="6">
        <f>IFERROR(__xludf.DUMMYFUNCTION("""COMPUTED_VALUE"""),"dissplacemet[1].gif")</f>
        <v/>
      </c>
      <c r="D464" s="7">
        <f>IFERROR(__xludf.DUMMYFUNCTION("""COMPUTED_VALUE"""),"No task description")</f>
        <v/>
      </c>
      <c r="E464" s="7">
        <f>IFERROR(__xludf.DUMMYFUNCTION("""COMPUTED_VALUE"""),"image/gif – An animated or static graphic using the GIF format, often seen in memes and web animations.")</f>
        <v/>
      </c>
      <c r="F464" s="7" t="inlineStr">
        <is>
          <t>Students are given tasks with artifacts, including a math resource from NYU and a GIF image.</t>
        </is>
      </c>
      <c r="G464" s="8" t="n"/>
      <c r="H464" s="8" t="n"/>
      <c r="I464" s="8" t="n"/>
      <c r="J464" s="8" t="n"/>
      <c r="K464" s="9" t="n"/>
      <c r="L464" s="9" t="n"/>
      <c r="M464" s="9" t="n"/>
      <c r="N464" s="9" t="n"/>
      <c r="O464" s="10" t="n"/>
      <c r="P464" s="10" t="n"/>
      <c r="Q464" s="10" t="n"/>
      <c r="R464" s="10" t="n"/>
      <c r="S464" s="10" t="n"/>
    </row>
    <row r="465" ht="409.6" customHeight="1">
      <c r="A465" s="6">
        <f>IFERROR(__xludf.DUMMYFUNCTION("""COMPUTED_VALUE"""),"˝ Otkrivanje ˝ Arhimedovog zakona (1)")</f>
        <v/>
      </c>
      <c r="B465" s="6">
        <f>IFERROR(__xludf.DUMMYFUNCTION("""COMPUTED_VALUE"""),"Application")</f>
        <v/>
      </c>
      <c r="C465" s="6">
        <f>IFERROR(__xludf.DUMMYFUNCTION("""COMPUTED_VALUE"""),"Experiment Design Tool")</f>
        <v/>
      </c>
      <c r="D465" s="7">
        <f>IFERROR(__xludf.DUMMYFUNCTION("""COMPUTED_VALUE"""),"No task description")</f>
        <v/>
      </c>
      <c r="E465"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5" s="7" t="inlineStr">
        <is>
          <t>Students were given no task descriptions for Items 2 and 3. Embedded artifacts include a GIF image and the Experiment Design Tool (EDT) app.</t>
        </is>
      </c>
      <c r="G465" s="8" t="n"/>
      <c r="H465" s="8" t="n"/>
      <c r="I465" s="8" t="n"/>
      <c r="J465" s="8" t="n"/>
      <c r="K465" s="9" t="n"/>
      <c r="L465" s="9" t="n"/>
      <c r="M465" s="9" t="n"/>
      <c r="N465" s="9" t="n"/>
      <c r="O465" s="10" t="n"/>
      <c r="P465" s="10" t="n"/>
      <c r="Q465" s="10" t="n"/>
      <c r="R465" s="10" t="n"/>
      <c r="S465" s="10" t="n"/>
    </row>
    <row r="466" ht="109" customHeight="1">
      <c r="A466" s="6">
        <f>IFERROR(__xludf.DUMMYFUNCTION("""COMPUTED_VALUE"""),"˝ Otkrivanje ˝ Arhimedovog zakona (1)")</f>
        <v/>
      </c>
      <c r="B466" s="6">
        <f>IFERROR(__xludf.DUMMYFUNCTION("""COMPUTED_VALUE"""),"Space")</f>
        <v/>
      </c>
      <c r="C466" s="6">
        <f>IFERROR(__xludf.DUMMYFUNCTION("""COMPUTED_VALUE"""),"Investigation")</f>
        <v/>
      </c>
      <c r="D466" s="7">
        <f>IFERROR(__xludf.DUMMYFUNCTION("""COMPUTED_VALUE"""),"&lt;p&gt;This is the Investigation phase.&lt;/p&gt;")</f>
        <v/>
      </c>
      <c r="E466" s="7">
        <f>IFERROR(__xludf.DUMMYFUNCTION("""COMPUTED_VALUE"""),"No artifact embedded")</f>
        <v/>
      </c>
      <c r="F466" s="7" t="inlineStr">
        <is>
          <t>No task descriptions are provided for Items 1 and 2. Artifacts include a GIF image and the Experiment Design Tool (EDT) app.</t>
        </is>
      </c>
      <c r="G466" s="8" t="n"/>
      <c r="H466" s="8" t="n"/>
      <c r="I466" s="8" t="n"/>
      <c r="J466" s="8" t="n"/>
      <c r="K466" s="9" t="n"/>
      <c r="L466" s="9" t="n"/>
      <c r="M466" s="9" t="n"/>
      <c r="N466" s="9" t="n"/>
      <c r="O466" s="10" t="n"/>
      <c r="P466" s="10" t="n"/>
      <c r="Q466" s="10" t="n"/>
      <c r="R466" s="10" t="n"/>
      <c r="S466" s="10" t="n"/>
    </row>
    <row r="467" ht="373" customHeight="1">
      <c r="A467" s="6">
        <f>IFERROR(__xludf.DUMMYFUNCTION("""COMPUTED_VALUE"""),"˝ Otkrivanje ˝ Arhimedovog zakona (1)")</f>
        <v/>
      </c>
      <c r="B467" s="6">
        <f>IFERROR(__xludf.DUMMYFUNCTION("""COMPUTED_VALUE"""),"Application")</f>
        <v/>
      </c>
      <c r="C467" s="6">
        <f>IFERROR(__xludf.DUMMYFUNCTION("""COMPUTED_VALUE"""),"Splash app")</f>
        <v/>
      </c>
      <c r="D467" s="7">
        <f>IFERROR(__xludf.DUMMYFUNCTION("""COMPUTED_VALUE"""),"No task description")</f>
        <v/>
      </c>
      <c r="E467" s="7">
        <f>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
      </c>
      <c r="F467" s="7" t="inlineStr">
        <is>
          <t>Students were given tasks with embedded labs: EDT for experiment design and Splash for exploring object properties and fluid density.</t>
        </is>
      </c>
      <c r="G467" s="8" t="n"/>
      <c r="H467" s="8" t="n"/>
      <c r="I467" s="8" t="n"/>
      <c r="J467" s="8" t="n"/>
      <c r="K467" s="9" t="n"/>
      <c r="L467" s="9" t="n"/>
      <c r="M467" s="9" t="n"/>
      <c r="N467" s="9" t="n"/>
      <c r="O467" s="10" t="n"/>
      <c r="P467" s="10" t="n"/>
      <c r="Q467" s="10" t="n"/>
      <c r="R467" s="10" t="n"/>
      <c r="S467" s="10" t="n"/>
    </row>
    <row r="468" ht="409.6" customHeight="1">
      <c r="A468" s="6">
        <f>IFERROR(__xludf.DUMMYFUNCTION("""COMPUTED_VALUE"""),"˝ Otkrivanje ˝ Arhimedovog zakona (1)")</f>
        <v/>
      </c>
      <c r="B468" s="6">
        <f>IFERROR(__xludf.DUMMYFUNCTION("""COMPUTED_VALUE"""),"Application")</f>
        <v/>
      </c>
      <c r="C468" s="6">
        <f>IFERROR(__xludf.DUMMYFUNCTION("""COMPUTED_VALUE"""),"Table tool")</f>
        <v/>
      </c>
      <c r="D468" s="7">
        <f>IFERROR(__xludf.DUMMYFUNCTION("""COMPUTED_VALUE"""),"No task description")</f>
        <v/>
      </c>
      <c r="E46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68" s="7" t="inlineStr">
        <is>
          <t>Students investigate object properties and fluid density using Golabz apps, with tasks including creating objects and measuring fluid displacement.</t>
        </is>
      </c>
      <c r="G468" s="8" t="n"/>
      <c r="H468" s="8" t="n"/>
      <c r="I468" s="8" t="n"/>
      <c r="J468" s="8" t="n"/>
      <c r="K468" s="9" t="n"/>
      <c r="L468" s="9" t="n"/>
      <c r="M468" s="9" t="n"/>
      <c r="N468" s="9" t="n"/>
      <c r="O468" s="10" t="n"/>
      <c r="P468" s="10" t="n"/>
      <c r="Q468" s="10" t="n"/>
      <c r="R468" s="10" t="n"/>
      <c r="S468" s="10" t="n"/>
    </row>
    <row r="469" ht="409.6" customHeight="1">
      <c r="A469" s="6">
        <f>IFERROR(__xludf.DUMMYFUNCTION("""COMPUTED_VALUE"""),"˝ Otkrivanje ˝ Arhimedovog zakona (1)")</f>
        <v/>
      </c>
      <c r="B469" s="6">
        <f>IFERROR(__xludf.DUMMYFUNCTION("""COMPUTED_VALUE"""),"Application")</f>
        <v/>
      </c>
      <c r="C469" s="6">
        <f>IFERROR(__xludf.DUMMYFUNCTION("""COMPUTED_VALUE"""),"Experiment Design Tool")</f>
        <v/>
      </c>
      <c r="D469" s="7">
        <f>IFERROR(__xludf.DUMMYFUNCTION("""COMPUTED_VALUE"""),"No task description")</f>
        <v/>
      </c>
      <c r="E46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9" s="7" t="inlineStr">
        <is>
          <t>No task descriptions. Embedded artifacts include Golabz apps for interactive science experiments and data analysis tools.</t>
        </is>
      </c>
      <c r="G469" s="8" t="n"/>
      <c r="H469" s="8" t="n"/>
      <c r="I469" s="8" t="n"/>
      <c r="J469" s="8" t="n"/>
      <c r="K469" s="9" t="n"/>
      <c r="L469" s="9" t="n"/>
      <c r="M469" s="9" t="n"/>
      <c r="N469" s="9" t="n"/>
      <c r="O469" s="10" t="n"/>
      <c r="P469" s="10" t="n"/>
      <c r="Q469" s="10" t="n"/>
      <c r="R469" s="10" t="n"/>
      <c r="S469" s="10" t="n"/>
    </row>
    <row r="470" ht="109" customHeight="1">
      <c r="A470" s="6">
        <f>IFERROR(__xludf.DUMMYFUNCTION("""COMPUTED_VALUE"""),"˝ Otkrivanje ˝ Arhimedovog zakona (1)")</f>
        <v/>
      </c>
      <c r="B470" s="6">
        <f>IFERROR(__xludf.DUMMYFUNCTION("""COMPUTED_VALUE"""),"Application")</f>
        <v/>
      </c>
      <c r="C470" s="6">
        <f>IFERROR(__xludf.DUMMYFUNCTION("""COMPUTED_VALUE"""),"Laboratory")</f>
        <v/>
      </c>
      <c r="D470" s="7">
        <f>IFERROR(__xludf.DUMMYFUNCTION("""COMPUTED_VALUE"""),"No task description")</f>
        <v/>
      </c>
      <c r="E470" s="7">
        <f>IFERROR(__xludf.DUMMYFUNCTION("""COMPUTED_VALUE"""),"Golabz app/lab: No description available for this online lab")</f>
        <v/>
      </c>
      <c r="F470" s="7" t="inlineStr">
        <is>
          <t>No task descriptions provided. Embedded artifacts describe Golabz apps for data entry and experiment design.</t>
        </is>
      </c>
      <c r="G470" s="8" t="n"/>
      <c r="H470" s="8" t="n"/>
      <c r="I470" s="8" t="n"/>
      <c r="J470" s="8" t="n"/>
      <c r="K470" s="9" t="n"/>
      <c r="L470" s="9" t="n"/>
      <c r="M470" s="9" t="n"/>
      <c r="N470" s="9" t="n"/>
      <c r="O470" s="10" t="n"/>
      <c r="P470" s="10" t="n"/>
      <c r="Q470" s="10" t="n"/>
      <c r="R470" s="10" t="n"/>
      <c r="S470" s="10" t="n"/>
    </row>
    <row r="471" ht="97" customHeight="1">
      <c r="A471" s="6">
        <f>IFERROR(__xludf.DUMMYFUNCTION("""COMPUTED_VALUE"""),"˝ Otkrivanje ˝ Arhimedovog zakona (1)")</f>
        <v/>
      </c>
      <c r="B471" s="6">
        <f>IFERROR(__xludf.DUMMYFUNCTION("""COMPUTED_VALUE"""),"Space")</f>
        <v/>
      </c>
      <c r="C471" s="6">
        <f>IFERROR(__xludf.DUMMYFUNCTION("""COMPUTED_VALUE"""),"Conclusion")</f>
        <v/>
      </c>
      <c r="D471" s="7">
        <f>IFERROR(__xludf.DUMMYFUNCTION("""COMPUTED_VALUE"""),"&lt;p&gt;This is the Conclusion phase.&lt;/p&gt;")</f>
        <v/>
      </c>
      <c r="E471" s="7">
        <f>IFERROR(__xludf.DUMMYFUNCTION("""COMPUTED_VALUE"""),"No artifact embedded")</f>
        <v/>
      </c>
      <c r="F471" s="7" t="inlineStr">
        <is>
          <t>No task descriptions are provided, but Items 1 and 2 include Golabz app/lab with an Experiment Design Tool.</t>
        </is>
      </c>
      <c r="G471" s="8" t="n"/>
      <c r="H471" s="8" t="n"/>
      <c r="I471" s="8" t="n"/>
      <c r="J471" s="8" t="n"/>
      <c r="K471" s="9" t="n"/>
      <c r="L471" s="9" t="n"/>
      <c r="M471" s="9" t="n"/>
      <c r="N471" s="9" t="n"/>
      <c r="O471" s="10" t="n"/>
      <c r="P471" s="10" t="n"/>
      <c r="Q471" s="10" t="n"/>
      <c r="R471" s="10" t="n"/>
      <c r="S471" s="10" t="n"/>
    </row>
    <row r="472" ht="109" customHeight="1">
      <c r="A472" s="6">
        <f>IFERROR(__xludf.DUMMYFUNCTION("""COMPUTED_VALUE"""),"˝ Otkrivanje ˝ Arhimedovog zakona (1)")</f>
        <v/>
      </c>
      <c r="B472" s="6">
        <f>IFERROR(__xludf.DUMMYFUNCTION("""COMPUTED_VALUE"""),"Space")</f>
        <v/>
      </c>
      <c r="C472" s="6">
        <f>IFERROR(__xludf.DUMMYFUNCTION("""COMPUTED_VALUE"""),"Discussion")</f>
        <v/>
      </c>
      <c r="D472" s="7">
        <f>IFERROR(__xludf.DUMMYFUNCTION("""COMPUTED_VALUE"""),"&lt;p&gt;This is the Discussion phase.&lt;/p&gt;")</f>
        <v/>
      </c>
      <c r="E472" s="7">
        <f>IFERROR(__xludf.DUMMYFUNCTION("""COMPUTED_VALUE"""),"No artifact embedded")</f>
        <v/>
      </c>
      <c r="F472" s="7" t="inlineStr">
        <is>
          <t>Students received task descriptions and embedded artifacts for three items, including a lab app, conclusion, and discussion phases.</t>
        </is>
      </c>
      <c r="G472" s="8" t="n"/>
      <c r="H472" s="8" t="n"/>
      <c r="I472" s="8" t="n"/>
      <c r="J472" s="8" t="n"/>
      <c r="K472" s="9" t="n"/>
      <c r="L472" s="9" t="n"/>
      <c r="M472" s="9" t="n"/>
      <c r="N472" s="9" t="n"/>
      <c r="O472" s="10" t="n"/>
      <c r="P472" s="10" t="n"/>
      <c r="Q472" s="10" t="n"/>
      <c r="R472" s="10" t="n"/>
      <c r="S472" s="10" t="n"/>
    </row>
    <row r="473" ht="97" customHeight="1">
      <c r="A473" s="6">
        <f>IFERROR(__xludf.DUMMYFUNCTION("""COMPUTED_VALUE"""),"Tsedey")</f>
        <v/>
      </c>
      <c r="B473" s="6">
        <f>IFERROR(__xludf.DUMMYFUNCTION("""COMPUTED_VALUE"""),"Space")</f>
        <v/>
      </c>
      <c r="C473" s="6">
        <f>IFERROR(__xludf.DUMMYFUNCTION("""COMPUTED_VALUE"""),"Orientation")</f>
        <v/>
      </c>
      <c r="D473" s="7">
        <f>IFERROR(__xludf.DUMMYFUNCTION("""COMPUTED_VALUE"""),"No task description")</f>
        <v/>
      </c>
      <c r="E473" s="7">
        <f>IFERROR(__xludf.DUMMYFUNCTION("""COMPUTED_VALUE"""),"No artifact embedded")</f>
        <v/>
      </c>
      <c r="F473" s="7" t="inlineStr">
        <is>
          <t>Students received instructions for Conclusion, Discussion, and an unspecified phase with no embedded artifacts.</t>
        </is>
      </c>
      <c r="G473" s="8" t="n"/>
      <c r="H473" s="8" t="n"/>
      <c r="I473" s="8" t="n"/>
      <c r="J473" s="8" t="n"/>
      <c r="K473" s="9" t="n"/>
      <c r="L473" s="9" t="n"/>
      <c r="M473" s="9" t="n"/>
      <c r="N473" s="9" t="n"/>
      <c r="O473" s="10" t="n"/>
      <c r="P473" s="10" t="n"/>
      <c r="Q473" s="10" t="n"/>
      <c r="R473" s="10" t="n"/>
      <c r="S473" s="10" t="n"/>
    </row>
    <row r="474" ht="73" customHeight="1">
      <c r="A474" s="6">
        <f>IFERROR(__xludf.DUMMYFUNCTION("""COMPUTED_VALUE"""),"Tsedey")</f>
        <v/>
      </c>
      <c r="B474" s="6">
        <f>IFERROR(__xludf.DUMMYFUNCTION("""COMPUTED_VALUE"""),"Resource")</f>
        <v/>
      </c>
      <c r="C474" s="6">
        <f>IFERROR(__xludf.DUMMYFUNCTION("""COMPUTED_VALUE"""),"Text.graasp")</f>
        <v/>
      </c>
      <c r="D474" s="7">
        <f>IFERROR(__xludf.DUMMYFUNCTION("""COMPUTED_VALUE"""),"&lt;p&gt;best game on this app easy enough &lt;/p&gt;")</f>
        <v/>
      </c>
      <c r="E474" s="7">
        <f>IFERROR(__xludf.DUMMYFUNCTION("""COMPUTED_VALUE"""),"No artifact embedded")</f>
        <v/>
      </c>
      <c r="F474" s="7" t="inlineStr">
        <is>
          <t>Students were given vague instructions with no embedded artifacts in Items 1, 2, and 3.</t>
        </is>
      </c>
      <c r="G474" s="8" t="n"/>
      <c r="H474" s="8" t="n"/>
      <c r="I474" s="8" t="n"/>
      <c r="J474" s="8" t="n"/>
      <c r="K474" s="9" t="n"/>
      <c r="L474" s="9" t="n"/>
      <c r="M474" s="9" t="n"/>
      <c r="N474" s="9" t="n"/>
      <c r="O474" s="10" t="n"/>
      <c r="P474" s="10" t="n"/>
      <c r="Q474" s="10" t="n"/>
      <c r="R474" s="10" t="n"/>
      <c r="S474" s="10" t="n"/>
    </row>
    <row r="475" ht="409.6" customHeight="1">
      <c r="A475" s="6">
        <f>IFERROR(__xludf.DUMMYFUNCTION("""COMPUTED_VALUE"""),"Tsedey")</f>
        <v/>
      </c>
      <c r="B475" s="6">
        <f>IFERROR(__xludf.DUMMYFUNCTION("""COMPUTED_VALUE"""),"Resource")</f>
        <v/>
      </c>
      <c r="C475" s="6">
        <f>IFERROR(__xludf.DUMMYFUNCTION("""COMPUTED_VALUE"""),"I Bought My DREAM CAR and it's AMAZING!!!")</f>
        <v/>
      </c>
      <c r="D475" s="7">
        <f>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
      </c>
      <c r="E475" s="7">
        <f>IFERROR(__xludf.DUMMYFUNCTION("""COMPUTED_VALUE"""),"youtu.be: A shortened URL service for YouTube, leading to various videos on the platform.")</f>
        <v/>
      </c>
      <c r="F475" s="7" t="inlineStr">
        <is>
          <t>Students have no task descriptions for Item1. Item2 has a simple game task. Item3 involves watching a video about buying a dream car with embedded YouTube links.</t>
        </is>
      </c>
      <c r="G475" s="8" t="n"/>
      <c r="H475" s="8" t="n"/>
      <c r="I475" s="8" t="n"/>
      <c r="J475" s="8" t="n"/>
      <c r="K475" s="9" t="n"/>
      <c r="L475" s="9" t="n"/>
      <c r="M475" s="9" t="n"/>
      <c r="N475" s="9" t="n"/>
      <c r="O475" s="10" t="n"/>
      <c r="P475" s="10" t="n"/>
      <c r="Q475" s="10" t="n"/>
      <c r="R475" s="10" t="n"/>
      <c r="S475" s="10" t="n"/>
    </row>
    <row r="476" ht="409.6" customHeight="1">
      <c r="A476" s="6">
        <f>IFERROR(__xludf.DUMMYFUNCTION("""COMPUTED_VALUE"""),"Tsedey")</f>
        <v/>
      </c>
      <c r="B476" s="6">
        <f>IFERROR(__xludf.DUMMYFUNCTION("""COMPUTED_VALUE"""),"Application")</f>
        <v/>
      </c>
      <c r="C476" s="6">
        <f>IFERROR(__xludf.DUMMYFUNCTION("""COMPUTED_VALUE"""),"Concept Mapper")</f>
        <v/>
      </c>
      <c r="D476" s="7">
        <f>IFERROR(__xludf.DUMMYFUNCTION("""COMPUTED_VALUE"""),"No task description")</f>
        <v/>
      </c>
      <c r="E476"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76" s="7" t="inlineStr">
        <is>
          <t>Students received task descriptions and embedded artifacts for Items 1 and 2, with Item 3 lacking a task description but having an artifact.</t>
        </is>
      </c>
      <c r="G476" s="8" t="n"/>
      <c r="H476" s="8" t="n"/>
      <c r="I476" s="8" t="n"/>
      <c r="J476" s="8" t="n"/>
      <c r="K476" s="9" t="n"/>
      <c r="L476" s="9" t="n"/>
      <c r="M476" s="9" t="n"/>
      <c r="N476" s="9" t="n"/>
      <c r="O476" s="10" t="n"/>
      <c r="P476" s="10" t="n"/>
      <c r="Q476" s="10" t="n"/>
      <c r="R476" s="10" t="n"/>
      <c r="S476" s="10" t="n"/>
    </row>
    <row r="477" ht="97" customHeight="1">
      <c r="A477" s="6">
        <f>IFERROR(__xludf.DUMMYFUNCTION("""COMPUTED_VALUE"""),"Tsedey")</f>
        <v/>
      </c>
      <c r="B477" s="6">
        <f>IFERROR(__xludf.DUMMYFUNCTION("""COMPUTED_VALUE"""),"Application")</f>
        <v/>
      </c>
      <c r="C477" s="6">
        <f>IFERROR(__xludf.DUMMYFUNCTION("""COMPUTED_VALUE"""),"Input")</f>
        <v/>
      </c>
      <c r="D477" s="7">
        <f>IFERROR(__xludf.DUMMYFUNCTION("""COMPUTED_VALUE"""),"No task description")</f>
        <v/>
      </c>
      <c r="E477" s="7">
        <f>IFERROR(__xludf.DUMMYFUNCTION("""COMPUTED_VALUE"""),"Golabz app/lab: No description available for this online app")</f>
        <v/>
      </c>
      <c r="F477" s="7" t="inlineStr">
        <is>
          <t>No instructions are provided to students; embedded artifacts include YouTube links and Golabz app descriptions.</t>
        </is>
      </c>
      <c r="G477" s="8" t="n"/>
      <c r="H477" s="8" t="n"/>
      <c r="I477" s="8" t="n"/>
      <c r="J477" s="8" t="n"/>
      <c r="K477" s="9" t="n"/>
      <c r="L477" s="9" t="n"/>
      <c r="M477" s="9" t="n"/>
      <c r="N477" s="9" t="n"/>
      <c r="O477" s="10" t="n"/>
      <c r="P477" s="10" t="n"/>
      <c r="Q477" s="10" t="n"/>
      <c r="R477" s="10" t="n"/>
      <c r="S477" s="10" t="n"/>
    </row>
    <row r="478" ht="73" customHeight="1">
      <c r="A478" s="6">
        <f>IFERROR(__xludf.DUMMYFUNCTION("""COMPUTED_VALUE"""),"Tsedey")</f>
        <v/>
      </c>
      <c r="B478" s="6">
        <f>IFERROR(__xludf.DUMMYFUNCTION("""COMPUTED_VALUE"""),"Space")</f>
        <v/>
      </c>
      <c r="C478" s="6">
        <f>IFERROR(__xludf.DUMMYFUNCTION("""COMPUTED_VALUE"""),"Conceptualisation")</f>
        <v/>
      </c>
      <c r="D478" s="7">
        <f>IFERROR(__xludf.DUMMYFUNCTION("""COMPUTED_VALUE"""),"No task description")</f>
        <v/>
      </c>
      <c r="E478" s="7">
        <f>IFERROR(__xludf.DUMMYFUNCTION("""COMPUTED_VALUE"""),"No artifact embedded")</f>
        <v/>
      </c>
      <c r="F478" s="7" t="inlineStr">
        <is>
          <t>No task descriptions; artifacts include Golabz app/lab with Concept Mapper tool.</t>
        </is>
      </c>
      <c r="G478" s="8" t="n"/>
      <c r="H478" s="8" t="n"/>
      <c r="I478" s="8" t="n"/>
      <c r="J478" s="8" t="n"/>
      <c r="K478" s="9" t="n"/>
      <c r="L478" s="9" t="n"/>
      <c r="M478" s="9" t="n"/>
      <c r="N478" s="9" t="n"/>
      <c r="O478" s="10" t="n"/>
      <c r="P478" s="10" t="n"/>
      <c r="Q478" s="10" t="n"/>
      <c r="R478" s="10" t="n"/>
      <c r="S478" s="10" t="n"/>
    </row>
    <row r="479" ht="61" customHeight="1">
      <c r="A479" s="6">
        <f>IFERROR(__xludf.DUMMYFUNCTION("""COMPUTED_VALUE"""),"Tsedey")</f>
        <v/>
      </c>
      <c r="B479" s="6">
        <f>IFERROR(__xludf.DUMMYFUNCTION("""COMPUTED_VALUE"""),"Space")</f>
        <v/>
      </c>
      <c r="C479" s="6">
        <f>IFERROR(__xludf.DUMMYFUNCTION("""COMPUTED_VALUE"""),"Investigation")</f>
        <v/>
      </c>
      <c r="D479" s="7">
        <f>IFERROR(__xludf.DUMMYFUNCTION("""COMPUTED_VALUE"""),"No task description")</f>
        <v/>
      </c>
      <c r="E479" s="7">
        <f>IFERROR(__xludf.DUMMYFUNCTION("""COMPUTED_VALUE"""),"No artifact embedded")</f>
        <v/>
      </c>
      <c r="F479" s="7" t="inlineStr">
        <is>
          <t>No instructions or artifacts are provided to students in Items 1, 2, and 3.</t>
        </is>
      </c>
      <c r="G479" s="8" t="n"/>
      <c r="H479" s="8" t="n"/>
      <c r="I479" s="8" t="n"/>
      <c r="J479" s="8" t="n"/>
      <c r="K479" s="9" t="n"/>
      <c r="L479" s="9" t="n"/>
      <c r="M479" s="9" t="n"/>
      <c r="N479" s="9" t="n"/>
      <c r="O479" s="10" t="n"/>
      <c r="P479" s="10" t="n"/>
      <c r="Q479" s="10" t="n"/>
      <c r="R479" s="10" t="n"/>
      <c r="S479" s="10" t="n"/>
    </row>
    <row r="480" ht="49" customHeight="1">
      <c r="A480" s="6">
        <f>IFERROR(__xludf.DUMMYFUNCTION("""COMPUTED_VALUE"""),"Tsedey")</f>
        <v/>
      </c>
      <c r="B480" s="6">
        <f>IFERROR(__xludf.DUMMYFUNCTION("""COMPUTED_VALUE"""),"Space")</f>
        <v/>
      </c>
      <c r="C480" s="6">
        <f>IFERROR(__xludf.DUMMYFUNCTION("""COMPUTED_VALUE"""),"Conclusion")</f>
        <v/>
      </c>
      <c r="D480" s="7">
        <f>IFERROR(__xludf.DUMMYFUNCTION("""COMPUTED_VALUE"""),"No task description")</f>
        <v/>
      </c>
      <c r="E480" s="7">
        <f>IFERROR(__xludf.DUMMYFUNCTION("""COMPUTED_VALUE"""),"No artifact embedded")</f>
        <v/>
      </c>
      <c r="F480" s="7" t="inlineStr">
        <is>
          <t>No instructions or artifacts are provided for any of the items.</t>
        </is>
      </c>
      <c r="G480" s="8" t="n"/>
      <c r="H480" s="8" t="n"/>
      <c r="I480" s="8" t="n"/>
      <c r="J480" s="8" t="n"/>
      <c r="K480" s="9" t="n"/>
      <c r="L480" s="9" t="n"/>
      <c r="M480" s="9" t="n"/>
      <c r="N480" s="9" t="n"/>
      <c r="O480" s="10" t="n"/>
      <c r="P480" s="10" t="n"/>
      <c r="Q480" s="10" t="n"/>
      <c r="R480" s="10" t="n"/>
      <c r="S480" s="10" t="n"/>
    </row>
    <row r="481" ht="49" customHeight="1">
      <c r="A481" s="6">
        <f>IFERROR(__xludf.DUMMYFUNCTION("""COMPUTED_VALUE"""),"Tsedey")</f>
        <v/>
      </c>
      <c r="B481" s="6">
        <f>IFERROR(__xludf.DUMMYFUNCTION("""COMPUTED_VALUE"""),"Space")</f>
        <v/>
      </c>
      <c r="C481" s="6">
        <f>IFERROR(__xludf.DUMMYFUNCTION("""COMPUTED_VALUE"""),"Discussion")</f>
        <v/>
      </c>
      <c r="D481" s="7">
        <f>IFERROR(__xludf.DUMMYFUNCTION("""COMPUTED_VALUE"""),"No task description")</f>
        <v/>
      </c>
      <c r="E481" s="7">
        <f>IFERROR(__xludf.DUMMYFUNCTION("""COMPUTED_VALUE"""),"No artifact embedded")</f>
        <v/>
      </c>
      <c r="F481" s="7" t="inlineStr">
        <is>
          <t>No instructions or artifacts are provided for any of the items.</t>
        </is>
      </c>
      <c r="G481" s="8" t="n"/>
      <c r="H481" s="8" t="n"/>
      <c r="I481" s="8" t="n"/>
      <c r="J481" s="8" t="n"/>
      <c r="K481" s="9" t="n"/>
      <c r="L481" s="9" t="n"/>
      <c r="M481" s="9" t="n"/>
      <c r="N481" s="9" t="n"/>
      <c r="O481" s="10" t="n"/>
      <c r="P481" s="10" t="n"/>
      <c r="Q481" s="10" t="n"/>
      <c r="R481" s="10" t="n"/>
      <c r="S481" s="10" t="n"/>
    </row>
    <row r="482" ht="109" customHeight="1">
      <c r="A482" s="6">
        <f>IFERROR(__xludf.DUMMYFUNCTION("""COMPUTED_VALUE"""),"Teste")</f>
        <v/>
      </c>
      <c r="B482" s="6">
        <f>IFERROR(__xludf.DUMMYFUNCTION("""COMPUTED_VALUE"""),"Space")</f>
        <v/>
      </c>
      <c r="C482" s="6">
        <f>IFERROR(__xludf.DUMMYFUNCTION("""COMPUTED_VALUE"""),"Orientation")</f>
        <v/>
      </c>
      <c r="D482" s="7">
        <f>IFERROR(__xludf.DUMMYFUNCTION("""COMPUTED_VALUE"""),"&lt;p&gt;This is the Orientation phase.&lt;/p&gt;")</f>
        <v/>
      </c>
      <c r="E482" s="7">
        <f>IFERROR(__xludf.DUMMYFUNCTION("""COMPUTED_VALUE"""),"No artifact embedded")</f>
        <v/>
      </c>
      <c r="F482" s="7" t="inlineStr">
        <is>
          <t>Students received no task descriptions for Items 1 and 2. Item 3's task was the Orientation phase with no embedded artifacts.</t>
        </is>
      </c>
      <c r="G482" s="8" t="n"/>
      <c r="H482" s="8" t="n"/>
      <c r="I482" s="8" t="n"/>
      <c r="J482" s="8" t="n"/>
      <c r="K482" s="9" t="n"/>
      <c r="L482" s="9" t="n"/>
      <c r="M482" s="9" t="n"/>
      <c r="N482" s="9" t="n"/>
      <c r="O482" s="10" t="n"/>
      <c r="P482" s="10" t="n"/>
      <c r="Q482" s="10" t="n"/>
      <c r="R482" s="10" t="n"/>
      <c r="S482" s="10" t="n"/>
    </row>
    <row r="483" ht="109" customHeight="1">
      <c r="A483" s="6">
        <f>IFERROR(__xludf.DUMMYFUNCTION("""COMPUTED_VALUE"""),"Teste")</f>
        <v/>
      </c>
      <c r="B483" s="6">
        <f>IFERROR(__xludf.DUMMYFUNCTION("""COMPUTED_VALUE"""),"Space")</f>
        <v/>
      </c>
      <c r="C483" s="6">
        <f>IFERROR(__xludf.DUMMYFUNCTION("""COMPUTED_VALUE"""),"Conceptualisation")</f>
        <v/>
      </c>
      <c r="D483" s="7">
        <f>IFERROR(__xludf.DUMMYFUNCTION("""COMPUTED_VALUE"""),"&lt;p&gt;This is the Conceptualisation phase.&lt;/p&gt;")</f>
        <v/>
      </c>
      <c r="E483" s="7">
        <f>IFERROR(__xludf.DUMMYFUNCTION("""COMPUTED_VALUE"""),"No artifact embedded")</f>
        <v/>
      </c>
      <c r="F483" s="7" t="inlineStr">
        <is>
          <t>Students were instructed on Orientation and Conceptualisation phases with no artifacts or task descriptions provided for some items.</t>
        </is>
      </c>
      <c r="G483" s="8" t="n"/>
      <c r="H483" s="8" t="n"/>
      <c r="I483" s="8" t="n"/>
      <c r="J483" s="8" t="n"/>
      <c r="K483" s="9" t="n"/>
      <c r="L483" s="9" t="n"/>
      <c r="M483" s="9" t="n"/>
      <c r="N483" s="9" t="n"/>
      <c r="O483" s="10" t="n"/>
      <c r="P483" s="10" t="n"/>
      <c r="Q483" s="10" t="n"/>
      <c r="R483" s="10" t="n"/>
      <c r="S483" s="10" t="n"/>
    </row>
    <row r="484" ht="97" customHeight="1">
      <c r="A484" s="6">
        <f>IFERROR(__xludf.DUMMYFUNCTION("""COMPUTED_VALUE"""),"Teste")</f>
        <v/>
      </c>
      <c r="B484" s="6">
        <f>IFERROR(__xludf.DUMMYFUNCTION("""COMPUTED_VALUE"""),"Space")</f>
        <v/>
      </c>
      <c r="C484" s="6">
        <f>IFERROR(__xludf.DUMMYFUNCTION("""COMPUTED_VALUE"""),"Investigation")</f>
        <v/>
      </c>
      <c r="D484" s="7">
        <f>IFERROR(__xludf.DUMMYFUNCTION("""COMPUTED_VALUE"""),"&lt;p&gt;This is the Investigation phase.&lt;/p&gt;")</f>
        <v/>
      </c>
      <c r="E484" s="7">
        <f>IFERROR(__xludf.DUMMYFUNCTION("""COMPUTED_VALUE"""),"No artifact embedded")</f>
        <v/>
      </c>
      <c r="F484" s="7" t="inlineStr">
        <is>
          <t>Students receive task descriptions for Orientation, Conceptualisation, and Investigation phases with no embedded artifacts.</t>
        </is>
      </c>
      <c r="G484" s="8" t="n"/>
      <c r="H484" s="8" t="n"/>
      <c r="I484" s="8" t="n"/>
      <c r="J484" s="8" t="n"/>
      <c r="K484" s="9" t="n"/>
      <c r="L484" s="9" t="n"/>
      <c r="M484" s="9" t="n"/>
      <c r="N484" s="9" t="n"/>
      <c r="O484" s="10" t="n"/>
      <c r="P484" s="10" t="n"/>
      <c r="Q484" s="10" t="n"/>
      <c r="R484" s="10" t="n"/>
      <c r="S484" s="10" t="n"/>
    </row>
    <row r="485" ht="329" customHeight="1">
      <c r="A485" s="6">
        <f>IFERROR(__xludf.DUMMYFUNCTION("""COMPUTED_VALUE"""),"Teste")</f>
        <v/>
      </c>
      <c r="B485" s="6">
        <f>IFERROR(__xludf.DUMMYFUNCTION("""COMPUTED_VALUE"""),"Application")</f>
        <v/>
      </c>
      <c r="C485" s="6">
        <f>IFERROR(__xludf.DUMMYFUNCTION("""COMPUTED_VALUE"""),"John Travoltage source")</f>
        <v/>
      </c>
      <c r="D485" s="7">
        <f>IFERROR(__xludf.DUMMYFUNCTION("""COMPUTED_VALUE"""),"No task description")</f>
        <v/>
      </c>
      <c r="E485" s="7">
        <f>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
      </c>
      <c r="F485" s="7" t="inlineStr">
        <is>
          <t>Students follow phases: Conceptualisation, Investigation. An artifact "John Travoltage" simulates static electricity concepts.</t>
        </is>
      </c>
      <c r="G485" s="8" t="n"/>
      <c r="H485" s="8" t="n"/>
      <c r="I485" s="8" t="n"/>
      <c r="J485" s="8" t="n"/>
      <c r="K485" s="9" t="n"/>
      <c r="L485" s="9" t="n"/>
      <c r="M485" s="9" t="n"/>
      <c r="N485" s="9" t="n"/>
      <c r="O485" s="10" t="n"/>
      <c r="P485" s="10" t="n"/>
      <c r="Q485" s="10" t="n"/>
      <c r="R485" s="10" t="n"/>
      <c r="S485" s="10" t="n"/>
    </row>
    <row r="486" ht="409.6" customHeight="1">
      <c r="A486" s="6">
        <f>IFERROR(__xludf.DUMMYFUNCTION("""COMPUTED_VALUE"""),"Teste")</f>
        <v/>
      </c>
      <c r="B486" s="6">
        <f>IFERROR(__xludf.DUMMYFUNCTION("""COMPUTED_VALUE"""),"Application")</f>
        <v/>
      </c>
      <c r="C486" s="6">
        <f>IFERROR(__xludf.DUMMYFUNCTION("""COMPUTED_VALUE"""),"Vector Addition")</f>
        <v/>
      </c>
      <c r="D486" s="7">
        <f>IFERROR(__xludf.DUMMYFUNCTION("""COMPUTED_VALUE"""),"No task description")</f>
        <v/>
      </c>
      <c r="E486" s="7">
        <f>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
      </c>
      <c r="F486" s="7" t="inlineStr">
        <is>
          <t>Students were given tasks with embedded labs: static electricity and vector exploration, with specific learning goals.</t>
        </is>
      </c>
      <c r="G486" s="8" t="n"/>
      <c r="H486" s="8" t="n"/>
      <c r="I486" s="8" t="n"/>
      <c r="J486" s="8" t="n"/>
      <c r="K486" s="9" t="n"/>
      <c r="L486" s="9" t="n"/>
      <c r="M486" s="9" t="n"/>
      <c r="N486" s="9" t="n"/>
      <c r="O486" s="10" t="n"/>
      <c r="P486" s="10" t="n"/>
      <c r="Q486" s="10" t="n"/>
      <c r="R486" s="10" t="n"/>
      <c r="S486" s="10" t="n"/>
    </row>
    <row r="487" ht="85" customHeight="1">
      <c r="A487" s="6">
        <f>IFERROR(__xludf.DUMMYFUNCTION("""COMPUTED_VALUE"""),"Teste")</f>
        <v/>
      </c>
      <c r="B487" s="6">
        <f>IFERROR(__xludf.DUMMYFUNCTION("""COMPUTED_VALUE"""),"Space")</f>
        <v/>
      </c>
      <c r="C487" s="6">
        <f>IFERROR(__xludf.DUMMYFUNCTION("""COMPUTED_VALUE"""),"Conclusion")</f>
        <v/>
      </c>
      <c r="D487" s="7">
        <f>IFERROR(__xludf.DUMMYFUNCTION("""COMPUTED_VALUE"""),"&lt;p&gt;This is the Conclusion phase.&lt;/p&gt;")</f>
        <v/>
      </c>
      <c r="E487" s="7">
        <f>IFERROR(__xludf.DUMMYFUNCTION("""COMPUTED_VALUE"""),"No artifact embedded")</f>
        <v/>
      </c>
      <c r="F487" s="7" t="inlineStr">
        <is>
          <t>Students use Golabz app/labs for static electricity and vector exploration with sample learning goals.</t>
        </is>
      </c>
      <c r="G487" s="8" t="n"/>
      <c r="H487" s="8" t="n"/>
      <c r="I487" s="8" t="n"/>
      <c r="J487" s="8" t="n"/>
      <c r="K487" s="9" t="n"/>
      <c r="L487" s="9" t="n"/>
      <c r="M487" s="9" t="n"/>
      <c r="N487" s="9" t="n"/>
      <c r="O487" s="10" t="n"/>
      <c r="P487" s="10" t="n"/>
      <c r="Q487" s="10" t="n"/>
      <c r="R487" s="10" t="n"/>
      <c r="S487" s="10" t="n"/>
    </row>
    <row r="488" ht="109" customHeight="1">
      <c r="A488" s="6">
        <f>IFERROR(__xludf.DUMMYFUNCTION("""COMPUTED_VALUE"""),"Teste")</f>
        <v/>
      </c>
      <c r="B488" s="6">
        <f>IFERROR(__xludf.DUMMYFUNCTION("""COMPUTED_VALUE"""),"Space")</f>
        <v/>
      </c>
      <c r="C488" s="6">
        <f>IFERROR(__xludf.DUMMYFUNCTION("""COMPUTED_VALUE"""),"Discussion")</f>
        <v/>
      </c>
      <c r="D488" s="7">
        <f>IFERROR(__xludf.DUMMYFUNCTION("""COMPUTED_VALUE"""),"&lt;p&gt;This is the Discussion phase.&lt;/p&gt;")</f>
        <v/>
      </c>
      <c r="E488" s="7">
        <f>IFERROR(__xludf.DUMMYFUNCTION("""COMPUTED_VALUE"""),"No artifact embedded")</f>
        <v/>
      </c>
      <c r="F488" s="7" t="inlineStr">
        <is>
          <t>Students explore vectors using Golabz app, describing and adding vectors, comparing components, and decomposing vectors.</t>
        </is>
      </c>
      <c r="G488" s="8" t="n"/>
      <c r="H488" s="8" t="n"/>
      <c r="I488" s="8" t="n"/>
      <c r="J488" s="8" t="n"/>
      <c r="K488" s="9" t="n"/>
      <c r="L488" s="9" t="n"/>
      <c r="M488" s="9" t="n"/>
      <c r="N488" s="9" t="n"/>
      <c r="O488" s="10" t="n"/>
      <c r="P488" s="10" t="n"/>
      <c r="Q488" s="10" t="n"/>
      <c r="R488" s="10" t="n"/>
      <c r="S488" s="10" t="n"/>
    </row>
    <row r="489" ht="121" customHeight="1">
      <c r="A489" s="6">
        <f>IFERROR(__xludf.DUMMYFUNCTION("""COMPUTED_VALUE"""),"ROU - Școala Gimnazială nr. 9 „Nicolae Orghidan” Brașov")</f>
        <v/>
      </c>
      <c r="B489" s="6">
        <f>IFERROR(__xludf.DUMMYFUNCTION("""COMPUTED_VALUE"""),"Space")</f>
        <v/>
      </c>
      <c r="C489" s="6">
        <f>IFERROR(__xludf.DUMMYFUNCTION("""COMPUTED_VALUE"""),"Meet the team")</f>
        <v/>
      </c>
      <c r="D489" s="7">
        <f>IFERROR(__xludf.DUMMYFUNCTION("""COMPUTED_VALUE"""),"&lt;p&gt;This space was created for each member of the team to present itself. You can add pictures, quotes, or a simple sentence. Your creativity is welcome.&lt;/p&gt;")</f>
        <v/>
      </c>
      <c r="E489" s="7">
        <f>IFERROR(__xludf.DUMMYFUNCTION("""COMPUTED_VALUE"""),"No artifact embedded")</f>
        <v/>
      </c>
      <c r="F489" s="7" t="inlineStr">
        <is>
          <t>Students were instructed on Conclusion, Discussion, and team introduction phases with no artifacts embedded.</t>
        </is>
      </c>
      <c r="G489" s="8" t="n"/>
      <c r="H489" s="8" t="n"/>
      <c r="I489" s="8" t="n"/>
      <c r="J489" s="8" t="n"/>
      <c r="K489" s="9" t="n"/>
      <c r="L489" s="9" t="n"/>
      <c r="M489" s="9" t="n"/>
      <c r="N489" s="9" t="n"/>
      <c r="O489" s="10" t="n"/>
      <c r="P489" s="10" t="n"/>
      <c r="Q489" s="10" t="n"/>
      <c r="R489" s="10" t="n"/>
      <c r="S489" s="10" t="n"/>
    </row>
    <row r="490" ht="121" customHeight="1">
      <c r="A490" s="6">
        <f>IFERROR(__xludf.DUMMYFUNCTION("""COMPUTED_VALUE"""),"ROU - Școala Gimnazială nr. 9 „Nicolae Orghidan” Brașov")</f>
        <v/>
      </c>
      <c r="B490" s="6">
        <f>IFERROR(__xludf.DUMMYFUNCTION("""COMPUTED_VALUE"""),"Resource")</f>
        <v/>
      </c>
      <c r="C490" s="6">
        <f>IFERROR(__xludf.DUMMYFUNCTION("""COMPUTED_VALUE"""),"Școala Gimnazială Nr. 9 „Nicolae Orghidan” Brașov, România")</f>
        <v/>
      </c>
      <c r="D490" s="7">
        <f>IFERROR(__xludf.DUMMYFUNCTION("""COMPUTED_VALUE"""),"No task description")</f>
        <v/>
      </c>
      <c r="E490" s="7">
        <f>IFERROR(__xludf.DUMMYFUNCTION("""COMPUTED_VALUE"""),"slideshare.net: A platform for sharing presentations and documents, including educational materials from various institutions.")</f>
        <v/>
      </c>
      <c r="F490" s="7" t="inlineStr">
        <is>
          <t>Students were given tasks to discuss and introduce themselves. Embedded artifacts include a presentation-sharing platform, Slideshare.</t>
        </is>
      </c>
      <c r="G490" s="8" t="n"/>
      <c r="H490" s="8" t="n"/>
      <c r="I490" s="8" t="n"/>
      <c r="J490" s="8" t="n"/>
      <c r="K490" s="9" t="n"/>
      <c r="L490" s="9" t="n"/>
      <c r="M490" s="9" t="n"/>
      <c r="N490" s="9" t="n"/>
      <c r="O490" s="10" t="n"/>
      <c r="P490" s="10" t="n"/>
      <c r="Q490" s="10" t="n"/>
      <c r="R490" s="10" t="n"/>
      <c r="S490" s="10" t="n"/>
    </row>
    <row r="491" ht="145" customHeight="1">
      <c r="A491" s="6">
        <f>IFERROR(__xludf.DUMMYFUNCTION("""COMPUTED_VALUE"""),"ROU - Școala Gimnazială nr. 9 „Nicolae Orghidan” Brașov")</f>
        <v/>
      </c>
      <c r="B491" s="6">
        <f>IFERROR(__xludf.DUMMYFUNCTION("""COMPUTED_VALUE"""),"Space")</f>
        <v/>
      </c>
      <c r="C491" s="6">
        <f>IFERROR(__xludf.DUMMYFUNCTION("""COMPUTED_VALUE"""),"What motivates us in PLATON")</f>
        <v/>
      </c>
      <c r="D491" s="7">
        <f>IFERROR(__xludf.DUMMYFUNCTION("""COMPUTED_VALUE"""),"&lt;p&gt;Write here what motivates you in PLATON, what does it mean to you, how do you think it is contributing to your school’s development and/or identity.&lt;/p&gt;")</f>
        <v/>
      </c>
      <c r="E491" s="7">
        <f>IFERROR(__xludf.DUMMYFUNCTION("""COMPUTED_VALUE"""),"No artifact embedded")</f>
        <v/>
      </c>
      <c r="F491" s="7" t="inlineStr">
        <is>
          <t>Students were instructed to introduce themselves (Item1) and share motivations (Item3). Embedded artifacts include a presentation-sharing platform (Item2).</t>
        </is>
      </c>
      <c r="G491" s="8" t="n"/>
      <c r="H491" s="8" t="n"/>
      <c r="I491" s="8" t="n"/>
      <c r="J491" s="8" t="n"/>
      <c r="K491" s="9" t="n"/>
      <c r="L491" s="9" t="n"/>
      <c r="M491" s="9" t="n"/>
      <c r="N491" s="9" t="n"/>
      <c r="O491" s="10" t="n"/>
      <c r="P491" s="10" t="n"/>
      <c r="Q491" s="10" t="n"/>
      <c r="R491" s="10" t="n"/>
      <c r="S491" s="10" t="n"/>
    </row>
    <row r="492" ht="193" customHeight="1">
      <c r="A492" s="6">
        <f>IFERROR(__xludf.DUMMYFUNCTION("""COMPUTED_VALUE"""),"ROU - Școala Gimnazială nr. 9 „Nicolae Orghidan” Brașov")</f>
        <v/>
      </c>
      <c r="B492" s="6">
        <f>IFERROR(__xludf.DUMMYFUNCTION("""COMPUTED_VALUE"""),"Space")</f>
        <v/>
      </c>
      <c r="C492" s="6">
        <f>IFERROR(__xludf.DUMMYFUNCTION("""COMPUTED_VALUE"""),"Our work")</f>
        <v/>
      </c>
      <c r="D492" s="7">
        <f>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
      </c>
      <c r="E492" s="7">
        <f>IFERROR(__xludf.DUMMYFUNCTION("""COMPUTED_VALUE"""),"No artifact embedded")</f>
        <v/>
      </c>
      <c r="F492" s="7" t="inlineStr">
        <is>
          <t>Students were given tasks with varying instructions and optional embedded artifacts from platforms like Slideshare.</t>
        </is>
      </c>
      <c r="G492" s="8" t="n"/>
      <c r="H492" s="8" t="n"/>
      <c r="I492" s="8" t="n"/>
      <c r="J492" s="8" t="n"/>
      <c r="K492" s="9" t="n"/>
      <c r="L492" s="9" t="n"/>
      <c r="M492" s="9" t="n"/>
      <c r="N492" s="9" t="n"/>
      <c r="O492" s="10" t="n"/>
      <c r="P492" s="10" t="n"/>
      <c r="Q492" s="10" t="n"/>
      <c r="R492" s="10" t="n"/>
      <c r="S492" s="10" t="n"/>
    </row>
    <row r="493" ht="205" customHeight="1">
      <c r="A493" s="6">
        <f>IFERROR(__xludf.DUMMYFUNCTION("""COMPUTED_VALUE"""),"ROU - Școala Gimnazială nr. 9 „Nicolae Orghidan” Brașov")</f>
        <v/>
      </c>
      <c r="B493" s="6">
        <f>IFERROR(__xludf.DUMMYFUNCTION("""COMPUTED_VALUE"""),"Space")</f>
        <v/>
      </c>
      <c r="C493" s="6">
        <f>IFERROR(__xludf.DUMMYFUNCTION("""COMPUTED_VALUE"""),"Worth Sharing")</f>
        <v/>
      </c>
      <c r="D493" s="7">
        <f>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
      </c>
      <c r="E493" s="7">
        <f>IFERROR(__xludf.DUMMYFUNCTION("""COMPUTED_VALUE"""),"No artifact embedded")</f>
        <v/>
      </c>
      <c r="F493" s="7" t="inlineStr">
        <is>
          <t>Students are instructed to write about motivations, share project records, and add relevant ideas/experiences. No artifacts are embedded in Items 1-3.</t>
        </is>
      </c>
      <c r="G493" s="8" t="n"/>
      <c r="H493" s="8" t="n"/>
      <c r="I493" s="8" t="n"/>
      <c r="J493" s="8" t="n"/>
      <c r="K493" s="9" t="n"/>
      <c r="L493" s="9" t="n"/>
      <c r="M493" s="9" t="n"/>
      <c r="N493" s="9" t="n"/>
      <c r="O493" s="10" t="n"/>
      <c r="P493" s="10" t="n"/>
      <c r="Q493" s="10" t="n"/>
      <c r="R493" s="10" t="n"/>
      <c r="S493" s="10" t="n"/>
    </row>
    <row r="494" ht="406" customHeight="1">
      <c r="A494" s="6">
        <f>IFERROR(__xludf.DUMMYFUNCTION("""COMPUTED_VALUE"""),"ROU - Școala Gimnazială nr. 9 „Nicolae Orghidan” Brașov")</f>
        <v/>
      </c>
      <c r="B494" s="6">
        <f>IFERROR(__xludf.DUMMYFUNCTION("""COMPUTED_VALUE"""),"Space")</f>
        <v/>
      </c>
      <c r="C494" s="6">
        <f>IFERROR(__xludf.DUMMYFUNCTION("""COMPUTED_VALUE"""),"Student's feedback")</f>
        <v/>
      </c>
      <c r="D494" s="7">
        <f>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
      </c>
      <c r="E494" s="7">
        <f>IFERROR(__xludf.DUMMYFUNCTION("""COMPUTED_VALUE"""),"No artifact embedded")</f>
        <v/>
      </c>
      <c r="F494" s="7" t="inlineStr">
        <is>
          <t>Students are instructed to add project records, ideas, and quotes, with optional artifacts like pictures and videos. No artifacts are currently embedded.</t>
        </is>
      </c>
      <c r="G494" s="8" t="n"/>
      <c r="H494" s="8" t="n"/>
      <c r="I494" s="8" t="n"/>
      <c r="J494" s="8" t="n"/>
      <c r="K494" s="9" t="n"/>
      <c r="L494" s="9" t="n"/>
      <c r="M494" s="9" t="n"/>
      <c r="N494" s="9" t="n"/>
      <c r="O494" s="10" t="n"/>
      <c r="P494" s="10" t="n"/>
      <c r="Q494" s="10" t="n"/>
      <c r="R494" s="10" t="n"/>
      <c r="S494" s="10" t="n"/>
    </row>
    <row r="495" ht="169" customHeight="1">
      <c r="A495" s="6">
        <f>IFERROR(__xludf.DUMMYFUNCTION("""COMPUTED_VALUE"""),"ROU - Școala Gimnazială nr. 9 „Nicolae Orghidan” Brașov")</f>
        <v/>
      </c>
      <c r="B495" s="6">
        <f>IFERROR(__xludf.DUMMYFUNCTION("""COMPUTED_VALUE"""),"Application")</f>
        <v/>
      </c>
      <c r="C495" s="6">
        <f>IFERROR(__xludf.DUMMYFUNCTION("""COMPUTED_VALUE"""),"File Drop")</f>
        <v/>
      </c>
      <c r="D495" s="7">
        <f>IFERROR(__xludf.DUMMYFUNCTION("""COMPUTED_VALUE"""),"No task description")</f>
        <v/>
      </c>
      <c r="E495" s="7">
        <f>IFERROR(__xludf.DUMMYFUNCTION("""COMPUTED_VALUE"""),"Golabz app/lab: ""&lt;p&gt;This app allows students to upload files, e.g., assignment and reports, to the Inquiry learning Space. The app also allows teachers to download the uploaded files.&lt;/p&gt;\r\n""")</f>
        <v/>
      </c>
      <c r="F495" s="7" t="inlineStr">
        <is>
          <t>Students are instructed to share ideas, experiences, and artifacts, with optional embedding of videos, pictures, quotes, and portfolios, with varying levels of access and permission settings.</t>
        </is>
      </c>
      <c r="G495" s="8" t="n"/>
      <c r="H495" s="8" t="n"/>
      <c r="I495" s="8" t="n"/>
      <c r="J495" s="8" t="n"/>
      <c r="K495" s="9" t="n"/>
      <c r="L495" s="9" t="n"/>
      <c r="M495" s="9" t="n"/>
      <c r="N495" s="9" t="n"/>
      <c r="O495" s="10" t="n"/>
      <c r="P495" s="10" t="n"/>
      <c r="Q495" s="10" t="n"/>
      <c r="R495" s="10" t="n"/>
      <c r="S495" s="10" t="n"/>
    </row>
    <row r="496" ht="285" customHeight="1">
      <c r="A496" s="6">
        <f>IFERROR(__xludf.DUMMYFUNCTION("""COMPUTED_VALUE"""),"ROU - Școala Gimnazială nr. 9 „Nicolae Orghidan” Brașov")</f>
        <v/>
      </c>
      <c r="B496" s="6">
        <f>IFERROR(__xludf.DUMMYFUNCTION("""COMPUTED_VALUE"""),"Space")</f>
        <v/>
      </c>
      <c r="C496" s="6">
        <f>IFERROR(__xludf.DUMMYFUNCTION("""COMPUTED_VALUE"""),"Our team's feedback")</f>
        <v/>
      </c>
      <c r="D496" s="7">
        <f>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
      </c>
      <c r="E496" s="7">
        <f>IFERROR(__xludf.DUMMYFUNCTION("""COMPUTED_VALUE"""),"No artifact embedded")</f>
        <v/>
      </c>
      <c r="F496" s="7" t="inlineStr">
        <is>
          <t>Students were instructed to add quotes, pictures, or portfolios. Embedded artifacts include a Golabz app for file upload and download.</t>
        </is>
      </c>
      <c r="G496" s="8" t="n"/>
      <c r="H496" s="8" t="n"/>
      <c r="I496" s="8" t="n"/>
      <c r="J496" s="8" t="n"/>
      <c r="K496" s="9" t="n"/>
      <c r="L496" s="9" t="n"/>
      <c r="M496" s="9" t="n"/>
      <c r="N496" s="9" t="n"/>
      <c r="O496" s="10" t="n"/>
      <c r="P496" s="10" t="n"/>
      <c r="Q496" s="10" t="n"/>
      <c r="R496" s="10" t="n"/>
      <c r="S496" s="10" t="n"/>
    </row>
    <row r="497" ht="145" customHeight="1">
      <c r="A497" s="6">
        <f>IFERROR(__xludf.DUMMYFUNCTION("""COMPUTED_VALUE"""),"ROU - Școala Gimnazială nr. 9 „Nicolae Orghidan” Brașov")</f>
        <v/>
      </c>
      <c r="B497" s="6">
        <f>IFERROR(__xludf.DUMMYFUNCTION("""COMPUTED_VALUE"""),"Space")</f>
        <v/>
      </c>
      <c r="C497" s="6">
        <f>IFERROR(__xludf.DUMMYFUNCTION("""COMPUTED_VALUE"""),"Lessons learn't")</f>
        <v/>
      </c>
      <c r="D497" s="7">
        <f>IFERROR(__xludf.DUMMYFUNCTION("""COMPUTED_VALUE"""),"&lt;p&gt;From your work during the implementation what is it that stands out? What would you want to see in our final project compilation of work (roadmap)? Write here your reflections.&lt;/p&gt;")</f>
        <v/>
      </c>
      <c r="E497" s="7">
        <f>IFERROR(__xludf.DUMMYFUNCTION("""COMPUTED_VALUE"""),"No artifact embedded")</f>
        <v/>
      </c>
      <c r="F497" s="7" t="inlineStr">
        <is>
          <t>Students were given tasks with descriptions and optional embedded artifacts, including using Golabz app for file uploads.</t>
        </is>
      </c>
      <c r="G497" s="8" t="n"/>
      <c r="H497" s="8" t="n"/>
      <c r="I497" s="8" t="n"/>
      <c r="J497" s="8" t="n"/>
      <c r="K497" s="9" t="n"/>
      <c r="L497" s="9" t="n"/>
      <c r="M497" s="9" t="n"/>
      <c r="N497" s="9" t="n"/>
      <c r="O497" s="10" t="n"/>
      <c r="P497" s="10" t="n"/>
      <c r="Q497" s="10" t="n"/>
      <c r="R497" s="10" t="n"/>
      <c r="S497" s="10" t="n"/>
    </row>
    <row r="498" ht="169" customHeight="1">
      <c r="A498" s="6">
        <f>IFERROR(__xludf.DUMMYFUNCTION("""COMPUTED_VALUE"""),"Robotic Arm")</f>
        <v/>
      </c>
      <c r="B498" s="6">
        <f>IFERROR(__xludf.DUMMYFUNCTION("""COMPUTED_VALUE"""),"Space")</f>
        <v/>
      </c>
      <c r="C498" s="6">
        <f>IFERROR(__xludf.DUMMYFUNCTION("""COMPUTED_VALUE"""),"Basic")</f>
        <v/>
      </c>
      <c r="D498" s="7">
        <f>IFERROR(__xludf.DUMMYFUNCTION("""COMPUTED_VALUE"""),"&lt;p&gt;YouTube  example used and programming RoboArm&lt;/p&gt;")</f>
        <v/>
      </c>
      <c r="E498" s="7">
        <f>IFERROR(__xludf.DUMMYFUNCTION("""COMPUTED_VALUE"""),"No artifact embedded")</f>
        <v/>
      </c>
      <c r="F498" s="7" t="inlineStr">
        <is>
          <t>Students provide recommendations on PLATON methodology, reflect on implementation, and share a YouTube example of programming RoboArm. No artifacts are embedded in the tasks.</t>
        </is>
      </c>
      <c r="G498" s="8" t="n"/>
      <c r="H498" s="8" t="n"/>
      <c r="I498" s="8" t="n"/>
      <c r="J498" s="8" t="n"/>
      <c r="K498" s="9" t="n"/>
      <c r="L498" s="9" t="n"/>
      <c r="M498" s="9" t="n"/>
      <c r="N498" s="9" t="n"/>
      <c r="O498" s="10" t="n"/>
      <c r="P498" s="10" t="n"/>
      <c r="Q498" s="10" t="n"/>
      <c r="R498" s="10" t="n"/>
      <c r="S498" s="10" t="n"/>
    </row>
    <row r="499" ht="169" customHeight="1">
      <c r="A499" s="6">
        <f>IFERROR(__xludf.DUMMYFUNCTION("""COMPUTED_VALUE"""),"Robotic Arm")</f>
        <v/>
      </c>
      <c r="B499" s="6">
        <f>IFERROR(__xludf.DUMMYFUNCTION("""COMPUTED_VALUE"""),"Resource")</f>
        <v/>
      </c>
      <c r="C499" s="6">
        <f>IFERROR(__xludf.DUMMYFUNCTION("""COMPUTED_VALUE"""),"ROBOARM")</f>
        <v/>
      </c>
      <c r="D499" s="7">
        <f>IFERROR(__xludf.DUMMYFUNCTION("""COMPUTED_VALUE"""),"No task description")</f>
        <v/>
      </c>
      <c r="E499" s="7">
        <f>IFERROR(__xludf.DUMMYFUNCTION("""COMPUTED_VALUE"""),"youtube.com: A widely known video-sharing platform where users can watch videos on a vast array of topics, including educational content.")</f>
        <v/>
      </c>
      <c r="F499" s="7" t="inlineStr">
        <is>
          <t>Students were instructed to reflect on their work and provide feedback. Embedded artifacts include YouTube examples and a RoboArm programming task, but no actual artifacts are attached.</t>
        </is>
      </c>
      <c r="G499" s="8" t="n"/>
      <c r="H499" s="8" t="n"/>
      <c r="I499" s="8" t="n"/>
      <c r="J499" s="8" t="n"/>
      <c r="K499" s="9" t="n"/>
      <c r="L499" s="9" t="n"/>
      <c r="M499" s="9" t="n"/>
      <c r="N499" s="9" t="n"/>
      <c r="O499" s="10" t="n"/>
      <c r="P499" s="10" t="n"/>
      <c r="Q499" s="10" t="n"/>
      <c r="R499" s="10" t="n"/>
      <c r="S499" s="10" t="n"/>
    </row>
    <row r="500" ht="121" customHeight="1">
      <c r="A500" s="6">
        <f>IFERROR(__xludf.DUMMYFUNCTION("""COMPUTED_VALUE"""),"Robotic Arm")</f>
        <v/>
      </c>
      <c r="B500" s="6">
        <f>IFERROR(__xludf.DUMMYFUNCTION("""COMPUTED_VALUE"""),"Topic")</f>
        <v/>
      </c>
      <c r="C500" s="6">
        <f>IFERROR(__xludf.DUMMYFUNCTION("""COMPUTED_VALUE"""),"Interest theme")</f>
        <v/>
      </c>
      <c r="D500" s="7">
        <f>IFERROR(__xludf.DUMMYFUNCTION("""COMPUTED_VALUE"""),"No task description")</f>
        <v/>
      </c>
      <c r="E500" s="7">
        <f>IFERROR(__xludf.DUMMYFUNCTION("""COMPUTED_VALUE"""),"text/html – A webpage or web document that contains structured text, images, and links, designed for display in a web browser.")</f>
        <v/>
      </c>
      <c r="F500" s="7" t="inlineStr">
        <is>
          <t>Students were given tasks with varying descriptions and embedded artifacts, including YouTube examples and HTML webpages.</t>
        </is>
      </c>
      <c r="G500" s="8" t="n"/>
      <c r="H500" s="8" t="n"/>
      <c r="I500" s="8" t="n"/>
      <c r="J500" s="8" t="n"/>
      <c r="K500" s="9" t="n"/>
      <c r="L500" s="9" t="n"/>
      <c r="M500" s="9" t="n"/>
      <c r="N500" s="9" t="n"/>
      <c r="O500" s="10" t="n"/>
      <c r="P500" s="10" t="n"/>
      <c r="Q500" s="10" t="n"/>
      <c r="R500" s="10" t="n"/>
      <c r="S500" s="10" t="n"/>
    </row>
    <row r="501" ht="133" customHeight="1">
      <c r="A501" s="6">
        <f>IFERROR(__xludf.DUMMYFUNCTION("""COMPUTED_VALUE"""),"Robotic Arm")</f>
        <v/>
      </c>
      <c r="B501" s="6">
        <f>IFERROR(__xludf.DUMMYFUNCTION("""COMPUTED_VALUE"""),"Space")</f>
        <v/>
      </c>
      <c r="C501" s="6">
        <f>IFERROR(__xludf.DUMMYFUNCTION("""COMPUTED_VALUE"""),"Start lecture")</f>
        <v/>
      </c>
      <c r="D501" s="7">
        <f>IFERROR(__xludf.DUMMYFUNCTION("""COMPUTED_VALUE"""),"&lt;p&gt;Types RoboArm&lt;/p&gt;&lt;p&gt;&lt;br&gt;&lt;/p&gt;")</f>
        <v/>
      </c>
      <c r="E501" s="7">
        <f>IFERROR(__xludf.DUMMYFUNCTION("""COMPUTED_VALUE"""),"No artifact embedded")</f>
        <v/>
      </c>
      <c r="F501" s="7" t="inlineStr">
        <is>
          <t>Students received no task descriptions for Items 1 and 2, but had artifacts from YouTube and a webpage. Item 3 involved "Types RoboArm" with no embedded artifact.</t>
        </is>
      </c>
      <c r="G501" s="8" t="n"/>
      <c r="H501" s="8" t="n"/>
      <c r="I501" s="8" t="n"/>
      <c r="J501" s="8" t="n"/>
      <c r="K501" s="9" t="n"/>
      <c r="L501" s="9" t="n"/>
      <c r="M501" s="9" t="n"/>
      <c r="N501" s="9" t="n"/>
      <c r="O501" s="10" t="n"/>
      <c r="P501" s="10" t="n"/>
      <c r="Q501" s="10" t="n"/>
      <c r="R501" s="10" t="n"/>
      <c r="S501" s="10" t="n"/>
    </row>
    <row r="502" ht="409.6" customHeight="1">
      <c r="A502" s="6">
        <f>IFERROR(__xludf.DUMMYFUNCTION("""COMPUTED_VALUE"""),"Robotic Arm")</f>
        <v/>
      </c>
      <c r="B502" s="6">
        <f>IFERROR(__xludf.DUMMYFUNCTION("""COMPUTED_VALUE"""),"Resource")</f>
        <v/>
      </c>
      <c r="C502" s="6">
        <f>IFERROR(__xludf.DUMMYFUNCTION("""COMPUTED_VALUE"""),"Robotic Arm Geometry")</f>
        <v/>
      </c>
      <c r="D502" s="7">
        <f>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
      </c>
      <c r="E502" s="7">
        <f>IFERROR(__xludf.DUMMYFUNCTION("""COMPUTED_VALUE"""),"youtube.com: A widely known video-sharing platform where users can watch videos on a vast array of topics, including educational content.")</f>
        <v/>
      </c>
      <c r="F502" s="7" t="inlineStr">
        <is>
          <t>Students receive tasks with embedded artifacts, including webpages, videos, and no artifacts, with descriptions explaining each type.</t>
        </is>
      </c>
      <c r="G502" s="8" t="n"/>
      <c r="H502" s="8" t="n"/>
      <c r="I502" s="8" t="n"/>
      <c r="J502" s="8" t="n"/>
      <c r="K502" s="9" t="n"/>
      <c r="L502" s="9" t="n"/>
      <c r="M502" s="9" t="n"/>
      <c r="N502" s="9" t="n"/>
      <c r="O502" s="10" t="n"/>
      <c r="P502" s="10" t="n"/>
      <c r="Q502" s="10" t="n"/>
      <c r="R502" s="10" t="n"/>
      <c r="S502" s="10" t="n"/>
    </row>
    <row r="503" ht="121" customHeight="1">
      <c r="A503" s="6">
        <f>IFERROR(__xludf.DUMMYFUNCTION("""COMPUTED_VALUE"""),"Robotic Arm")</f>
        <v/>
      </c>
      <c r="B503" s="6">
        <f>IFERROR(__xludf.DUMMYFUNCTION("""COMPUTED_VALUE"""),"Topic")</f>
        <v/>
      </c>
      <c r="C503" s="6">
        <f>IFERROR(__xludf.DUMMYFUNCTION("""COMPUTED_VALUE"""),"Lecture questions")</f>
        <v/>
      </c>
      <c r="D503" s="7">
        <f>IFERROR(__xludf.DUMMYFUNCTION("""COMPUTED_VALUE"""),"&lt;p&gt;What general school subjects are utilized to study and work with the robotic arm?&lt;/p&gt;&lt;p&gt;&lt;br&gt;&lt;/p&gt;")</f>
        <v/>
      </c>
      <c r="E503" s="7">
        <f>IFERROR(__xludf.DUMMYFUNCTION("""COMPUTED_VALUE"""),"text/html – A webpage or web document that contains structured text, images, and links, designed for display in a web browser.")</f>
        <v/>
      </c>
      <c r="F503" s="7" t="inlineStr">
        <is>
          <t>Students learn about robotic arm types via video and identify relevant school subjects. Embedded artifacts include YouTube videos and webpages.</t>
        </is>
      </c>
      <c r="G503" s="8" t="n"/>
      <c r="H503" s="8" t="n"/>
      <c r="I503" s="8" t="n"/>
      <c r="J503" s="8" t="n"/>
      <c r="K503" s="9" t="n"/>
      <c r="L503" s="9" t="n"/>
      <c r="M503" s="9" t="n"/>
      <c r="N503" s="9" t="n"/>
      <c r="O503" s="10" t="n"/>
      <c r="P503" s="10" t="n"/>
      <c r="Q503" s="10" t="n"/>
      <c r="R503" s="10" t="n"/>
      <c r="S503" s="10" t="n"/>
    </row>
    <row r="504" ht="274" customHeight="1">
      <c r="A504" s="6">
        <f>IFERROR(__xludf.DUMMYFUNCTION("""COMPUTED_VALUE"""),"Robotic Arm")</f>
        <v/>
      </c>
      <c r="B504" s="6">
        <f>IFERROR(__xludf.DUMMYFUNCTION("""COMPUTED_VALUE"""),"Application")</f>
        <v/>
      </c>
      <c r="C504" s="6">
        <f>IFERROR(__xludf.DUMMYFUNCTION("""COMPUTED_VALUE"""),"Quiz tool")</f>
        <v/>
      </c>
      <c r="D504" s="7">
        <f>IFERROR(__xludf.DUMMYFUNCTION("""COMPUTED_VALUE"""),"No task description")</f>
        <v/>
      </c>
      <c r="E5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04" s="7" t="inlineStr">
        <is>
          <t>Students learn about robotic arm geometry via video and identify relevant school subjects. Embedded artifacts include YouTube videos, webpages, and interactive quiz apps.</t>
        </is>
      </c>
      <c r="G504" s="8" t="n"/>
      <c r="H504" s="8" t="n"/>
      <c r="I504" s="8" t="n"/>
      <c r="J504" s="8" t="n"/>
      <c r="K504" s="9" t="n"/>
      <c r="L504" s="9" t="n"/>
      <c r="M504" s="9" t="n"/>
      <c r="N504" s="9" t="n"/>
      <c r="O504" s="10" t="n"/>
      <c r="P504" s="10" t="n"/>
      <c r="Q504" s="10" t="n"/>
      <c r="R504" s="10" t="n"/>
      <c r="S504" s="10" t="n"/>
    </row>
    <row r="505" ht="157" customHeight="1">
      <c r="A505" s="6">
        <f>IFERROR(__xludf.DUMMYFUNCTION("""COMPUTED_VALUE"""),"Robotic Arm")</f>
        <v/>
      </c>
      <c r="B505" s="6">
        <f>IFERROR(__xludf.DUMMYFUNCTION("""COMPUTED_VALUE"""),"Space")</f>
        <v/>
      </c>
      <c r="C505" s="6">
        <f>IFERROR(__xludf.DUMMYFUNCTION("""COMPUTED_VALUE"""),"Specifications")</f>
        <v/>
      </c>
      <c r="D505" s="7">
        <f>IFERROR(__xludf.DUMMYFUNCTION("""COMPUTED_VALUE"""),"&lt;p&gt;The principle of the mechanism of robotic hands&lt;/p&gt;")</f>
        <v/>
      </c>
      <c r="E505" s="7">
        <f>IFERROR(__xludf.DUMMYFUNCTION("""COMPUTED_VALUE"""),"No artifact embedded")</f>
        <v/>
      </c>
      <c r="F505" s="7" t="inlineStr">
        <is>
          <t>Students study robotic arms using general school subjects. Embedded artifacts include webpages, Golabz app/lab with interactive quizzes, and no artifact for robotic hand mechanisms.</t>
        </is>
      </c>
      <c r="G505" s="8" t="n"/>
      <c r="H505" s="8" t="n"/>
      <c r="I505" s="8" t="n"/>
      <c r="J505" s="8" t="n"/>
      <c r="K505" s="9" t="n"/>
      <c r="L505" s="9" t="n"/>
      <c r="M505" s="9" t="n"/>
      <c r="N505" s="9" t="n"/>
      <c r="O505" s="10" t="n"/>
      <c r="P505" s="10" t="n"/>
      <c r="Q505" s="10" t="n"/>
      <c r="R505" s="10" t="n"/>
      <c r="S505" s="10" t="n"/>
    </row>
    <row r="506" ht="121" customHeight="1">
      <c r="A506" s="6">
        <f>IFERROR(__xludf.DUMMYFUNCTION("""COMPUTED_VALUE"""),"Robotic Arm")</f>
        <v/>
      </c>
      <c r="B506" s="6">
        <f>IFERROR(__xludf.DUMMYFUNCTION("""COMPUTED_VALUE"""),"Resource")</f>
        <v/>
      </c>
      <c r="C506" s="6">
        <f>IFERROR(__xludf.DUMMYFUNCTION("""COMPUTED_VALUE"""),"Mechanisms")</f>
        <v/>
      </c>
      <c r="D506" s="7">
        <f>IFERROR(__xludf.DUMMYFUNCTION("""COMPUTED_VALUE"""),"No task description")</f>
        <v/>
      </c>
      <c r="E506" s="7">
        <f>IFERROR(__xludf.DUMMYFUNCTION("""COMPUTED_VALUE"""),"youtube.com: A widely known video-sharing platform where users can watch videos on a vast array of topics, including educational content.")</f>
        <v/>
      </c>
      <c r="F506" s="7" t="inlineStr">
        <is>
          <t>Students received tasks with varying descriptions and embedded artifacts, including Golabz app and YouTube.</t>
        </is>
      </c>
      <c r="G506" s="8" t="n"/>
      <c r="H506" s="8" t="n"/>
      <c r="I506" s="8" t="n"/>
      <c r="J506" s="8" t="n"/>
      <c r="K506" s="9" t="n"/>
      <c r="L506" s="9" t="n"/>
      <c r="M506" s="9" t="n"/>
      <c r="N506" s="9" t="n"/>
      <c r="O506" s="10" t="n"/>
      <c r="P506" s="10" t="n"/>
      <c r="Q506" s="10" t="n"/>
      <c r="R506" s="10" t="n"/>
      <c r="S506" s="10" t="n"/>
    </row>
    <row r="507" ht="121" customHeight="1">
      <c r="A507" s="6">
        <f>IFERROR(__xludf.DUMMYFUNCTION("""COMPUTED_VALUE"""),"Robotic Arm")</f>
        <v/>
      </c>
      <c r="B507" s="6">
        <f>IFERROR(__xludf.DUMMYFUNCTION("""COMPUTED_VALUE"""),"Space")</f>
        <v/>
      </c>
      <c r="C507" s="6">
        <f>IFERROR(__xludf.DUMMYFUNCTION("""COMPUTED_VALUE"""),"Conclusion")</f>
        <v/>
      </c>
      <c r="D507" s="7">
        <f>IFERROR(__xludf.DUMMYFUNCTION("""COMPUTED_VALUE"""),"No task description")</f>
        <v/>
      </c>
      <c r="E507" s="7">
        <f>IFERROR(__xludf.DUMMYFUNCTION("""COMPUTED_VALUE"""),"No artifact embedded")</f>
        <v/>
      </c>
      <c r="F507" s="7" t="inlineStr">
        <is>
          <t>Students were given tasks with varying levels of instruction and embedded artifacts, including a YouTube link for educational content.</t>
        </is>
      </c>
      <c r="G507" s="8" t="n"/>
      <c r="H507" s="8" t="n"/>
      <c r="I507" s="8" t="n"/>
      <c r="J507" s="8" t="n"/>
      <c r="K507" s="9" t="n"/>
      <c r="L507" s="9" t="n"/>
      <c r="M507" s="9" t="n"/>
      <c r="N507" s="9" t="n"/>
      <c r="O507" s="10" t="n"/>
      <c r="P507" s="10" t="n"/>
      <c r="Q507" s="10" t="n"/>
      <c r="R507" s="10" t="n"/>
      <c r="S507" s="10" t="n"/>
    </row>
    <row r="508" ht="409.6" customHeight="1">
      <c r="A508" s="6">
        <f>IFERROR(__xludf.DUMMYFUNCTION("""COMPUTED_VALUE"""),"Robotic Arm")</f>
        <v/>
      </c>
      <c r="B508" s="6">
        <f>IFERROR(__xludf.DUMMYFUNCTION("""COMPUTED_VALUE"""),"Application")</f>
        <v/>
      </c>
      <c r="C508" s="6">
        <f>IFERROR(__xludf.DUMMYFUNCTION("""COMPUTED_VALUE"""),"Equilibrium of three forces")</f>
        <v/>
      </c>
      <c r="D508" s="7">
        <f>IFERROR(__xludf.DUMMYFUNCTION("""COMPUTED_VALUE"""),"No task description")</f>
        <v/>
      </c>
      <c r="E508" s="7">
        <f>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
      </c>
      <c r="F508" s="7" t="inlineStr">
        <is>
          <t>No task descriptions provided, but embedded artifacts include YouTube and Golabz app/lab with a force equilibrium simulation.</t>
        </is>
      </c>
      <c r="G508" s="8" t="n"/>
      <c r="H508" s="8" t="n"/>
      <c r="I508" s="8" t="n"/>
      <c r="J508" s="8" t="n"/>
      <c r="K508" s="9" t="n"/>
      <c r="L508" s="9" t="n"/>
      <c r="M508" s="9" t="n"/>
      <c r="N508" s="9" t="n"/>
      <c r="O508" s="10" t="n"/>
      <c r="P508" s="10" t="n"/>
      <c r="Q508" s="10" t="n"/>
      <c r="R508" s="10" t="n"/>
      <c r="S508" s="10" t="n"/>
    </row>
    <row r="509" ht="109" customHeight="1">
      <c r="A509" s="6">
        <f>IFERROR(__xludf.DUMMYFUNCTION("""COMPUTED_VALUE"""),"Robotic Arm")</f>
        <v/>
      </c>
      <c r="B509" s="6">
        <f>IFERROR(__xludf.DUMMYFUNCTION("""COMPUTED_VALUE"""),"Space")</f>
        <v/>
      </c>
      <c r="C509" s="6">
        <f>IFERROR(__xludf.DUMMYFUNCTION("""COMPUTED_VALUE"""),"Discussion")</f>
        <v/>
      </c>
      <c r="D509" s="7">
        <f>IFERROR(__xludf.DUMMYFUNCTION("""COMPUTED_VALUE"""),"&lt;p&gt;Disccussion about hard questions in RoboArm&lt;/p&gt;")</f>
        <v/>
      </c>
      <c r="E509" s="7">
        <f>IFERROR(__xludf.DUMMYFUNCTION("""COMPUTED_VALUE"""),"No artifact embedded")</f>
        <v/>
      </c>
      <c r="F509" s="7" t="inlineStr">
        <is>
          <t>Students received minimal instructions with only one item, Item2, containing an embedded Golabz app simulating force equilibrium.</t>
        </is>
      </c>
      <c r="G509" s="8" t="n"/>
      <c r="H509" s="8" t="n"/>
      <c r="I509" s="8" t="n"/>
      <c r="J509" s="8" t="n"/>
      <c r="K509" s="9" t="n"/>
      <c r="L509" s="9" t="n"/>
      <c r="M509" s="9" t="n"/>
      <c r="N509" s="9" t="n"/>
      <c r="O509" s="10" t="n"/>
      <c r="P509" s="10" t="n"/>
      <c r="Q509" s="10" t="n"/>
      <c r="R509" s="10" t="n"/>
      <c r="S509" s="10" t="n"/>
    </row>
    <row r="510" ht="121" customHeight="1">
      <c r="A510" s="6">
        <f>IFERROR(__xludf.DUMMYFUNCTION("""COMPUTED_VALUE"""),"Robotic Arm")</f>
        <v/>
      </c>
      <c r="B510" s="6">
        <f>IFERROR(__xludf.DUMMYFUNCTION("""COMPUTED_VALUE"""),"Resource")</f>
        <v/>
      </c>
      <c r="C510" s="6">
        <f>IFERROR(__xludf.DUMMYFUNCTION("""COMPUTED_VALUE"""),"Log In | MindMeister")</f>
        <v/>
      </c>
      <c r="D510" s="7">
        <f>IFERROR(__xludf.DUMMYFUNCTION("""COMPUTED_VALUE"""),"No task description")</f>
        <v/>
      </c>
      <c r="E510" s="7">
        <f>IFERROR(__xludf.DUMMYFUNCTION("""COMPUTED_VALUE"""),"mindmeister.com: A mind mapping tool that allows users to create and share mind maps.")</f>
        <v/>
      </c>
      <c r="F510" s="7" t="inlineStr">
        <is>
          <t>Students received tasks with descriptions and embedded artifacts, including simulations and tools like Golabz app and MindMeister.</t>
        </is>
      </c>
      <c r="G510" s="8" t="n"/>
      <c r="H510" s="8" t="n"/>
      <c r="I510" s="8" t="n"/>
      <c r="J510" s="8" t="n"/>
      <c r="K510" s="9" t="n"/>
      <c r="L510" s="9" t="n"/>
      <c r="M510" s="9" t="n"/>
      <c r="N510" s="9" t="n"/>
      <c r="O510" s="10" t="n"/>
      <c r="P510" s="10" t="n"/>
      <c r="Q510" s="10" t="n"/>
      <c r="R510" s="10" t="n"/>
      <c r="S510" s="10" t="n"/>
    </row>
    <row r="511" ht="97" customHeight="1">
      <c r="A511" s="6">
        <f>IFERROR(__xludf.DUMMYFUNCTION("""COMPUTED_VALUE"""),"Robotic Arm")</f>
        <v/>
      </c>
      <c r="B511" s="6">
        <f>IFERROR(__xludf.DUMMYFUNCTION("""COMPUTED_VALUE"""),"Space")</f>
        <v/>
      </c>
      <c r="C511" s="6">
        <f>IFERROR(__xludf.DUMMYFUNCTION("""COMPUTED_VALUE"""),"Teacher")</f>
        <v/>
      </c>
      <c r="D511" s="7">
        <f>IFERROR(__xludf.DUMMYFUNCTION("""COMPUTED_VALUE"""),"No task description")</f>
        <v/>
      </c>
      <c r="E511" s="7">
        <f>IFERROR(__xludf.DUMMYFUNCTION("""COMPUTED_VALUE"""),"No artifact embedded")</f>
        <v/>
      </c>
      <c r="F511" s="7" t="inlineStr">
        <is>
          <t>Students discussed RoboArm, used a mind mapping tool, but had no other instructions or artifacts provided.</t>
        </is>
      </c>
      <c r="G511" s="8" t="n"/>
      <c r="H511" s="8" t="n"/>
      <c r="I511" s="8" t="n"/>
      <c r="J511" s="8" t="n"/>
      <c r="K511" s="9" t="n"/>
      <c r="L511" s="9" t="n"/>
      <c r="M511" s="9" t="n"/>
      <c r="N511" s="9" t="n"/>
      <c r="O511" s="10" t="n"/>
      <c r="P511" s="10" t="n"/>
      <c r="Q511" s="10" t="n"/>
      <c r="R511" s="10" t="n"/>
      <c r="S511" s="10" t="n"/>
    </row>
    <row r="512" ht="109" customHeight="1">
      <c r="A512" s="6">
        <f>IFERROR(__xludf.DUMMYFUNCTION("""COMPUTED_VALUE"""),"Robotic Arm")</f>
        <v/>
      </c>
      <c r="B512" s="6">
        <f>IFERROR(__xludf.DUMMYFUNCTION("""COMPUTED_VALUE"""),"Application")</f>
        <v/>
      </c>
      <c r="C512" s="6">
        <f>IFERROR(__xludf.DUMMYFUNCTION("""COMPUTED_VALUE"""),"Hypothesis Scratchpad")</f>
        <v/>
      </c>
      <c r="D512" s="7">
        <f>IFERROR(__xludf.DUMMYFUNCTION("""COMPUTED_VALUE"""),"No task description")</f>
        <v/>
      </c>
      <c r="E512" s="7">
        <f>IFERROR(__xludf.DUMMYFUNCTION("""COMPUTED_VALUE"""),"No artifact embedded")</f>
        <v/>
      </c>
      <c r="F512" s="7" t="inlineStr">
        <is>
          <t>No instructions provided; only Item1 has an embedded artifact, a mind mapping tool from mindmeister.com.</t>
        </is>
      </c>
      <c r="G512" s="8" t="n"/>
      <c r="H512" s="8" t="n"/>
      <c r="I512" s="8" t="n"/>
      <c r="J512" s="8" t="n"/>
      <c r="K512" s="9" t="n"/>
      <c r="L512" s="9" t="n"/>
      <c r="M512" s="9" t="n"/>
      <c r="N512" s="9" t="n"/>
      <c r="O512" s="10" t="n"/>
      <c r="P512" s="10" t="n"/>
      <c r="Q512" s="10" t="n"/>
      <c r="R512" s="10" t="n"/>
      <c r="S512" s="10" t="n"/>
    </row>
    <row r="513" ht="85" customHeight="1">
      <c r="A513" s="6">
        <f>IFERROR(__xludf.DUMMYFUNCTION("""COMPUTED_VALUE"""),"Robotic Arm")</f>
        <v/>
      </c>
      <c r="B513" s="6">
        <f>IFERROR(__xludf.DUMMYFUNCTION("""COMPUTED_VALUE"""),"Application")</f>
        <v/>
      </c>
      <c r="C513" s="6">
        <f>IFERROR(__xludf.DUMMYFUNCTION("""COMPUTED_VALUE"""),"F.A.Q")</f>
        <v/>
      </c>
      <c r="D513" s="7">
        <f>IFERROR(__xludf.DUMMYFUNCTION("""COMPUTED_VALUE"""),"&lt;p&gt;F.A.Q.&lt;/p&gt;")</f>
        <v/>
      </c>
      <c r="E513" s="7">
        <f>IFERROR(__xludf.DUMMYFUNCTION("""COMPUTED_VALUE"""),"No artifact embedded")</f>
        <v/>
      </c>
      <c r="F513" s="7" t="inlineStr">
        <is>
          <t>No instructions or artifacts are provided, except for a task titled "F.A.Q." with no embedded artifact.</t>
        </is>
      </c>
      <c r="G513" s="8" t="n"/>
      <c r="H513" s="8" t="n"/>
      <c r="I513" s="8" t="n"/>
      <c r="J513" s="8" t="n"/>
      <c r="K513" s="9" t="n"/>
      <c r="L513" s="9" t="n"/>
      <c r="M513" s="9" t="n"/>
      <c r="N513" s="9" t="n"/>
      <c r="O513" s="10" t="n"/>
      <c r="P513" s="10" t="n"/>
      <c r="Q513" s="10" t="n"/>
      <c r="R513" s="10" t="n"/>
      <c r="S513" s="10" t="n"/>
    </row>
    <row r="514" ht="121" customHeight="1">
      <c r="A514" s="6">
        <f>IFERROR(__xludf.DUMMYFUNCTION("""COMPUTED_VALUE"""),"Robotic Arm")</f>
        <v/>
      </c>
      <c r="B514" s="6">
        <f>IFERROR(__xludf.DUMMYFUNCTION("""COMPUTED_VALUE"""),"Application")</f>
        <v/>
      </c>
      <c r="C514" s="6">
        <f>IFERROR(__xludf.DUMMYFUNCTION("""COMPUTED_VALUE"""),"Mechanical Equivalent of Heat")</f>
        <v/>
      </c>
      <c r="D514" s="7">
        <f>IFERROR(__xludf.DUMMYFUNCTION("""COMPUTED_VALUE"""),"No task description")</f>
        <v/>
      </c>
      <c r="E514" s="7">
        <f>IFERROR(__xludf.DUMMYFUNCTION("""COMPUTED_VALUE"""),"No artifact embedded")</f>
        <v/>
      </c>
      <c r="F514" s="7" t="inlineStr">
        <is>
          <t>Students received minimal instructions with no task descriptions and no embedded artifacts in most items, except Item2 which is a F.A.Q.</t>
        </is>
      </c>
      <c r="G514" s="8" t="n"/>
      <c r="H514" s="8" t="n"/>
      <c r="I514" s="8" t="n"/>
      <c r="J514" s="8" t="n"/>
      <c r="K514" s="9" t="n"/>
      <c r="L514" s="9" t="n"/>
      <c r="M514" s="9" t="n"/>
      <c r="N514" s="9" t="n"/>
      <c r="O514" s="10" t="n"/>
      <c r="P514" s="10" t="n"/>
      <c r="Q514" s="10" t="n"/>
      <c r="R514" s="10" t="n"/>
      <c r="S514" s="10" t="n"/>
    </row>
    <row r="515" ht="49" customHeight="1">
      <c r="A515" s="6">
        <f>IFERROR(__xludf.DUMMYFUNCTION("""COMPUTED_VALUE"""),"Robotic Arm")</f>
        <v/>
      </c>
      <c r="B515" s="6">
        <f>IFERROR(__xludf.DUMMYFUNCTION("""COMPUTED_VALUE"""),"Application")</f>
        <v/>
      </c>
      <c r="C515" s="6">
        <f>IFERROR(__xludf.DUMMYFUNCTION("""COMPUTED_VALUE"""),"Universal Gravity Lab")</f>
        <v/>
      </c>
      <c r="D515" s="7">
        <f>IFERROR(__xludf.DUMMYFUNCTION("""COMPUTED_VALUE"""),"No task description")</f>
        <v/>
      </c>
      <c r="E515" s="7">
        <f>IFERROR(__xludf.DUMMYFUNCTION("""COMPUTED_VALUE"""),"No artifact embedded")</f>
        <v/>
      </c>
      <c r="F515" s="7" t="inlineStr">
        <is>
          <t>No instructions or artifacts are provided in Items 1, 2, and 3.</t>
        </is>
      </c>
      <c r="G515" s="8" t="n"/>
      <c r="H515" s="8" t="n"/>
      <c r="I515" s="8" t="n"/>
      <c r="J515" s="8" t="n"/>
      <c r="K515" s="9" t="n"/>
      <c r="L515" s="9" t="n"/>
      <c r="M515" s="9" t="n"/>
      <c r="N515" s="9" t="n"/>
      <c r="O515" s="10" t="n"/>
      <c r="P515" s="10" t="n"/>
      <c r="Q515" s="10" t="n"/>
      <c r="R515" s="10" t="n"/>
      <c r="S515" s="10" t="n"/>
    </row>
    <row r="516" ht="409.6" customHeight="1">
      <c r="A516" s="6">
        <f>IFERROR(__xludf.DUMMYFUNCTION("""COMPUTED_VALUE"""),"Racism in modern society")</f>
        <v/>
      </c>
      <c r="B516" s="6">
        <f>IFERROR(__xludf.DUMMYFUNCTION("""COMPUTED_VALUE"""),"Space")</f>
        <v/>
      </c>
      <c r="C516" s="6">
        <f>IFERROR(__xludf.DUMMYFUNCTION("""COMPUTED_VALUE"""),"Orientation")</f>
        <v/>
      </c>
      <c r="D516" s="7">
        <f>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
      </c>
      <c r="E516" s="7">
        <f>IFERROR(__xludf.DUMMYFUNCTION("""COMPUTED_VALUE"""),"No artifact embedded")</f>
        <v/>
      </c>
      <c r="F516" s="7" t="inlineStr">
        <is>
          <t>No task descriptions or artifacts are provided for Items 1 and 2. Item 3 discusses racism from a social learning perspective.</t>
        </is>
      </c>
      <c r="G516" s="8" t="n"/>
      <c r="H516" s="8" t="n"/>
      <c r="I516" s="8" t="n"/>
      <c r="J516" s="8" t="n"/>
      <c r="K516" s="9" t="n"/>
      <c r="L516" s="9" t="n"/>
      <c r="M516" s="9" t="n"/>
      <c r="N516" s="9" t="n"/>
      <c r="O516" s="10" t="n"/>
      <c r="P516" s="10" t="n"/>
      <c r="Q516" s="10" t="n"/>
      <c r="R516" s="10" t="n"/>
      <c r="S516" s="10" t="n"/>
    </row>
    <row r="517" ht="109" customHeight="1">
      <c r="A517" s="6">
        <f>IFERROR(__xludf.DUMMYFUNCTION("""COMPUTED_VALUE"""),"Racism in modern society")</f>
        <v/>
      </c>
      <c r="B517" s="6">
        <f>IFERROR(__xludf.DUMMYFUNCTION("""COMPUTED_VALUE"""),"Resource")</f>
        <v/>
      </c>
      <c r="C517" s="6">
        <f>IFERROR(__xludf.DUMMYFUNCTION("""COMPUTED_VALUE"""),"Stop racism")</f>
        <v/>
      </c>
      <c r="D517" s="7">
        <f>IFERROR(__xludf.DUMMYFUNCTION("""COMPUTED_VALUE"""),"No task description")</f>
        <v/>
      </c>
      <c r="E517" s="7">
        <f>IFERROR(__xludf.DUMMYFUNCTION("""COMPUTED_VALUE"""),"image/jpeg – A digital photograph or web image stored in a compressed format, often used for photography and web graphics.")</f>
        <v/>
      </c>
      <c r="F517" s="7" t="inlineStr">
        <is>
          <t>Students examine racism from a social learning perspective. Items 1 and 2 have no artifacts, while Item 3 has a JPEG image embedded.</t>
        </is>
      </c>
      <c r="G517" s="8" t="n"/>
      <c r="H517" s="8" t="n"/>
      <c r="I517" s="8" t="n"/>
      <c r="J517" s="8" t="n"/>
      <c r="K517" s="9" t="n"/>
      <c r="L517" s="9" t="n"/>
      <c r="M517" s="9" t="n"/>
      <c r="N517" s="9" t="n"/>
      <c r="O517" s="10" t="n"/>
      <c r="P517" s="10" t="n"/>
      <c r="Q517" s="10" t="n"/>
      <c r="R517" s="10" t="n"/>
      <c r="S517" s="10" t="n"/>
    </row>
    <row r="518" ht="169" customHeight="1">
      <c r="A518" s="6">
        <f>IFERROR(__xludf.DUMMYFUNCTION("""COMPUTED_VALUE"""),"Racism in modern society")</f>
        <v/>
      </c>
      <c r="B518" s="6">
        <f>IFERROR(__xludf.DUMMYFUNCTION("""COMPUTED_VALUE"""),"Resource")</f>
        <v/>
      </c>
      <c r="C518" s="6">
        <f>IFERROR(__xludf.DUMMYFUNCTION("""COMPUTED_VALUE"""),"Stop racism (1)")</f>
        <v/>
      </c>
      <c r="D518" s="7">
        <f>IFERROR(__xludf.DUMMYFUNCTION("""COMPUTED_VALUE"""),"41s""")</f>
        <v/>
      </c>
      <c r="E518" s="7">
        <f>IFERROR(__xludf.DUMMYFUNCTION("""COMPUTED_VALUE"""),"image/jpeg – A digital photograph or web image stored in a compressed format, often used for photography and web graphics.")</f>
        <v/>
      </c>
      <c r="F518" s="7" t="inlineStr">
        <is>
          <t>Students examine racism from a social learning perspective. Embedded artifacts include two JPEG images, but no specific instructions are provided beyond the task description in Item1.</t>
        </is>
      </c>
      <c r="G518" s="8" t="n"/>
      <c r="H518" s="8" t="n"/>
      <c r="I518" s="8" t="n"/>
      <c r="J518" s="8" t="n"/>
      <c r="K518" s="9" t="n"/>
      <c r="L518" s="9" t="n"/>
      <c r="M518" s="9" t="n"/>
      <c r="N518" s="9" t="n"/>
      <c r="O518" s="10" t="n"/>
      <c r="P518" s="10" t="n"/>
      <c r="Q518" s="10" t="n"/>
      <c r="R518" s="10" t="n"/>
      <c r="S518" s="10" t="n"/>
    </row>
    <row r="519" ht="109" customHeight="1">
      <c r="A519" s="6">
        <f>IFERROR(__xludf.DUMMYFUNCTION("""COMPUTED_VALUE"""),"Racism in modern society")</f>
        <v/>
      </c>
      <c r="B519" s="6">
        <f>IFERROR(__xludf.DUMMYFUNCTION("""COMPUTED_VALUE"""),"Resource")</f>
        <v/>
      </c>
      <c r="C519" s="6">
        <f>IFERROR(__xludf.DUMMYFUNCTION("""COMPUTED_VALUE"""),"Stop racism (2)")</f>
        <v/>
      </c>
      <c r="D519" s="7">
        <f>IFERROR(__xludf.DUMMYFUNCTION("""COMPUTED_VALUE"""),"No task description")</f>
        <v/>
      </c>
      <c r="E519" s="7">
        <f>IFERROR(__xludf.DUMMYFUNCTION("""COMPUTED_VALUE"""),"image/jpeg – A digital photograph or web image stored in a compressed format, often used for photography and web graphics.")</f>
        <v/>
      </c>
      <c r="F519" s="7" t="inlineStr">
        <is>
          <t>No task descriptions are provided, but all items contain JPEG images as embedded artifacts.</t>
        </is>
      </c>
      <c r="G519" s="8" t="n"/>
      <c r="H519" s="8" t="n"/>
      <c r="I519" s="8" t="n"/>
      <c r="J519" s="8" t="n"/>
      <c r="K519" s="9" t="n"/>
      <c r="L519" s="9" t="n"/>
      <c r="M519" s="9" t="n"/>
      <c r="N519" s="9" t="n"/>
      <c r="O519" s="10" t="n"/>
      <c r="P519" s="10" t="n"/>
      <c r="Q519" s="10" t="n"/>
      <c r="R519" s="10" t="n"/>
      <c r="S519" s="10" t="n"/>
    </row>
    <row r="520" ht="145" customHeight="1">
      <c r="A520" s="6">
        <f>IFERROR(__xludf.DUMMYFUNCTION("""COMPUTED_VALUE"""),"Racism in modern society")</f>
        <v/>
      </c>
      <c r="B520" s="6">
        <f>IFERROR(__xludf.DUMMYFUNCTION("""COMPUTED_VALUE"""),"Space")</f>
        <v/>
      </c>
      <c r="C520" s="6">
        <f>IFERROR(__xludf.DUMMYFUNCTION("""COMPUTED_VALUE"""),"Conceptualisation")</f>
        <v/>
      </c>
      <c r="D520" s="7">
        <f>IFERROR(__xludf.DUMMYFUNCTION("""COMPUTED_VALUE"""),"&lt;p&gt;Work through the materials attached and watch the videos to be ready for discussion concerning our topic as well as to express your own thoughts and attitude to it.&lt;br&gt;&lt;/p&gt;")</f>
        <v/>
      </c>
      <c r="E520" s="7">
        <f>IFERROR(__xludf.DUMMYFUNCTION("""COMPUTED_VALUE"""),"No artifact embedded")</f>
        <v/>
      </c>
      <c r="F520" s="7" t="inlineStr">
        <is>
          <t>Students were given tasks with embedded images (jpeg) or no artifacts, with one task requiring review of materials and video watching for discussion.</t>
        </is>
      </c>
      <c r="G520" s="8" t="n"/>
      <c r="H520" s="8" t="n"/>
      <c r="I520" s="8" t="n"/>
      <c r="J520" s="8" t="n"/>
      <c r="K520" s="9" t="n"/>
      <c r="L520" s="9" t="n"/>
      <c r="M520" s="9" t="n"/>
      <c r="N520" s="9" t="n"/>
      <c r="O520" s="10" t="n"/>
      <c r="P520" s="10" t="n"/>
      <c r="Q520" s="10" t="n"/>
      <c r="R520" s="10" t="n"/>
      <c r="S520" s="10" t="n"/>
    </row>
    <row r="521" ht="121" customHeight="1">
      <c r="A521" s="6">
        <f>IFERROR(__xludf.DUMMYFUNCTION("""COMPUTED_VALUE"""),"Racism in modern society")</f>
        <v/>
      </c>
      <c r="B521" s="6">
        <f>IFERROR(__xludf.DUMMYFUNCTION("""COMPUTED_VALUE"""),"Resource")</f>
        <v/>
      </c>
      <c r="C521" s="6">
        <f>IFERROR(__xludf.DUMMYFUNCTION("""COMPUTED_VALUE"""),"Racism")</f>
        <v/>
      </c>
      <c r="D521" s="7">
        <f>IFERROR(__xludf.DUMMYFUNCTION("""COMPUTED_VALUE"""),"No task description")</f>
        <v/>
      </c>
      <c r="E521" s="7">
        <f>IFERROR(__xludf.DUMMYFUNCTION("""COMPUTED_VALUE"""),"internesque.com: This domain appears to host essays or articles on various topics, including discussions on racism.")</f>
        <v/>
      </c>
      <c r="F521" s="7" t="inlineStr">
        <is>
          <t>Students were given tasks with varying descriptions and embedded artifacts, including images and websites, to complete assignments.</t>
        </is>
      </c>
      <c r="G521" s="8" t="n"/>
      <c r="H521" s="8" t="n"/>
      <c r="I521" s="8" t="n"/>
      <c r="J521" s="8" t="n"/>
      <c r="K521" s="9" t="n"/>
      <c r="L521" s="9" t="n"/>
      <c r="M521" s="9" t="n"/>
      <c r="N521" s="9" t="n"/>
      <c r="O521" s="10" t="n"/>
      <c r="P521" s="10" t="n"/>
      <c r="Q521" s="10" t="n"/>
      <c r="R521" s="10" t="n"/>
      <c r="S521" s="10" t="n"/>
    </row>
    <row r="522" ht="121" customHeight="1">
      <c r="A522" s="6">
        <f>IFERROR(__xludf.DUMMYFUNCTION("""COMPUTED_VALUE"""),"Racism in modern society")</f>
        <v/>
      </c>
      <c r="B522" s="6">
        <f>IFERROR(__xludf.DUMMYFUNCTION("""COMPUTED_VALUE"""),"Resource")</f>
        <v/>
      </c>
      <c r="C522" s="6">
        <f>IFERROR(__xludf.DUMMYFUNCTION("""COMPUTED_VALUE"""),"MODERN RACISM: THE CAUSE, CULTURE, AND EFFECTS-THE RESULT OF SOCIAL LEARNING")</f>
        <v/>
      </c>
      <c r="D522" s="7">
        <f>IFERROR(__xludf.DUMMYFUNCTION("""COMPUTED_VALUE"""),"No task description")</f>
        <v/>
      </c>
      <c r="E522" s="7">
        <f>IFERROR(__xludf.DUMMYFUNCTION("""COMPUTED_VALUE"""),"psychsocialissues.com: Discusses psychological and social issues, including articles on modern racism.")</f>
        <v/>
      </c>
      <c r="F522" s="7" t="inlineStr">
        <is>
          <t>Students are instructed to review materials and watch videos for discussion. Embedded artifacts include websites on racism and social issues.</t>
        </is>
      </c>
      <c r="G522" s="8" t="n"/>
      <c r="H522" s="8" t="n"/>
      <c r="I522" s="8" t="n"/>
      <c r="J522" s="8" t="n"/>
      <c r="K522" s="9" t="n"/>
      <c r="L522" s="9" t="n"/>
      <c r="M522" s="9" t="n"/>
      <c r="N522" s="9" t="n"/>
      <c r="O522" s="10" t="n"/>
      <c r="P522" s="10" t="n"/>
      <c r="Q522" s="10" t="n"/>
      <c r="R522" s="10" t="n"/>
      <c r="S522" s="10" t="n"/>
    </row>
    <row r="523" ht="133" customHeight="1">
      <c r="A523" s="6">
        <f>IFERROR(__xludf.DUMMYFUNCTION("""COMPUTED_VALUE"""),"Racism in modern society")</f>
        <v/>
      </c>
      <c r="B523" s="6">
        <f>IFERROR(__xludf.DUMMYFUNCTION("""COMPUTED_VALUE"""),"Resource")</f>
        <v/>
      </c>
      <c r="C523" s="6">
        <f>IFERROR(__xludf.DUMMYFUNCTION("""COMPUTED_VALUE"""),"Racism and discrimination in Ukraine")</f>
        <v/>
      </c>
      <c r="D523" s="7">
        <f>IFERROR(__xludf.DUMMYFUNCTION("""COMPUTED_VALUE"""),"No task description")</f>
        <v/>
      </c>
      <c r="E523" s="7">
        <f>IFERROR(__xludf.DUMMYFUNCTION("""COMPUTED_VALUE"""),"en.wikipedia.org: The English version of Wikipedia, a free online encyclopedia, offering articles on topics like racism and discrimination in Ukraine.")</f>
        <v/>
      </c>
      <c r="F523" s="7" t="inlineStr">
        <is>
          <t>No instructions provided; artifacts include websites discussing racism and social issues.</t>
        </is>
      </c>
      <c r="G523" s="8" t="n"/>
      <c r="H523" s="8" t="n"/>
      <c r="I523" s="8" t="n"/>
      <c r="J523" s="8" t="n"/>
      <c r="K523" s="9" t="n"/>
      <c r="L523" s="9" t="n"/>
      <c r="M523" s="9" t="n"/>
      <c r="N523" s="9" t="n"/>
      <c r="O523" s="10" t="n"/>
      <c r="P523" s="10" t="n"/>
      <c r="Q523" s="10" t="n"/>
      <c r="R523" s="10" t="n"/>
      <c r="S523" s="10" t="n"/>
    </row>
    <row r="524" ht="121" customHeight="1">
      <c r="A524" s="6">
        <f>IFERROR(__xludf.DUMMYFUNCTION("""COMPUTED_VALUE"""),"Racism in modern society")</f>
        <v/>
      </c>
      <c r="B524" s="6">
        <f>IFERROR(__xludf.DUMMYFUNCTION("""COMPUTED_VALUE"""),"Resource")</f>
        <v/>
      </c>
      <c r="C524" s="6">
        <f>IFERROR(__xludf.DUMMYFUNCTION("""COMPUTED_VALUE"""),"The Science Of Racism")</f>
        <v/>
      </c>
      <c r="D524" s="7">
        <f>IFERROR(__xludf.DUMMYFUNCTION("""COMPUTED_VALUE"""),"&lt;p&gt;Why are some people racist, but others are not?&lt;/p&gt;")</f>
        <v/>
      </c>
      <c r="E524" s="7">
        <f>IFERROR(__xludf.DUMMYFUNCTION("""COMPUTED_VALUE"""),"youtube.com: A widely known video-sharing platform where users can watch videos on a vast array of topics, including educational content.")</f>
        <v/>
      </c>
      <c r="F524" s="7" t="inlineStr">
        <is>
          <t>Students were given no specific tasks, but provided with online resources on racism and social issues.</t>
        </is>
      </c>
      <c r="G524" s="8" t="n"/>
      <c r="H524" s="8" t="n"/>
      <c r="I524" s="8" t="n"/>
      <c r="J524" s="8" t="n"/>
      <c r="K524" s="9" t="n"/>
      <c r="L524" s="9" t="n"/>
      <c r="M524" s="9" t="n"/>
      <c r="N524" s="9" t="n"/>
      <c r="O524" s="10" t="n"/>
      <c r="P524" s="10" t="n"/>
      <c r="Q524" s="10" t="n"/>
      <c r="R524" s="10" t="n"/>
      <c r="S524" s="10" t="n"/>
    </row>
    <row r="525" ht="121" customHeight="1">
      <c r="A525" s="6">
        <f>IFERROR(__xludf.DUMMYFUNCTION("""COMPUTED_VALUE"""),"Racism in modern society")</f>
        <v/>
      </c>
      <c r="B525" s="6">
        <f>IFERROR(__xludf.DUMMYFUNCTION("""COMPUTED_VALUE"""),"Resource")</f>
        <v/>
      </c>
      <c r="C525" s="6">
        <f>IFERROR(__xludf.DUMMYFUNCTION("""COMPUTED_VALUE"""),"THE RACISM EXPERIMENT!")</f>
        <v/>
      </c>
      <c r="D525" s="7">
        <f>IFERROR(__xludf.DUMMYFUNCTION("""COMPUTED_VALUE"""),"No task description")</f>
        <v/>
      </c>
      <c r="E525" s="7">
        <f>IFERROR(__xludf.DUMMYFUNCTION("""COMPUTED_VALUE"""),"youtube.com: A widely known video-sharing platform where users can watch videos on a vast array of topics, including educational content.")</f>
        <v/>
      </c>
      <c r="F525" s="7" t="inlineStr">
        <is>
          <t>Students received tasks with embedded artifacts from Wikipedia and YouTube to explore racism and discrimination topics.</t>
        </is>
      </c>
      <c r="G525" s="8" t="n"/>
      <c r="H525" s="8" t="n"/>
      <c r="I525" s="8" t="n"/>
      <c r="J525" s="8" t="n"/>
      <c r="K525" s="9" t="n"/>
      <c r="L525" s="9" t="n"/>
      <c r="M525" s="9" t="n"/>
      <c r="N525" s="9" t="n"/>
      <c r="O525" s="10" t="n"/>
      <c r="P525" s="10" t="n"/>
      <c r="Q525" s="10" t="n"/>
      <c r="R525" s="10" t="n"/>
      <c r="S525" s="10" t="n"/>
    </row>
    <row r="526" ht="181" customHeight="1">
      <c r="A526" s="6">
        <f>IFERROR(__xludf.DUMMYFUNCTION("""COMPUTED_VALUE"""),"Racism in modern society")</f>
        <v/>
      </c>
      <c r="B526" s="6">
        <f>IFERROR(__xludf.DUMMYFUNCTION("""COMPUTED_VALUE"""),"Space")</f>
        <v/>
      </c>
      <c r="C526" s="6">
        <f>IFERROR(__xludf.DUMMYFUNCTION("""COMPUTED_VALUE"""),"Discussion")</f>
        <v/>
      </c>
      <c r="D526" s="7">
        <f>IFERROR(__xludf.DUMMYFUNCTION("""COMPUTED_VALUE"""),"&lt;p&gt;Here you can find the discussion concerning racism in modern society. You're welcome to express your opinion as well as comment opinions of your peers.&lt;/p&gt;&lt;p&gt;The questions are inside the discussion.&lt;/p&gt;")</f>
        <v/>
      </c>
      <c r="E526" s="7">
        <f>IFERROR(__xludf.DUMMYFUNCTION("""COMPUTED_VALUE"""),"No artifact embedded")</f>
        <v/>
      </c>
      <c r="F526" s="7" t="inlineStr">
        <is>
          <t>Students discuss racism, with tasks involving video content on youtube.com and a peer discussion forum.</t>
        </is>
      </c>
      <c r="G526" s="8" t="n"/>
      <c r="H526" s="8" t="n"/>
      <c r="I526" s="8" t="n"/>
      <c r="J526" s="8" t="n"/>
      <c r="K526" s="9" t="n"/>
      <c r="L526" s="9" t="n"/>
      <c r="M526" s="9" t="n"/>
      <c r="N526" s="9" t="n"/>
      <c r="O526" s="10" t="n"/>
      <c r="P526" s="10" t="n"/>
      <c r="Q526" s="10" t="n"/>
      <c r="R526" s="10" t="n"/>
      <c r="S526" s="10" t="n"/>
    </row>
    <row r="527" ht="263" customHeight="1">
      <c r="A527" s="6">
        <f>IFERROR(__xludf.DUMMYFUNCTION("""COMPUTED_VALUE"""),"Racism in modern society")</f>
        <v/>
      </c>
      <c r="B527" s="6">
        <f>IFERROR(__xludf.DUMMYFUNCTION("""COMPUTED_VALUE"""),"Topic")</f>
        <v/>
      </c>
      <c r="C527" s="6">
        <f>IFERROR(__xludf.DUMMYFUNCTION("""COMPUTED_VALUE"""),"Your attitude to racism")</f>
        <v/>
      </c>
      <c r="D527" s="7">
        <f>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
      </c>
      <c r="E527" s="7">
        <f>IFERROR(__xludf.DUMMYFUNCTION("""COMPUTED_VALUE"""),"text/html – A webpage or web document that contains structured text, images, and links, designed for display in a web browser.")</f>
        <v/>
      </c>
      <c r="F527" s="7" t="inlineStr">
        <is>
          <t>Students were given discussion tasks on racism with some items having embedded artifacts like YouTube and HTML webpages.</t>
        </is>
      </c>
      <c r="G527" s="8" t="n"/>
      <c r="H527" s="8" t="n"/>
      <c r="I527" s="8" t="n"/>
      <c r="J527" s="8" t="n"/>
      <c r="K527" s="9" t="n"/>
      <c r="L527" s="9" t="n"/>
      <c r="M527" s="9" t="n"/>
      <c r="N527" s="9" t="n"/>
      <c r="O527" s="10" t="n"/>
      <c r="P527" s="10" t="n"/>
      <c r="Q527" s="10" t="n"/>
      <c r="R527" s="10" t="n"/>
      <c r="S527" s="10" t="n"/>
    </row>
    <row r="528" ht="409.6" customHeight="1">
      <c r="A528" s="6">
        <f>IFERROR(__xludf.DUMMYFUNCTION("""COMPUTED_VALUE"""),"Racism in modern society")</f>
        <v/>
      </c>
      <c r="B528" s="6">
        <f>IFERROR(__xludf.DUMMYFUNCTION("""COMPUTED_VALUE"""),"Space")</f>
        <v/>
      </c>
      <c r="C528" s="6">
        <f>IFERROR(__xludf.DUMMYFUNCTION("""COMPUTED_VALUE"""),"Investigation")</f>
        <v/>
      </c>
      <c r="D528" s="7">
        <f>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
      </c>
      <c r="E528" s="7">
        <f>IFERROR(__xludf.DUMMYFUNCTION("""COMPUTED_VALUE"""),"No artifact embedded")</f>
        <v/>
      </c>
      <c r="F528" s="7" t="inlineStr">
        <is>
          <t>Students discuss racism, share opinions, and complete tasks with audio and vocabulary exercises, with some items having embedded HTML artifacts or no artifacts.</t>
        </is>
      </c>
      <c r="G528" s="8" t="n"/>
      <c r="H528" s="8" t="n"/>
      <c r="I528" s="8" t="n"/>
      <c r="J528" s="8" t="n"/>
      <c r="K528" s="9" t="n"/>
      <c r="L528" s="9" t="n"/>
      <c r="M528" s="9" t="n"/>
      <c r="N528" s="9" t="n"/>
      <c r="O528" s="10" t="n"/>
      <c r="P528" s="10" t="n"/>
      <c r="Q528" s="10" t="n"/>
      <c r="R528" s="10" t="n"/>
      <c r="S528" s="10" t="n"/>
    </row>
    <row r="529" ht="241" customHeight="1">
      <c r="A529" s="6">
        <f>IFERROR(__xludf.DUMMYFUNCTION("""COMPUTED_VALUE"""),"Racism in modern society")</f>
        <v/>
      </c>
      <c r="B529" s="6">
        <f>IFERROR(__xludf.DUMMYFUNCTION("""COMPUTED_VALUE"""),"Application")</f>
        <v/>
      </c>
      <c r="C529" s="6">
        <f>IFERROR(__xludf.DUMMYFUNCTION("""COMPUTED_VALUE"""),"Summary")</f>
        <v/>
      </c>
      <c r="D529" s="7">
        <f>IFERROR(__xludf.DUMMYFUNCTION("""COMPUTED_VALUE"""),"No task description")</f>
        <v/>
      </c>
      <c r="E52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29" s="7" t="inlineStr">
        <is>
          <t>Students are asked to share opinions on racism, listen to audio about Sojourner Truth, and complete tasks with embedded artifacts like webpages and apps.</t>
        </is>
      </c>
      <c r="G529" s="8" t="n"/>
      <c r="H529" s="8" t="n"/>
      <c r="I529" s="8" t="n"/>
      <c r="J529" s="8" t="n"/>
      <c r="K529" s="9" t="n"/>
      <c r="L529" s="9" t="n"/>
      <c r="M529" s="9" t="n"/>
      <c r="N529" s="9" t="n"/>
      <c r="O529" s="10" t="n"/>
      <c r="P529" s="10" t="n"/>
      <c r="Q529" s="10" t="n"/>
      <c r="R529" s="10" t="n"/>
      <c r="S529" s="10" t="n"/>
    </row>
    <row r="530" ht="241" customHeight="1">
      <c r="A530" s="6">
        <f>IFERROR(__xludf.DUMMYFUNCTION("""COMPUTED_VALUE"""),"Racism in modern society")</f>
        <v/>
      </c>
      <c r="B530" s="6">
        <f>IFERROR(__xludf.DUMMYFUNCTION("""COMPUTED_VALUE"""),"Application")</f>
        <v/>
      </c>
      <c r="C530" s="6">
        <f>IFERROR(__xludf.DUMMYFUNCTION("""COMPUTED_VALUE"""),"Questions")</f>
        <v/>
      </c>
      <c r="D530" s="7">
        <f>IFERROR(__xludf.DUMMYFUNCTION("""COMPUTED_VALUE"""),"No task description")</f>
        <v/>
      </c>
      <c r="E530"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30" s="7" t="inlineStr">
        <is>
          <t>Listen to audio about Sojourner Truth, write a summary in Ukrainian, and answer questions using Golabz app/lab with embedded questionnaire features.</t>
        </is>
      </c>
      <c r="G530" s="8" t="n"/>
      <c r="H530" s="8" t="n"/>
      <c r="I530" s="8" t="n"/>
      <c r="J530" s="8" t="n"/>
      <c r="K530" s="9" t="n"/>
      <c r="L530" s="9" t="n"/>
      <c r="M530" s="9" t="n"/>
      <c r="N530" s="9" t="n"/>
      <c r="O530" s="10" t="n"/>
      <c r="P530" s="10" t="n"/>
      <c r="Q530" s="10" t="n"/>
      <c r="R530" s="10" t="n"/>
      <c r="S530" s="10" t="n"/>
    </row>
    <row r="531" ht="97" customHeight="1">
      <c r="A531" s="6">
        <f>IFERROR(__xludf.DUMMYFUNCTION("""COMPUTED_VALUE"""),"Racism in modern society")</f>
        <v/>
      </c>
      <c r="B531" s="6">
        <f>IFERROR(__xludf.DUMMYFUNCTION("""COMPUTED_VALUE"""),"Application")</f>
        <v/>
      </c>
      <c r="C531" s="6">
        <f>IFERROR(__xludf.DUMMYFUNCTION("""COMPUTED_VALUE"""),"Teacher Feedback")</f>
        <v/>
      </c>
      <c r="D531" s="7">
        <f>IFERROR(__xludf.DUMMYFUNCTION("""COMPUTED_VALUE"""),"No task description")</f>
        <v/>
      </c>
      <c r="E531" s="7">
        <f>IFERROR(__xludf.DUMMYFUNCTION("""COMPUTED_VALUE"""),"Golabz app/lab: ""&lt;p&gt;A tool where teachers can provide feedback to students&lt;/p&gt;\r\n""")</f>
        <v/>
      </c>
      <c r="F531" s="7" t="inlineStr">
        <is>
          <t>No task descriptions; embedded artifacts describe Golabz app/lab features for surveys and teacher feedback.</t>
        </is>
      </c>
      <c r="G531" s="8" t="n"/>
      <c r="H531" s="8" t="n"/>
      <c r="I531" s="8" t="n"/>
      <c r="J531" s="8" t="n"/>
      <c r="K531" s="9" t="n"/>
      <c r="L531" s="9" t="n"/>
      <c r="M531" s="9" t="n"/>
      <c r="N531" s="9" t="n"/>
      <c r="O531" s="10" t="n"/>
      <c r="P531" s="10" t="n"/>
      <c r="Q531" s="10" t="n"/>
      <c r="R531" s="10" t="n"/>
      <c r="S531" s="10" t="n"/>
    </row>
    <row r="532" ht="296" customHeight="1">
      <c r="A532" s="6">
        <f>IFERROR(__xludf.DUMMYFUNCTION("""COMPUTED_VALUE"""),"Racism in modern society")</f>
        <v/>
      </c>
      <c r="B532" s="6">
        <f>IFERROR(__xludf.DUMMYFUNCTION("""COMPUTED_VALUE"""),"Space")</f>
        <v/>
      </c>
      <c r="C532" s="6">
        <f>IFERROR(__xludf.DUMMYFUNCTION("""COMPUTED_VALUE"""),"Conclusion")</f>
        <v/>
      </c>
      <c r="D532" s="7">
        <f>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
      </c>
      <c r="E532" s="7">
        <f>IFERROR(__xludf.DUMMYFUNCTION("""COMPUTED_VALUE"""),"No artifact embedded")</f>
        <v/>
      </c>
      <c r="F532" s="7" t="inlineStr">
        <is>
          <t>Students received no task descriptions for Items 1 and 2, but Item 3 had a quiz on racism with honesty encouraged. Embedded artifacts included Golabz app/lab for surveys and feedback tools.</t>
        </is>
      </c>
      <c r="G532" s="8" t="n"/>
      <c r="H532" s="8" t="n"/>
      <c r="I532" s="8" t="n"/>
      <c r="J532" s="8" t="n"/>
      <c r="K532" s="9" t="n"/>
      <c r="L532" s="9" t="n"/>
      <c r="M532" s="9" t="n"/>
      <c r="N532" s="9" t="n"/>
      <c r="O532" s="10" t="n"/>
      <c r="P532" s="10" t="n"/>
      <c r="Q532" s="10" t="n"/>
      <c r="R532" s="10" t="n"/>
      <c r="S532" s="10" t="n"/>
    </row>
    <row r="533" ht="133" customHeight="1">
      <c r="A533" s="6">
        <f>IFERROR(__xludf.DUMMYFUNCTION("""COMPUTED_VALUE"""),"Racism in modern society")</f>
        <v/>
      </c>
      <c r="B533" s="6">
        <f>IFERROR(__xludf.DUMMYFUNCTION("""COMPUTED_VALUE"""),"Resource")</f>
        <v/>
      </c>
      <c r="C533" s="6">
        <f>IFERROR(__xludf.DUMMYFUNCTION("""COMPUTED_VALUE"""),"Are You Racist? Quiz - ProProfs Quiz")</f>
        <v/>
      </c>
      <c r="D533" s="7">
        <f>IFERROR(__xludf.DUMMYFUNCTION("""COMPUTED_VALUE"""),"Have you ever thought about the act of racism? Do you ever wonder if you are a racist? This quiz will make you think about this topic more in depth and hopefull...")</f>
        <v/>
      </c>
      <c r="E533" s="7">
        <f>IFERROR(__xludf.DUMMYFUNCTION("""COMPUTED_VALUE"""),"proprofs.com: Provides quizzes and educational tools, including personality quizzes on topics like racism.")</f>
        <v/>
      </c>
      <c r="F533" s="7" t="inlineStr">
        <is>
          <t>Students received tasks on racism with instructions to be honest. Embedded artifacts included Golabz app and ProProfs quizzes.</t>
        </is>
      </c>
      <c r="G533" s="8" t="n"/>
      <c r="H533" s="8" t="n"/>
      <c r="I533" s="8" t="n"/>
      <c r="J533" s="8" t="n"/>
      <c r="K533" s="9" t="n"/>
      <c r="L533" s="9" t="n"/>
      <c r="M533" s="9" t="n"/>
      <c r="N533" s="9" t="n"/>
      <c r="O533" s="10" t="n"/>
      <c r="P533" s="10" t="n"/>
      <c r="Q533" s="10" t="n"/>
      <c r="R533" s="10" t="n"/>
      <c r="S533" s="10" t="n"/>
    </row>
    <row r="534" ht="109" customHeight="1">
      <c r="A534" s="6">
        <f>IFERROR(__xludf.DUMMYFUNCTION("""COMPUTED_VALUE"""),"Bending of Light")</f>
        <v/>
      </c>
      <c r="B534" s="6">
        <f>IFERROR(__xludf.DUMMYFUNCTION("""COMPUTED_VALUE"""),"Space")</f>
        <v/>
      </c>
      <c r="C534" s="6">
        <f>IFERROR(__xludf.DUMMYFUNCTION("""COMPUTED_VALUE"""),"Orientation")</f>
        <v/>
      </c>
      <c r="D534" s="7">
        <f>IFERROR(__xludf.DUMMYFUNCTION("""COMPUTED_VALUE"""),"&lt;p&gt;Background&lt;/p&gt;")</f>
        <v/>
      </c>
      <c r="E534" s="7">
        <f>IFERROR(__xludf.DUMMYFUNCTION("""COMPUTED_VALUE"""),"No artifact embedded")</f>
        <v/>
      </c>
      <c r="F534" s="7" t="inlineStr">
        <is>
          <t>Students are asked to honestly complete a quiz about racism, with some items linking to external resources like ProProfs for educational tools.</t>
        </is>
      </c>
      <c r="G534" s="8" t="n"/>
      <c r="H534" s="8" t="n"/>
      <c r="I534" s="8" t="n"/>
      <c r="J534" s="8" t="n"/>
      <c r="K534" s="9" t="n"/>
      <c r="L534" s="9" t="n"/>
      <c r="M534" s="9" t="n"/>
      <c r="N534" s="9" t="n"/>
      <c r="O534" s="10" t="n"/>
      <c r="P534" s="10" t="n"/>
      <c r="Q534" s="10" t="n"/>
      <c r="R534" s="10" t="n"/>
      <c r="S534" s="10" t="n"/>
    </row>
    <row r="535" ht="409.6" customHeight="1">
      <c r="A535" s="6">
        <f>IFERROR(__xludf.DUMMYFUNCTION("""COMPUTED_VALUE"""),"Bending of Light")</f>
        <v/>
      </c>
      <c r="B535" s="6">
        <f>IFERROR(__xludf.DUMMYFUNCTION("""COMPUTED_VALUE"""),"Resource")</f>
        <v/>
      </c>
      <c r="C535" s="6">
        <f>IFERROR(__xludf.DUMMYFUNCTION("""COMPUTED_VALUE"""),"Hello Scientists.docx")</f>
        <v/>
      </c>
      <c r="D535" s="7">
        <f>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
      </c>
      <c r="E535" s="7">
        <f>IFERROR(__xludf.DUMMYFUNCTION("""COMPUTED_VALUE"""),"application/vnd.openxmlformats-officedocument.wordprocessingml.document – A Microsoft Word document (DOCX), typically containing formatted text, images, and tables.")</f>
        <v/>
      </c>
      <c r="F535" s="7" t="inlineStr">
        <is>
          <t>Students are given tasks with embedded artifacts, including quizzes on racism and educational tools, as well as a Word document demonstrating rectilinear light propagation.</t>
        </is>
      </c>
      <c r="G535" s="8" t="n"/>
      <c r="H535" s="8" t="n"/>
      <c r="I535" s="8" t="n"/>
      <c r="J535" s="8" t="n"/>
      <c r="K535" s="9" t="n"/>
      <c r="L535" s="9" t="n"/>
      <c r="M535" s="9" t="n"/>
      <c r="N535" s="9" t="n"/>
      <c r="O535" s="10" t="n"/>
      <c r="P535" s="10" t="n"/>
      <c r="Q535" s="10" t="n"/>
      <c r="R535" s="10" t="n"/>
      <c r="S535" s="10" t="n"/>
    </row>
    <row r="536" ht="109" customHeight="1">
      <c r="A536" s="6">
        <f>IFERROR(__xludf.DUMMYFUNCTION("""COMPUTED_VALUE"""),"Bending of Light")</f>
        <v/>
      </c>
      <c r="B536" s="6">
        <f>IFERROR(__xludf.DUMMYFUNCTION("""COMPUTED_VALUE"""),"Resource")</f>
        <v/>
      </c>
      <c r="C536" s="6">
        <f>IFERROR(__xludf.DUMMYFUNCTION("""COMPUTED_VALUE"""),"straight line.mp4")</f>
        <v/>
      </c>
      <c r="D536" s="7">
        <f>IFERROR(__xludf.DUMMYFUNCTION("""COMPUTED_VALUE"""),"No task description")</f>
        <v/>
      </c>
      <c r="E536" s="7">
        <f>IFERROR(__xludf.DUMMYFUNCTION("""COMPUTED_VALUE"""),"video/mp4 – A video file containing moving images and possibly audio, suitable for playback on most modern devices and platforms.")</f>
        <v/>
      </c>
      <c r="F536" s="7" t="inlineStr">
        <is>
          <t>Students are instructed about light's rectilinear propagation with demonstrations and embedded artifacts include a Word document and a video.</t>
        </is>
      </c>
      <c r="G536" s="8" t="n"/>
      <c r="H536" s="8" t="n"/>
      <c r="I536" s="8" t="n"/>
      <c r="J536" s="8" t="n"/>
      <c r="K536" s="9" t="n"/>
      <c r="L536" s="9" t="n"/>
      <c r="M536" s="9" t="n"/>
      <c r="N536" s="9" t="n"/>
      <c r="O536" s="10" t="n"/>
      <c r="P536" s="10" t="n"/>
      <c r="Q536" s="10" t="n"/>
      <c r="R536" s="10" t="n"/>
      <c r="S536" s="10" t="n"/>
    </row>
    <row r="537" ht="157" customHeight="1">
      <c r="A537" s="6">
        <f>IFERROR(__xludf.DUMMYFUNCTION("""COMPUTED_VALUE"""),"Bending of Light")</f>
        <v/>
      </c>
      <c r="B537" s="6">
        <f>IFERROR(__xludf.DUMMYFUNCTION("""COMPUTED_VALUE"""),"Resource")</f>
        <v/>
      </c>
      <c r="C537" s="6">
        <f>IFERROR(__xludf.DUMMYFUNCTION("""COMPUTED_VALUE"""),"Bending of Light.mp4")</f>
        <v/>
      </c>
      <c r="D537" s="7">
        <f>IFERROR(__xludf.DUMMYFUNCTION("""COMPUTED_VALUE"""),"&lt;p&gt;Now, watch this video very carefully.&lt;/p&gt;")</f>
        <v/>
      </c>
      <c r="E537" s="7">
        <f>IFERROR(__xludf.DUMMYFUNCTION("""COMPUTED_VALUE"""),"video/mp4 – A video file containing moving images and possibly audio, suitable for playback on most modern devices and platforms.")</f>
        <v/>
      </c>
      <c r="F537" s="7" t="inlineStr">
        <is>
          <t>Students are instructed to observe light's rectilinear propagation through demonstrations and videos. Embedded artifacts include Word documents, MP4 videos, and figures.</t>
        </is>
      </c>
      <c r="G537" s="8" t="n"/>
      <c r="H537" s="8" t="n"/>
      <c r="I537" s="8" t="n"/>
      <c r="J537" s="8" t="n"/>
      <c r="K537" s="9" t="n"/>
      <c r="L537" s="9" t="n"/>
      <c r="M537" s="9" t="n"/>
      <c r="N537" s="9" t="n"/>
      <c r="O537" s="10" t="n"/>
      <c r="P537" s="10" t="n"/>
      <c r="Q537" s="10" t="n"/>
      <c r="R537" s="10" t="n"/>
      <c r="S537" s="10" t="n"/>
    </row>
    <row r="538" ht="318" customHeight="1">
      <c r="A538" s="6">
        <f>IFERROR(__xludf.DUMMYFUNCTION("""COMPUTED_VALUE"""),"Bending of Light")</f>
        <v/>
      </c>
      <c r="B538" s="6">
        <f>IFERROR(__xludf.DUMMYFUNCTION("""COMPUTED_VALUE"""),"Application")</f>
        <v/>
      </c>
      <c r="C538" s="6">
        <f>IFERROR(__xludf.DUMMYFUNCTION("""COMPUTED_VALUE"""),"Input Box")</f>
        <v/>
      </c>
      <c r="D538" s="7">
        <f>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
      </c>
      <c r="E5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38" s="7" t="inlineStr">
        <is>
          <t>Students are instructed to watch a video and then write their observations, sharing with peers and teacher. Embedded artifacts include videos and an input box app for note-taking.</t>
        </is>
      </c>
      <c r="G538" s="8" t="n"/>
      <c r="H538" s="8" t="n"/>
      <c r="I538" s="8" t="n"/>
      <c r="J538" s="8" t="n"/>
      <c r="K538" s="9" t="n"/>
      <c r="L538" s="9" t="n"/>
      <c r="M538" s="9" t="n"/>
      <c r="N538" s="9" t="n"/>
      <c r="O538" s="10" t="n"/>
      <c r="P538" s="10" t="n"/>
      <c r="Q538" s="10" t="n"/>
      <c r="R538" s="10" t="n"/>
      <c r="S538" s="10" t="n"/>
    </row>
    <row r="539" ht="409.6" customHeight="1">
      <c r="A539" s="6">
        <f>IFERROR(__xludf.DUMMYFUNCTION("""COMPUTED_VALUE"""),"Bending of Light")</f>
        <v/>
      </c>
      <c r="B539" s="6">
        <f>IFERROR(__xludf.DUMMYFUNCTION("""COMPUTED_VALUE"""),"Space")</f>
        <v/>
      </c>
      <c r="C539" s="6">
        <f>IFERROR(__xludf.DUMMYFUNCTION("""COMPUTED_VALUE"""),"Conceptualisation")</f>
        <v/>
      </c>
      <c r="D539" s="7">
        <f>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
      </c>
      <c r="E539" s="7">
        <f>IFERROR(__xludf.DUMMYFUNCTION("""COMPUTED_VALUE"""),"No artifact embedded")</f>
        <v/>
      </c>
      <c r="F539" s="7" t="inlineStr">
        <is>
          <t>Watch a video, observe and answer questions, then discuss with peers and teacher using note-taking apps (Golabz, Padlet).</t>
        </is>
      </c>
      <c r="G539" s="8" t="n"/>
      <c r="H539" s="8" t="n"/>
      <c r="I539" s="8" t="n"/>
      <c r="J539" s="8" t="n"/>
      <c r="K539" s="9" t="n"/>
      <c r="L539" s="9" t="n"/>
      <c r="M539" s="9" t="n"/>
      <c r="N539" s="9" t="n"/>
      <c r="O539" s="10" t="n"/>
      <c r="P539" s="10" t="n"/>
      <c r="Q539" s="10" t="n"/>
      <c r="R539" s="10" t="n"/>
      <c r="S539" s="10" t="n"/>
    </row>
    <row r="540" ht="109" customHeight="1">
      <c r="A540" s="6">
        <f>IFERROR(__xludf.DUMMYFUNCTION("""COMPUTED_VALUE"""),"Bending of Light")</f>
        <v/>
      </c>
      <c r="B540" s="6">
        <f>IFERROR(__xludf.DUMMYFUNCTION("""COMPUTED_VALUE"""),"Application")</f>
        <v/>
      </c>
      <c r="C540" s="6">
        <f>IFERROR(__xludf.DUMMYFUNCTION("""COMPUTED_VALUE"""),"Padlet")</f>
        <v/>
      </c>
      <c r="D540" s="7">
        <f>IFERROR(__xludf.DUMMYFUNCTION("""COMPUTED_VALUE"""),"No task description")</f>
        <v/>
      </c>
      <c r="E540" s="7">
        <f>IFERROR(__xludf.DUMMYFUNCTION("""COMPUTED_VALUE"""),"Golabz app/lab: Wrong URL. Impossible to access it")</f>
        <v/>
      </c>
      <c r="F540" s="7" t="inlineStr">
        <is>
          <t>Students observe, write answers, and share with peers/teacher; use apps like Golabz and Padlet for note-taking and discussion.</t>
        </is>
      </c>
      <c r="G540" s="8" t="n"/>
      <c r="H540" s="8" t="n"/>
      <c r="I540" s="8" t="n"/>
      <c r="J540" s="8" t="n"/>
      <c r="K540" s="9" t="n"/>
      <c r="L540" s="9" t="n"/>
      <c r="M540" s="9" t="n"/>
      <c r="N540" s="9" t="n"/>
      <c r="O540" s="10" t="n"/>
      <c r="P540" s="10" t="n"/>
      <c r="Q540" s="10" t="n"/>
      <c r="R540" s="10" t="n"/>
      <c r="S540" s="10" t="n"/>
    </row>
    <row r="541" ht="409.6" customHeight="1">
      <c r="A541" s="6">
        <f>IFERROR(__xludf.DUMMYFUNCTION("""COMPUTED_VALUE"""),"Bending of Light")</f>
        <v/>
      </c>
      <c r="B541" s="6">
        <f>IFERROR(__xludf.DUMMYFUNCTION("""COMPUTED_VALUE"""),"Application")</f>
        <v/>
      </c>
      <c r="C541" s="6">
        <f>IFERROR(__xludf.DUMMYFUNCTION("""COMPUTED_VALUE"""),"Concept Mapper")</f>
        <v/>
      </c>
      <c r="D541" s="7">
        <f>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
      </c>
      <c r="E54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541" s="7" t="inlineStr">
        <is>
          <t>Students: complete Padlet activity and create concept map. Artifacts: Padlet wall, Concept Mapper tool in Golabz app/lab.</t>
        </is>
      </c>
      <c r="G541" s="8" t="n"/>
      <c r="H541" s="8" t="n"/>
      <c r="I541" s="8" t="n"/>
      <c r="J541" s="8" t="n"/>
      <c r="K541" s="9" t="n"/>
      <c r="L541" s="9" t="n"/>
      <c r="M541" s="9" t="n"/>
      <c r="N541" s="9" t="n"/>
      <c r="O541" s="10" t="n"/>
      <c r="P541" s="10" t="n"/>
      <c r="Q541" s="10" t="n"/>
      <c r="R541" s="10" t="n"/>
      <c r="S541" s="10" t="n"/>
    </row>
    <row r="542" ht="409.6" customHeight="1">
      <c r="A542" s="6">
        <f>IFERROR(__xludf.DUMMYFUNCTION("""COMPUTED_VALUE"""),"Bending of Light")</f>
        <v/>
      </c>
      <c r="B542" s="6">
        <f>IFERROR(__xludf.DUMMYFUNCTION("""COMPUTED_VALUE"""),"Application")</f>
        <v/>
      </c>
      <c r="C542" s="6">
        <f>IFERROR(__xludf.DUMMYFUNCTION("""COMPUTED_VALUE"""),"Hypothesis Scratchpad")</f>
        <v/>
      </c>
      <c r="D542" s="7">
        <f>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
      </c>
      <c r="E5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542" s="7" t="inlineStr">
        <is>
          <t>Students are instructed to create concept maps and formulate hypotheses using Golabz apps: Concept Mapper and Hypothesis Scratchpad tools.</t>
        </is>
      </c>
      <c r="G542" s="8" t="n"/>
      <c r="H542" s="8" t="n"/>
      <c r="I542" s="8" t="n"/>
      <c r="J542" s="8" t="n"/>
      <c r="K542" s="9" t="n"/>
      <c r="L542" s="9" t="n"/>
      <c r="M542" s="9" t="n"/>
      <c r="N542" s="9" t="n"/>
      <c r="O542" s="10" t="n"/>
      <c r="P542" s="10" t="n"/>
      <c r="Q542" s="10" t="n"/>
      <c r="R542" s="10" t="n"/>
      <c r="S542" s="10" t="n"/>
    </row>
    <row r="543" ht="97" customHeight="1">
      <c r="A543" s="6">
        <f>IFERROR(__xludf.DUMMYFUNCTION("""COMPUTED_VALUE"""),"Bending of Light")</f>
        <v/>
      </c>
      <c r="B543" s="6">
        <f>IFERROR(__xludf.DUMMYFUNCTION("""COMPUTED_VALUE"""),"Application")</f>
        <v/>
      </c>
      <c r="C543" s="6">
        <f>IFERROR(__xludf.DUMMYFUNCTION("""COMPUTED_VALUE"""),"Padlet (1)")</f>
        <v/>
      </c>
      <c r="D543" s="7">
        <f>IFERROR(__xludf.DUMMYFUNCTION("""COMPUTED_VALUE"""),"&lt;p&gt;Share your hypothesis on padlet wall below.  After discussion, you can &lt;/p&gt;")</f>
        <v/>
      </c>
      <c r="E543" s="7">
        <f>IFERROR(__xludf.DUMMYFUNCTION("""COMPUTED_VALUE"""),"Golabz app/lab: Wrong URL. Impossible to access it")</f>
        <v/>
      </c>
      <c r="F543" s="7" t="inlineStr">
        <is>
          <t>Students create concept maps and formulate hypotheses using tools like Concept Mapper and Hypothesis Scratchpad.</t>
        </is>
      </c>
      <c r="G543" s="8" t="n"/>
      <c r="H543" s="8" t="n"/>
      <c r="I543" s="8" t="n"/>
      <c r="J543" s="8" t="n"/>
      <c r="K543" s="9" t="n"/>
      <c r="L543" s="9" t="n"/>
      <c r="M543" s="9" t="n"/>
      <c r="N543" s="9" t="n"/>
      <c r="O543" s="10" t="n"/>
      <c r="P543" s="10" t="n"/>
      <c r="Q543" s="10" t="n"/>
      <c r="R543" s="10" t="n"/>
      <c r="S543" s="10" t="n"/>
    </row>
    <row r="544" ht="263" customHeight="1">
      <c r="A544" s="6">
        <f>IFERROR(__xludf.DUMMYFUNCTION("""COMPUTED_VALUE"""),"Bending of Light")</f>
        <v/>
      </c>
      <c r="B544" s="6">
        <f>IFERROR(__xludf.DUMMYFUNCTION("""COMPUTED_VALUE"""),"Space")</f>
        <v/>
      </c>
      <c r="C544" s="6">
        <f>IFERROR(__xludf.DUMMYFUNCTION("""COMPUTED_VALUE"""),"Investigation")</f>
        <v/>
      </c>
      <c r="D544" s="7">
        <f>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
      </c>
      <c r="E544" s="7">
        <f>IFERROR(__xludf.DUMMYFUNCTION("""COMPUTED_VALUE"""),"No artifact embedded")</f>
        <v/>
      </c>
      <c r="F544" s="7" t="inlineStr">
        <is>
          <t>Students are instructed to write hypotheses and share them, using tools like Hypothesis Scratchpad and Padlet. Embedded artifacts include the Hypothesis Scratchpad app.</t>
        </is>
      </c>
      <c r="G544" s="8" t="n"/>
      <c r="H544" s="8" t="n"/>
      <c r="I544" s="8" t="n"/>
      <c r="J544" s="8" t="n"/>
      <c r="K544" s="9" t="n"/>
      <c r="L544" s="9" t="n"/>
      <c r="M544" s="9" t="n"/>
      <c r="N544" s="9" t="n"/>
      <c r="O544" s="10" t="n"/>
      <c r="P544" s="10" t="n"/>
      <c r="Q544" s="10" t="n"/>
      <c r="R544" s="10" t="n"/>
      <c r="S544" s="10" t="n"/>
    </row>
    <row r="545" ht="145" customHeight="1">
      <c r="A545" s="6">
        <f>IFERROR(__xludf.DUMMYFUNCTION("""COMPUTED_VALUE"""),"Bending of Light")</f>
        <v/>
      </c>
      <c r="B545" s="6">
        <f>IFERROR(__xludf.DUMMYFUNCTION("""COMPUTED_VALUE"""),"Application")</f>
        <v/>
      </c>
      <c r="C545" s="6">
        <f>IFERROR(__xludf.DUMMYFUNCTION("""COMPUTED_VALUE"""),"Padlet")</f>
        <v/>
      </c>
      <c r="D545" s="7">
        <f>IFERROR(__xludf.DUMMYFUNCTION("""COMPUTED_VALUE"""),"No task description")</f>
        <v/>
      </c>
      <c r="E545" s="7">
        <f>IFERROR(__xludf.DUMMYFUNCTION("""COMPUTED_VALUE"""),"Golabz app/lab: Wrong URL. Impossible to access it")</f>
        <v/>
      </c>
      <c r="F545" s="7" t="inlineStr">
        <is>
          <t>Students share hypotheses and experiment designs on Padlet, then discuss in class. Embedded artifacts include inaccessible Golabz app/labs with wrong URLs.</t>
        </is>
      </c>
      <c r="G545" s="8" t="n"/>
      <c r="H545" s="8" t="n"/>
      <c r="I545" s="8" t="n"/>
      <c r="J545" s="8" t="n"/>
      <c r="K545" s="9" t="n"/>
      <c r="L545" s="9" t="n"/>
      <c r="M545" s="9" t="n"/>
      <c r="N545" s="9" t="n"/>
      <c r="O545" s="10" t="n"/>
      <c r="P545" s="10" t="n"/>
      <c r="Q545" s="10" t="n"/>
      <c r="R545" s="10" t="n"/>
      <c r="S545" s="10" t="n"/>
    </row>
    <row r="546" ht="409.6" customHeight="1">
      <c r="A546" s="6">
        <f>IFERROR(__xludf.DUMMYFUNCTION("""COMPUTED_VALUE"""),"Bending of Light")</f>
        <v/>
      </c>
      <c r="B546" s="6">
        <f>IFERROR(__xludf.DUMMYFUNCTION("""COMPUTED_VALUE"""),"Application")</f>
        <v/>
      </c>
      <c r="C546" s="6">
        <f>IFERROR(__xludf.DUMMYFUNCTION("""COMPUTED_VALUE"""),"Experiment Design Tool")</f>
        <v/>
      </c>
      <c r="D546" s="7">
        <f>IFERROR(__xludf.DUMMYFUNCTION("""COMPUTED_VALUE"""),"&lt;p&gt;Now, you will use the Experiment Design tool to plan and design your experiments. Follow the step by step instructions in order to complete your experiment&lt;/p&gt;&lt;p&gt;&lt;br&gt;&lt;/p&gt;")</f>
        <v/>
      </c>
      <c r="E546"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546" s="7" t="inlineStr">
        <is>
          <t>Students design experiments, share and discuss them, then plan using the Experiment Design Tool with step-by-step instructions. Embedded artifact: Golabz app/lab, specifically the Experiment Design Tool (EDT).</t>
        </is>
      </c>
      <c r="G546" s="8" t="n"/>
      <c r="H546" s="8" t="n"/>
      <c r="I546" s="8" t="n"/>
      <c r="J546" s="8" t="n"/>
      <c r="K546" s="9" t="n"/>
      <c r="L546" s="9" t="n"/>
      <c r="M546" s="9" t="n"/>
      <c r="N546" s="9" t="n"/>
      <c r="O546" s="10" t="n"/>
      <c r="P546" s="10" t="n"/>
      <c r="Q546" s="10" t="n"/>
      <c r="R546" s="10" t="n"/>
      <c r="S546" s="10" t="n"/>
    </row>
    <row r="547" ht="145" customHeight="1">
      <c r="A547" s="6">
        <f>IFERROR(__xludf.DUMMYFUNCTION("""COMPUTED_VALUE"""),"Bending of Light")</f>
        <v/>
      </c>
      <c r="B547" s="6">
        <f>IFERROR(__xludf.DUMMYFUNCTION("""COMPUTED_VALUE"""),"Resource")</f>
        <v/>
      </c>
      <c r="C547" s="6">
        <f>IFERROR(__xludf.DUMMYFUNCTION("""COMPUTED_VALUE"""),"Recording #1.mp4")</f>
        <v/>
      </c>
      <c r="D547" s="7">
        <f>IFERROR(__xludf.DUMMYFUNCTION("""COMPUTED_VALUE"""),"&lt;p&gt;Watch the video below in order to familiarize yourself with the Experiment Lab .In this video you will see how to use the lab equipment to perform your experiments.&lt;/p&gt;")</f>
        <v/>
      </c>
      <c r="E547" s="7">
        <f>IFERROR(__xludf.DUMMYFUNCTION("""COMPUTED_VALUE"""),"video/mp4 – A video file containing moving images and possibly audio, suitable for playback on most modern devices and platforms.")</f>
        <v/>
      </c>
      <c r="F547" s="7" t="inlineStr">
        <is>
          <t>Students are given tasks with step-by-step instructions and access to tools like the Experiment Design Tool and a video on lab equipment.</t>
        </is>
      </c>
      <c r="G547" s="8" t="n"/>
      <c r="H547" s="8" t="n"/>
      <c r="I547" s="8" t="n"/>
      <c r="J547" s="8" t="n"/>
      <c r="K547" s="9" t="n"/>
      <c r="L547" s="9" t="n"/>
      <c r="M547" s="9" t="n"/>
      <c r="N547" s="9" t="n"/>
      <c r="O547" s="10" t="n"/>
      <c r="P547" s="10" t="n"/>
      <c r="Q547" s="10" t="n"/>
      <c r="R547" s="10" t="n"/>
      <c r="S547" s="10" t="n"/>
    </row>
    <row r="548" ht="193" customHeight="1">
      <c r="A548" s="6">
        <f>IFERROR(__xludf.DUMMYFUNCTION("""COMPUTED_VALUE"""),"Bending of Light")</f>
        <v/>
      </c>
      <c r="B548" s="6">
        <f>IFERROR(__xludf.DUMMYFUNCTION("""COMPUTED_VALUE"""),"Application")</f>
        <v/>
      </c>
      <c r="C548" s="6">
        <f>IFERROR(__xludf.DUMMYFUNCTION("""COMPUTED_VALUE"""),"Bending Light")</f>
        <v/>
      </c>
      <c r="D548" s="7">
        <f>IFERROR(__xludf.DUMMYFUNCTION("""COMPUTED_VALUE"""),"&lt;p&gt;This is your Bending Light Lab. You can now perform the experiments you just designed.&lt;/p&gt;")</f>
        <v/>
      </c>
      <c r="E548"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548" s="7" t="inlineStr">
        <is>
          <t>Students follow instructions to design experiments, watch a video on lab equipment, and perform "Bending Light Lab" experiments using embedded tools like Experiment Design Tool and interactive labs.</t>
        </is>
      </c>
      <c r="G548" s="8" t="n"/>
      <c r="H548" s="8" t="n"/>
      <c r="I548" s="8" t="n"/>
      <c r="J548" s="8" t="n"/>
      <c r="K548" s="9" t="n"/>
      <c r="L548" s="9" t="n"/>
      <c r="M548" s="9" t="n"/>
      <c r="N548" s="9" t="n"/>
      <c r="O548" s="10" t="n"/>
      <c r="P548" s="10" t="n"/>
      <c r="Q548" s="10" t="n"/>
      <c r="R548" s="10" t="n"/>
      <c r="S548" s="10" t="n"/>
    </row>
    <row r="549" ht="318" customHeight="1">
      <c r="A549" s="6">
        <f>IFERROR(__xludf.DUMMYFUNCTION("""COMPUTED_VALUE"""),"Bending of Light")</f>
        <v/>
      </c>
      <c r="B549" s="6">
        <f>IFERROR(__xludf.DUMMYFUNCTION("""COMPUTED_VALUE"""),"Application")</f>
        <v/>
      </c>
      <c r="C549" s="6">
        <f>IFERROR(__xludf.DUMMYFUNCTION("""COMPUTED_VALUE"""),"Input Box")</f>
        <v/>
      </c>
      <c r="D549" s="7">
        <f>IFERROR(__xludf.DUMMYFUNCTION("""COMPUTED_VALUE"""),"&lt;p&gt;If any of their experimental design was not supported by the Phet simulation, Please write your requirements in the space provided below and inform your teacher.&lt;/p&gt;")</f>
        <v/>
      </c>
      <c r="E5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49" s="7" t="inlineStr">
        <is>
          <t>Students watch a video, perform experiments, and provide feedback using embedded artifacts like videos, Golabz apps, and input boxes.</t>
        </is>
      </c>
      <c r="G549" s="8" t="n"/>
      <c r="H549" s="8" t="n"/>
      <c r="I549" s="8" t="n"/>
      <c r="J549" s="8" t="n"/>
      <c r="K549" s="9" t="n"/>
      <c r="L549" s="9" t="n"/>
      <c r="M549" s="9" t="n"/>
      <c r="N549" s="9" t="n"/>
      <c r="O549" s="10" t="n"/>
      <c r="P549" s="10" t="n"/>
      <c r="Q549" s="10" t="n"/>
      <c r="R549" s="10" t="n"/>
      <c r="S549" s="10" t="n"/>
    </row>
    <row r="550" ht="384" customHeight="1">
      <c r="A550" s="6">
        <f>IFERROR(__xludf.DUMMYFUNCTION("""COMPUTED_VALUE"""),"Bending of Light")</f>
        <v/>
      </c>
      <c r="B550" s="6">
        <f>IFERROR(__xludf.DUMMYFUNCTION("""COMPUTED_VALUE"""),"Application")</f>
        <v/>
      </c>
      <c r="C550" s="6">
        <f>IFERROR(__xludf.DUMMYFUNCTION("""COMPUTED_VALUE"""),"Observation Tool")</f>
        <v/>
      </c>
      <c r="D550" s="7">
        <f>IFERROR(__xludf.DUMMYFUNCTION("""COMPUTED_VALUE"""),"&lt;p&gt;&lt;br&gt;&lt;/p&gt;&lt;p&gt;Write your Observations using the Observation tool below. Click on ""?"" to know how to use the tool.&lt;/p&gt;")</f>
        <v/>
      </c>
      <c r="E55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550" s="7" t="inlineStr">
        <is>
          <t>Students perform light-bending experiments and record observations using Golabz apps, with options for collaboration and note-taking.</t>
        </is>
      </c>
      <c r="G550" s="8" t="n"/>
      <c r="H550" s="8" t="n"/>
      <c r="I550" s="8" t="n"/>
      <c r="J550" s="8" t="n"/>
      <c r="K550" s="9" t="n"/>
      <c r="L550" s="9" t="n"/>
      <c r="M550" s="9" t="n"/>
      <c r="N550" s="9" t="n"/>
      <c r="O550" s="10" t="n"/>
      <c r="P550" s="10" t="n"/>
      <c r="Q550" s="10" t="n"/>
      <c r="R550" s="10" t="n"/>
      <c r="S550" s="10" t="n"/>
    </row>
    <row r="551" ht="296" customHeight="1">
      <c r="A551" s="6">
        <f>IFERROR(__xludf.DUMMYFUNCTION("""COMPUTED_VALUE"""),"Bending of Light")</f>
        <v/>
      </c>
      <c r="B551" s="6">
        <f>IFERROR(__xludf.DUMMYFUNCTION("""COMPUTED_VALUE"""),"Space")</f>
        <v/>
      </c>
      <c r="C551" s="6">
        <f>IFERROR(__xludf.DUMMYFUNCTION("""COMPUTED_VALUE"""),"Data Interpretation")</f>
        <v/>
      </c>
      <c r="D551" s="7">
        <f>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
      </c>
      <c r="E551" s="7">
        <f>IFERROR(__xludf.DUMMYFUNCTION("""COMPUTED_VALUE"""),"No artifact embedded")</f>
        <v/>
      </c>
      <c r="F551" s="7" t="inlineStr">
        <is>
          <t>Students write requirements, observations, or graph data using various tools with optional collaboration mode.</t>
        </is>
      </c>
      <c r="G551" s="8" t="n"/>
      <c r="H551" s="8" t="n"/>
      <c r="I551" s="8" t="n"/>
      <c r="J551" s="8" t="n"/>
      <c r="K551" s="9" t="n"/>
      <c r="L551" s="9" t="n"/>
      <c r="M551" s="9" t="n"/>
      <c r="N551" s="9" t="n"/>
      <c r="O551" s="10" t="n"/>
      <c r="P551" s="10" t="n"/>
      <c r="Q551" s="10" t="n"/>
      <c r="R551" s="10" t="n"/>
      <c r="S551" s="10" t="n"/>
    </row>
    <row r="552" ht="409.6" customHeight="1">
      <c r="A552" s="6">
        <f>IFERROR(__xludf.DUMMYFUNCTION("""COMPUTED_VALUE"""),"Bending of Light")</f>
        <v/>
      </c>
      <c r="B552" s="6">
        <f>IFERROR(__xludf.DUMMYFUNCTION("""COMPUTED_VALUE"""),"Application")</f>
        <v/>
      </c>
      <c r="C552" s="6">
        <f>IFERROR(__xludf.DUMMYFUNCTION("""COMPUTED_VALUE"""),"Data Viewer")</f>
        <v/>
      </c>
      <c r="D552" s="7">
        <f>IFERROR(__xludf.DUMMYFUNCTION("""COMPUTED_VALUE"""),"No task description")</f>
        <v/>
      </c>
      <c r="E552"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552" s="7" t="inlineStr">
        <is>
          <t>Students are instructed to write observations and analyze data using tools like Observation and Data Viewer. Embedded artifacts include Golabz app/lab with Observation and Data Viewer tools.</t>
        </is>
      </c>
      <c r="G552" s="8" t="n"/>
      <c r="H552" s="8" t="n"/>
      <c r="I552" s="8" t="n"/>
      <c r="J552" s="8" t="n"/>
      <c r="K552" s="9" t="n"/>
      <c r="L552" s="9" t="n"/>
      <c r="M552" s="9" t="n"/>
      <c r="N552" s="9" t="n"/>
      <c r="O552" s="10" t="n"/>
      <c r="P552" s="10" t="n"/>
      <c r="Q552" s="10" t="n"/>
      <c r="R552" s="10" t="n"/>
      <c r="S552" s="10" t="n"/>
    </row>
    <row r="553" ht="318" customHeight="1">
      <c r="A553" s="6">
        <f>IFERROR(__xludf.DUMMYFUNCTION("""COMPUTED_VALUE"""),"Bending of Light")</f>
        <v/>
      </c>
      <c r="B553" s="6">
        <f>IFERROR(__xludf.DUMMYFUNCTION("""COMPUTED_VALUE"""),"Application")</f>
        <v/>
      </c>
      <c r="C553" s="6">
        <f>IFERROR(__xludf.DUMMYFUNCTION("""COMPUTED_VALUE"""),"Input Box")</f>
        <v/>
      </c>
      <c r="D553" s="7">
        <f>IFERROR(__xludf.DUMMYFUNCTION("""COMPUTED_VALUE"""),"&lt;p&gt;Interpret your data trying to find relations among variables. If you don't have enough data, return to the Experimentation phase and collect more data. Write your interpretation in the text box below.&lt;/p&gt;")</f>
        <v/>
      </c>
      <c r="E5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53" s="7" t="inlineStr">
        <is>
          <t>Students use Data Viewer to graph data and examine variable relations. Embedded artifacts include Golabz apps for data visualization and note-taking.</t>
        </is>
      </c>
      <c r="G553" s="8" t="n"/>
      <c r="H553" s="8" t="n"/>
      <c r="I553" s="8" t="n"/>
      <c r="J553" s="8" t="n"/>
      <c r="K553" s="9" t="n"/>
      <c r="L553" s="9" t="n"/>
      <c r="M553" s="9" t="n"/>
      <c r="N553" s="9" t="n"/>
      <c r="O553" s="10" t="n"/>
      <c r="P553" s="10" t="n"/>
      <c r="Q553" s="10" t="n"/>
      <c r="R553" s="10" t="n"/>
      <c r="S553" s="10" t="n"/>
    </row>
    <row r="554" ht="329" customHeight="1">
      <c r="A554" s="6">
        <f>IFERROR(__xludf.DUMMYFUNCTION("""COMPUTED_VALUE"""),"Bending of Light")</f>
        <v/>
      </c>
      <c r="B554" s="6">
        <f>IFERROR(__xludf.DUMMYFUNCTION("""COMPUTED_VALUE"""),"Space")</f>
        <v/>
      </c>
      <c r="C554" s="6">
        <f>IFERROR(__xludf.DUMMYFUNCTION("""COMPUTED_VALUE"""),"Conclusion")</f>
        <v/>
      </c>
      <c r="D554" s="7">
        <f>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
      </c>
      <c r="E554" s="7">
        <f>IFERROR(__xludf.DUMMYFUNCTION("""COMPUTED_VALUE"""),"No artifact embedded")</f>
        <v/>
      </c>
      <c r="F554" s="7" t="inlineStr">
        <is>
          <t>Students are given tasks with descriptions and access to Golabz apps for data visualization, note-taking, and forming conclusions.</t>
        </is>
      </c>
      <c r="G554" s="8" t="n"/>
      <c r="H554" s="8" t="n"/>
      <c r="I554" s="8" t="n"/>
      <c r="J554" s="8" t="n"/>
      <c r="K554" s="9" t="n"/>
      <c r="L554" s="9" t="n"/>
      <c r="M554" s="9" t="n"/>
      <c r="N554" s="9" t="n"/>
      <c r="O554" s="10" t="n"/>
      <c r="P554" s="10" t="n"/>
      <c r="Q554" s="10" t="n"/>
      <c r="R554" s="10" t="n"/>
      <c r="S554" s="10" t="n"/>
    </row>
    <row r="555" ht="409.6" customHeight="1">
      <c r="A555" s="6">
        <f>IFERROR(__xludf.DUMMYFUNCTION("""COMPUTED_VALUE"""),"Bending of Light")</f>
        <v/>
      </c>
      <c r="B555" s="6">
        <f>IFERROR(__xludf.DUMMYFUNCTION("""COMPUTED_VALUE"""),"Application")</f>
        <v/>
      </c>
      <c r="C555" s="6">
        <f>IFERROR(__xludf.DUMMYFUNCTION("""COMPUTED_VALUE"""),"Conclusion Tool")</f>
        <v/>
      </c>
      <c r="D555" s="7">
        <f>IFERROR(__xludf.DUMMYFUNCTION("""COMPUTED_VALUE"""),"No task description")</f>
        <v/>
      </c>
      <c r="E555"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555" s="7" t="inlineStr">
        <is>
          <t>Students are instructed to interpret data, collect more if needed, and write conclusions based on evidence. Embedded artifacts include Golabz apps for note-taking and conclusion tools with collaboration features.</t>
        </is>
      </c>
      <c r="G555" s="8" t="n"/>
      <c r="H555" s="8" t="n"/>
      <c r="I555" s="8" t="n"/>
      <c r="J555" s="8" t="n"/>
      <c r="K555" s="9" t="n"/>
      <c r="L555" s="9" t="n"/>
      <c r="M555" s="9" t="n"/>
      <c r="N555" s="9" t="n"/>
      <c r="O555" s="10" t="n"/>
      <c r="P555" s="10" t="n"/>
      <c r="Q555" s="10" t="n"/>
      <c r="R555" s="10" t="n"/>
      <c r="S555" s="10" t="n"/>
    </row>
    <row r="556" ht="409.6" customHeight="1">
      <c r="A556" s="6">
        <f>IFERROR(__xludf.DUMMYFUNCTION("""COMPUTED_VALUE"""),"Bending of Light")</f>
        <v/>
      </c>
      <c r="B556" s="6">
        <f>IFERROR(__xludf.DUMMYFUNCTION("""COMPUTED_VALUE"""),"Application")</f>
        <v/>
      </c>
      <c r="C556" s="6">
        <f>IFERROR(__xludf.DUMMYFUNCTION("""COMPUTED_VALUE"""),"File Drop")</f>
        <v/>
      </c>
      <c r="D556" s="7">
        <f>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
      </c>
      <c r="E556" s="7">
        <f>IFERROR(__xludf.DUMMYFUNCTION("""COMPUTED_VALUE"""),"Golabz app/lab: ""&lt;p&gt;This app allows students to upload files, e.g., assignment and reports, to the Inquiry learning Space. The app also allows teachers to download the uploaded files.&lt;/p&gt;\r\n""")</f>
        <v/>
      </c>
      <c r="F556" s="7" t="inlineStr">
        <is>
          <t>Students use Conclusion tool to form conclusions based on evidence collected, then create a 5-minute presentation to present findings. Embedded artifacts include Golabz apps for conclusion and file upload tools.</t>
        </is>
      </c>
      <c r="G556" s="8" t="n"/>
      <c r="H556" s="8" t="n"/>
      <c r="I556" s="8" t="n"/>
      <c r="J556" s="8" t="n"/>
      <c r="K556" s="9" t="n"/>
      <c r="L556" s="9" t="n"/>
      <c r="M556" s="9" t="n"/>
      <c r="N556" s="9" t="n"/>
      <c r="O556" s="10" t="n"/>
      <c r="P556" s="10" t="n"/>
      <c r="Q556" s="10" t="n"/>
      <c r="R556" s="10" t="n"/>
      <c r="S556" s="10" t="n"/>
    </row>
    <row r="557" ht="145" customHeight="1">
      <c r="A557" s="6">
        <f>IFERROR(__xludf.DUMMYFUNCTION("""COMPUTED_VALUE"""),"Bending of Light")</f>
        <v/>
      </c>
      <c r="B557" s="6">
        <f>IFERROR(__xludf.DUMMYFUNCTION("""COMPUTED_VALUE"""),"Space")</f>
        <v/>
      </c>
      <c r="C557" s="6">
        <f>IFERROR(__xludf.DUMMYFUNCTION("""COMPUTED_VALUE"""),"Discussion")</f>
        <v/>
      </c>
      <c r="D557" s="7">
        <f>IFERROR(__xludf.DUMMYFUNCTION("""COMPUTED_VALUE"""),"&lt;p&gt;Please share your conclusions with you class teacher and your friends and find out what are their conclusions !!!&lt;/p&gt;")</f>
        <v/>
      </c>
      <c r="E557" s="7">
        <f>IFERROR(__xludf.DUMMYFUNCTION("""COMPUTED_VALUE"""),"No artifact embedded")</f>
        <v/>
      </c>
      <c r="F557" s="7" t="inlineStr">
        <is>
          <t>Students were instructed to analyze data, create a presentation, and share conclusions. Embedded artifacts included Golabz apps for conclusion tools and file uploads.</t>
        </is>
      </c>
      <c r="G557" s="8" t="n"/>
      <c r="H557" s="8" t="n"/>
      <c r="I557" s="8" t="n"/>
      <c r="J557" s="8" t="n"/>
      <c r="K557" s="9" t="n"/>
      <c r="L557" s="9" t="n"/>
      <c r="M557" s="9" t="n"/>
      <c r="N557" s="9" t="n"/>
      <c r="O557" s="10" t="n"/>
      <c r="P557" s="10" t="n"/>
      <c r="Q557" s="10" t="n"/>
      <c r="R557" s="10" t="n"/>
      <c r="S557" s="10" t="n"/>
    </row>
    <row r="558" ht="109" customHeight="1">
      <c r="A558" s="6">
        <f>IFERROR(__xludf.DUMMYFUNCTION("""COMPUTED_VALUE"""),"Bending of Light")</f>
        <v/>
      </c>
      <c r="B558" s="6">
        <f>IFERROR(__xludf.DUMMYFUNCTION("""COMPUTED_VALUE"""),"Topic")</f>
        <v/>
      </c>
      <c r="C558" s="6">
        <f>IFERROR(__xludf.DUMMYFUNCTION("""COMPUTED_VALUE"""),"Conclusions on Bending of Light")</f>
        <v/>
      </c>
      <c r="D558" s="7">
        <f>IFERROR(__xludf.DUMMYFUNCTION("""COMPUTED_VALUE"""),"Time to Discuss")</f>
        <v/>
      </c>
      <c r="E558" s="7">
        <f>IFERROR(__xludf.DUMMYFUNCTION("""COMPUTED_VALUE"""),"text/html – A webpage or web document that contains structured text, images, and links, designed for display in a web browser.")</f>
        <v/>
      </c>
      <c r="F558" s="7" t="inlineStr">
        <is>
          <t>Students prepare 5-minute presentations with evidence to support conclusions, then upload to Golabz app.</t>
        </is>
      </c>
      <c r="G558" s="8" t="n"/>
      <c r="H558" s="8" t="n"/>
      <c r="I558" s="8" t="n"/>
      <c r="J558" s="8" t="n"/>
      <c r="K558" s="9" t="n"/>
      <c r="L558" s="9" t="n"/>
      <c r="M558" s="9" t="n"/>
      <c r="N558" s="9" t="n"/>
      <c r="O558" s="10" t="n"/>
      <c r="P558" s="10" t="n"/>
      <c r="Q558" s="10" t="n"/>
      <c r="R558" s="10" t="n"/>
      <c r="S558" s="10" t="n"/>
    </row>
    <row r="559" ht="229" customHeight="1">
      <c r="A559" s="6">
        <f>IFERROR(__xludf.DUMMYFUNCTION("""COMPUTED_VALUE"""),"Bending of Light")</f>
        <v/>
      </c>
      <c r="B559" s="6">
        <f>IFERROR(__xludf.DUMMYFUNCTION("""COMPUTED_VALUE"""),"Application")</f>
        <v/>
      </c>
      <c r="C559" s="6">
        <f>IFERROR(__xludf.DUMMYFUNCTION("""COMPUTED_VALUE"""),"Reflection Tool")</f>
        <v/>
      </c>
      <c r="D559" s="7">
        <f>IFERROR(__xludf.DUMMYFUNCTION("""COMPUTED_VALUE"""),"&lt;p&gt;In the Reflection phase you will engage in reflection activities which will help you to think critically about your learning process. In order to do so, you will use the Reflection Tool below.&lt;/p&gt;")</f>
        <v/>
      </c>
      <c r="E559"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559" s="7" t="inlineStr">
        <is>
          <t>Students share conclusions, discuss, and reflect on learning using tools like webpages and the Golabz "Time Spent" app.</t>
        </is>
      </c>
      <c r="G559" s="8" t="n"/>
      <c r="H559" s="8" t="n"/>
      <c r="I559" s="8" t="n"/>
      <c r="J559" s="8" t="n"/>
      <c r="K559" s="9" t="n"/>
      <c r="L559" s="9" t="n"/>
      <c r="M559" s="9" t="n"/>
      <c r="N559" s="9" t="n"/>
      <c r="O559" s="10" t="n"/>
      <c r="P559" s="10" t="n"/>
      <c r="Q559" s="10" t="n"/>
      <c r="R559" s="10" t="n"/>
      <c r="S559" s="10" t="n"/>
    </row>
    <row r="560" ht="73" customHeight="1">
      <c r="A560" s="6">
        <f>IFERROR(__xludf.DUMMYFUNCTION("""COMPUTED_VALUE"""),"Bending of Light")</f>
        <v/>
      </c>
      <c r="B560" s="6">
        <f>IFERROR(__xludf.DUMMYFUNCTION("""COMPUTED_VALUE"""),"Space")</f>
        <v/>
      </c>
      <c r="C560" s="6">
        <f>IFERROR(__xludf.DUMMYFUNCTION("""COMPUTED_VALUE"""),"QUIZ")</f>
        <v/>
      </c>
      <c r="D560" s="7">
        <f>IFERROR(__xludf.DUMMYFUNCTION("""COMPUTED_VALUE"""),"No task description")</f>
        <v/>
      </c>
      <c r="E560" s="7">
        <f>IFERROR(__xludf.DUMMYFUNCTION("""COMPUTED_VALUE"""),"No artifact embedded")</f>
        <v/>
      </c>
      <c r="F560" s="7" t="inlineStr">
        <is>
          <t>Students discuss, reflect on learning using tools: webpage, Reflection Tool, and Golabz app.</t>
        </is>
      </c>
      <c r="G560" s="8" t="n"/>
      <c r="H560" s="8" t="n"/>
      <c r="I560" s="8" t="n"/>
      <c r="J560" s="8" t="n"/>
      <c r="K560" s="9" t="n"/>
      <c r="L560" s="9" t="n"/>
      <c r="M560" s="9" t="n"/>
      <c r="N560" s="9" t="n"/>
      <c r="O560" s="10" t="n"/>
      <c r="P560" s="10" t="n"/>
      <c r="Q560" s="10" t="n"/>
      <c r="R560" s="10" t="n"/>
      <c r="S560" s="10" t="n"/>
    </row>
    <row r="561" ht="274" customHeight="1">
      <c r="A561" s="6">
        <f>IFERROR(__xludf.DUMMYFUNCTION("""COMPUTED_VALUE"""),"Bending of Light")</f>
        <v/>
      </c>
      <c r="B561" s="6">
        <f>IFERROR(__xludf.DUMMYFUNCTION("""COMPUTED_VALUE"""),"Application")</f>
        <v/>
      </c>
      <c r="C561" s="6">
        <f>IFERROR(__xludf.DUMMYFUNCTION("""COMPUTED_VALUE"""),"Quiz Tool")</f>
        <v/>
      </c>
      <c r="D561" s="7">
        <f>IFERROR(__xludf.DUMMYFUNCTION("""COMPUTED_VALUE"""),"No task description")</f>
        <v/>
      </c>
      <c r="E56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61" s="7" t="inlineStr">
        <is>
          <t>Students reflect on learning using the Reflection Tool, with embedded Golabz apps: "Time spent" for time management and a quiz app for assessment.</t>
        </is>
      </c>
      <c r="G561" s="8" t="n"/>
      <c r="H561" s="8" t="n"/>
      <c r="I561" s="8" t="n"/>
      <c r="J561" s="8" t="n"/>
      <c r="K561" s="9" t="n"/>
      <c r="L561" s="9" t="n"/>
      <c r="M561" s="9" t="n"/>
      <c r="N561" s="9" t="n"/>
      <c r="O561" s="10" t="n"/>
      <c r="P561" s="10" t="n"/>
      <c r="Q561" s="10" t="n"/>
      <c r="R561" s="10" t="n"/>
      <c r="S561" s="10" t="n"/>
    </row>
    <row r="562" ht="97" customHeight="1">
      <c r="A562" s="6">
        <f>IFERROR(__xludf.DUMMYFUNCTION("""COMPUTED_VALUE"""),"MATHS GROUP 3")</f>
        <v/>
      </c>
      <c r="B562" s="6">
        <f>IFERROR(__xludf.DUMMYFUNCTION("""COMPUTED_VALUE"""),"Space")</f>
        <v/>
      </c>
      <c r="C562" s="6">
        <f>IFERROR(__xludf.DUMMYFUNCTION("""COMPUTED_VALUE"""),"Orientation")</f>
        <v/>
      </c>
      <c r="D562" s="7">
        <f>IFERROR(__xludf.DUMMYFUNCTION("""COMPUTED_VALUE"""),"No task description")</f>
        <v/>
      </c>
      <c r="E562" s="7">
        <f>IFERROR(__xludf.DUMMYFUNCTION("""COMPUTED_VALUE"""),"No artifact embedded")</f>
        <v/>
      </c>
      <c r="F562" s="7" t="inlineStr">
        <is>
          <t>Students were given no task descriptions, but Item2 included a Golabz app/lab for creating interactive quizzes.</t>
        </is>
      </c>
      <c r="G562" s="8" t="n"/>
      <c r="H562" s="8" t="n"/>
      <c r="I562" s="8" t="n"/>
      <c r="J562" s="8" t="n"/>
      <c r="K562" s="9" t="n"/>
      <c r="L562" s="9" t="n"/>
      <c r="M562" s="9" t="n"/>
      <c r="N562" s="9" t="n"/>
      <c r="O562" s="10" t="n"/>
      <c r="P562" s="10" t="n"/>
      <c r="Q562" s="10" t="n"/>
      <c r="R562" s="10" t="n"/>
      <c r="S562" s="10" t="n"/>
    </row>
    <row r="563" ht="145" customHeight="1">
      <c r="A563" s="6">
        <f>IFERROR(__xludf.DUMMYFUNCTION("""COMPUTED_VALUE"""),"MATHS GROUP 3")</f>
        <v/>
      </c>
      <c r="B563" s="6">
        <f>IFERROR(__xludf.DUMMYFUNCTION("""COMPUTED_VALUE"""),"Resource")</f>
        <v/>
      </c>
      <c r="C563" s="6">
        <f>IFERROR(__xludf.DUMMYFUNCTION("""COMPUTED_VALUE"""),"Algebra.graasp")</f>
        <v/>
      </c>
      <c r="D563" s="7">
        <f>IFERROR(__xludf.DUMMYFUNCTION("""COMPUTED_VALUE"""),"&lt;p&gt;Today we will be learning Quadratic Equation &lt;/p&gt;&lt;p&gt;using the quadratic  formula.&lt;/p&gt;")</f>
        <v/>
      </c>
      <c r="E563" s="7">
        <f>IFERROR(__xludf.DUMMYFUNCTION("""COMPUTED_VALUE"""),"No artifact embedded")</f>
        <v/>
      </c>
      <c r="F563" s="7" t="inlineStr">
        <is>
          <t>Students received no task descriptions for Items 1 and 2, but Item 3 involves learning Quadratic Equations. Only Item 1 has an embedded Golabz app/lab artifact.</t>
        </is>
      </c>
      <c r="G563" s="8" t="n"/>
      <c r="H563" s="8" t="n"/>
      <c r="I563" s="8" t="n"/>
      <c r="J563" s="8" t="n"/>
      <c r="K563" s="9" t="n"/>
      <c r="L563" s="9" t="n"/>
      <c r="M563" s="9" t="n"/>
      <c r="N563" s="9" t="n"/>
      <c r="O563" s="10" t="n"/>
      <c r="P563" s="10" t="n"/>
      <c r="Q563" s="10" t="n"/>
      <c r="R563" s="10" t="n"/>
      <c r="S563" s="10" t="n"/>
    </row>
    <row r="564" ht="97" customHeight="1">
      <c r="A564" s="6">
        <f>IFERROR(__xludf.DUMMYFUNCTION("""COMPUTED_VALUE"""),"MATHS GROUP 3")</f>
        <v/>
      </c>
      <c r="B564" s="6">
        <f>IFERROR(__xludf.DUMMYFUNCTION("""COMPUTED_VALUE"""),"Resource")</f>
        <v/>
      </c>
      <c r="C564" s="6">
        <f>IFERROR(__xludf.DUMMYFUNCTION("""COMPUTED_VALUE"""),"Quadratic_formula.png")</f>
        <v/>
      </c>
      <c r="D564" s="7">
        <f>IFERROR(__xludf.DUMMYFUNCTION("""COMPUTED_VALUE"""),"—b:"":\/ ()2 —4ac 2a")</f>
        <v/>
      </c>
      <c r="E564" s="7">
        <f>IFERROR(__xludf.DUMMYFUNCTION("""COMPUTED_VALUE"""),"image/png – A high-quality image with support for transparency, often used in design and web applications.")</f>
        <v/>
      </c>
      <c r="F564" s="7" t="inlineStr">
        <is>
          <t>Students learn quadratic equations using formulas. Embedded artifacts include an image in Item 3.</t>
        </is>
      </c>
      <c r="G564" s="8" t="n"/>
      <c r="H564" s="8" t="n"/>
      <c r="I564" s="8" t="n"/>
      <c r="J564" s="8" t="n"/>
      <c r="K564" s="9" t="n"/>
      <c r="L564" s="9" t="n"/>
      <c r="M564" s="9" t="n"/>
      <c r="N564" s="9" t="n"/>
      <c r="O564" s="10" t="n"/>
      <c r="P564" s="10" t="n"/>
      <c r="Q564" s="10" t="n"/>
      <c r="R564" s="10" t="n"/>
      <c r="S564" s="10" t="n"/>
    </row>
    <row r="565" ht="109" customHeight="1">
      <c r="A565" s="6">
        <f>IFERROR(__xludf.DUMMYFUNCTION("""COMPUTED_VALUE"""),"MATHS GROUP 3")</f>
        <v/>
      </c>
      <c r="B565" s="6">
        <f>IFERROR(__xludf.DUMMYFUNCTION("""COMPUTED_VALUE"""),"Resource")</f>
        <v/>
      </c>
      <c r="C565" s="6">
        <f>IFERROR(__xludf.DUMMYFUNCTION("""COMPUTED_VALUE"""),"Solve Quadratic Equations using Quadratic Formula")</f>
        <v/>
      </c>
      <c r="D565" s="7">
        <f>IFERROR(__xludf.DUMMYFUNCTION("""COMPUTED_VALUE"""),"Visit http://MathMeeting.com for Free videos on the quadratic formula and all other topics in algebra.")</f>
        <v/>
      </c>
      <c r="E565" s="7">
        <f>IFERROR(__xludf.DUMMYFUNCTION("""COMPUTED_VALUE"""),"youtu.be: A shortened URL service for YouTube, leading to various videos on the platform.")</f>
        <v/>
      </c>
      <c r="F565" s="7" t="inlineStr">
        <is>
          <t>Students learn Quadratic Equation using the formula. Embedded artifacts include an image and YouTube video links.</t>
        </is>
      </c>
      <c r="G565" s="8" t="n"/>
      <c r="H565" s="8" t="n"/>
      <c r="I565" s="8" t="n"/>
      <c r="J565" s="8" t="n"/>
      <c r="K565" s="9" t="n"/>
      <c r="L565" s="9" t="n"/>
      <c r="M565" s="9" t="n"/>
      <c r="N565" s="9" t="n"/>
      <c r="O565" s="10" t="n"/>
      <c r="P565" s="10" t="n"/>
      <c r="Q565" s="10" t="n"/>
      <c r="R565" s="10" t="n"/>
      <c r="S565" s="10" t="n"/>
    </row>
    <row r="566" ht="169" customHeight="1">
      <c r="A566" s="6">
        <f>IFERROR(__xludf.DUMMYFUNCTION("""COMPUTED_VALUE"""),"MATHS GROUP 3")</f>
        <v/>
      </c>
      <c r="B566" s="6">
        <f>IFERROR(__xludf.DUMMYFUNCTION("""COMPUTED_VALUE"""),"Resource")</f>
        <v/>
      </c>
      <c r="C566" s="6">
        <f>IFERROR(__xludf.DUMMYFUNCTION("""COMPUTED_VALUE"""),"Ex 1:  Solving Quadratic Equations Graphically Using x-Intercepts")</f>
        <v/>
      </c>
      <c r="D566" s="7">
        <f>IFERROR(__xludf.DUMMYFUNCTION("""COMPUTED_VALUE"""),"This video provides several examples of how to use the graph of a quadratic function to solve a quadratic equation.   Library:  http://mathispower4u.com Search:  http://mathispoweru4.wordpress.com")</f>
        <v/>
      </c>
      <c r="E566" s="7">
        <f>IFERROR(__xludf.DUMMYFUNCTION("""COMPUTED_VALUE"""),"youtu.be: A shortened URL service for YouTube, leading to various videos on the platform.")</f>
        <v/>
      </c>
      <c r="F566" s="7" t="inlineStr">
        <is>
          <t>Students are given tasks with descriptions and embedded artifacts, including images and YouTube video links, to support learning of quadratic formulas and algebra topics.</t>
        </is>
      </c>
      <c r="G566" s="8" t="n"/>
      <c r="H566" s="8" t="n"/>
      <c r="I566" s="8" t="n"/>
      <c r="J566" s="8" t="n"/>
      <c r="K566" s="9" t="n"/>
      <c r="L566" s="9" t="n"/>
      <c r="M566" s="9" t="n"/>
      <c r="N566" s="9" t="n"/>
      <c r="O566" s="10" t="n"/>
      <c r="P566" s="10" t="n"/>
      <c r="Q566" s="10" t="n"/>
      <c r="R566" s="10" t="n"/>
      <c r="S566" s="10" t="n"/>
    </row>
    <row r="567" ht="409.6" customHeight="1">
      <c r="A567" s="6">
        <f>IFERROR(__xludf.DUMMYFUNCTION("""COMPUTED_VALUE"""),"MATHS GROUP 3")</f>
        <v/>
      </c>
      <c r="B567" s="6">
        <f>IFERROR(__xludf.DUMMYFUNCTION("""COMPUTED_VALUE"""),"Application")</f>
        <v/>
      </c>
      <c r="C567" s="6">
        <f>IFERROR(__xludf.DUMMYFUNCTION("""COMPUTED_VALUE"""),"Graphing Lines")</f>
        <v/>
      </c>
      <c r="D567" s="7">
        <f>IFERROR(__xludf.DUMMYFUNCTION("""COMPUTED_VALUE"""),"No task description")</f>
        <v/>
      </c>
      <c r="E567"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67" s="7" t="inlineStr">
        <is>
          <t>Students visit websites and watch videos on algebra topics, including quadratic formulas and graphing lines, with embedded YouTube links and interactive apps like Golabz.</t>
        </is>
      </c>
      <c r="G567" s="8" t="n"/>
      <c r="H567" s="8" t="n"/>
      <c r="I567" s="8" t="n"/>
      <c r="J567" s="8" t="n"/>
      <c r="K567" s="9" t="n"/>
      <c r="L567" s="9" t="n"/>
      <c r="M567" s="9" t="n"/>
      <c r="N567" s="9" t="n"/>
      <c r="O567" s="10" t="n"/>
      <c r="P567" s="10" t="n"/>
      <c r="Q567" s="10" t="n"/>
      <c r="R567" s="10" t="n"/>
      <c r="S567" s="10" t="n"/>
    </row>
    <row r="568" ht="157" customHeight="1">
      <c r="A568" s="6">
        <f>IFERROR(__xludf.DUMMYFUNCTION("""COMPUTED_VALUE"""),"MATHS GROUP 3")</f>
        <v/>
      </c>
      <c r="B568" s="6">
        <f>IFERROR(__xludf.DUMMYFUNCTION("""COMPUTED_VALUE"""),"Space")</f>
        <v/>
      </c>
      <c r="C568" s="6">
        <f>IFERROR(__xludf.DUMMYFUNCTION("""COMPUTED_VALUE"""),"Conceptualisation")</f>
        <v/>
      </c>
      <c r="D568" s="7">
        <f>IFERROR(__xludf.DUMMYFUNCTION("""COMPUTED_VALUE"""),"No task description")</f>
        <v/>
      </c>
      <c r="E568" s="7">
        <f>IFERROR(__xludf.DUMMYFUNCTION("""COMPUTED_VALUE"""),"No artifact embedded")</f>
        <v/>
      </c>
      <c r="F568" s="7" t="inlineStr">
        <is>
          <t>Students were provided with tasks and resources, including videos and apps, to learn about quadratic functions and linear equations, with specific learning goals and activities outlined.</t>
        </is>
      </c>
      <c r="G568" s="8" t="n"/>
      <c r="H568" s="8" t="n"/>
      <c r="I568" s="8" t="n"/>
      <c r="J568" s="8" t="n"/>
      <c r="K568" s="9" t="n"/>
      <c r="L568" s="9" t="n"/>
      <c r="M568" s="9" t="n"/>
      <c r="N568" s="9" t="n"/>
      <c r="O568" s="10" t="n"/>
      <c r="P568" s="10" t="n"/>
      <c r="Q568" s="10" t="n"/>
      <c r="R568" s="10" t="n"/>
      <c r="S568" s="10" t="n"/>
    </row>
    <row r="569" ht="157" customHeight="1">
      <c r="A569" s="6">
        <f>IFERROR(__xludf.DUMMYFUNCTION("""COMPUTED_VALUE"""),"MATHS GROUP 3")</f>
        <v/>
      </c>
      <c r="B569" s="6">
        <f>IFERROR(__xludf.DUMMYFUNCTION("""COMPUTED_VALUE"""),"Resource")</f>
        <v/>
      </c>
      <c r="C569" s="6">
        <f>IFERROR(__xludf.DUMMYFUNCTION("""COMPUTED_VALUE"""),"Hypothesis.graasp")</f>
        <v/>
      </c>
      <c r="D569" s="7">
        <f>IFERROR(__xludf.DUMMYFUNCTION("""COMPUTED_VALUE"""),"&lt;p&gt;ALl quadratic equations could be solved using graphical formular method.&lt;/p&gt;")</f>
        <v/>
      </c>
      <c r="E569" s="7">
        <f>IFERROR(__xludf.DUMMYFUNCTION("""COMPUTED_VALUE"""),"No artifact embedded")</f>
        <v/>
      </c>
      <c r="F569" s="7" t="inlineStr">
        <is>
          <t>Students explore linear equations and graphs using Golabz app, with learning goals including computing slope and graphing lines. Items 2 and 3 lack task descriptions and embedded artifacts.</t>
        </is>
      </c>
      <c r="G569" s="8" t="n"/>
      <c r="H569" s="8" t="n"/>
      <c r="I569" s="8" t="n"/>
      <c r="J569" s="8" t="n"/>
      <c r="K569" s="9" t="n"/>
      <c r="L569" s="9" t="n"/>
      <c r="M569" s="9" t="n"/>
      <c r="N569" s="9" t="n"/>
      <c r="O569" s="10" t="n"/>
      <c r="P569" s="10" t="n"/>
      <c r="Q569" s="10" t="n"/>
      <c r="R569" s="10" t="n"/>
      <c r="S569" s="10" t="n"/>
    </row>
    <row r="570" ht="409.6" customHeight="1">
      <c r="A570" s="6">
        <f>IFERROR(__xludf.DUMMYFUNCTION("""COMPUTED_VALUE"""),"MATHS GROUP 3")</f>
        <v/>
      </c>
      <c r="B570" s="6">
        <f>IFERROR(__xludf.DUMMYFUNCTION("""COMPUTED_VALUE"""),"Application")</f>
        <v/>
      </c>
      <c r="C570" s="6">
        <f>IFERROR(__xludf.DUMMYFUNCTION("""COMPUTED_VALUE"""),"Graphing Lines Source")</f>
        <v/>
      </c>
      <c r="D570" s="7">
        <f>IFERROR(__xludf.DUMMYFUNCTION("""COMPUTED_VALUE"""),"No task description")</f>
        <v/>
      </c>
      <c r="E570"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70" s="7" t="inlineStr">
        <is>
          <t>Students were instructed to solve quadratic equations and explore linear equations, with Item3 embedding a Golabz app/lab artifact for interactive learning.</t>
        </is>
      </c>
      <c r="G570" s="8" t="n"/>
      <c r="H570" s="8" t="n"/>
      <c r="I570" s="8" t="n"/>
      <c r="J570" s="8" t="n"/>
      <c r="K570" s="9" t="n"/>
      <c r="L570" s="9" t="n"/>
      <c r="M570" s="9" t="n"/>
      <c r="N570" s="9" t="n"/>
      <c r="O570" s="10" t="n"/>
      <c r="P570" s="10" t="n"/>
      <c r="Q570" s="10" t="n"/>
      <c r="R570" s="10" t="n"/>
      <c r="S570" s="10" t="n"/>
    </row>
    <row r="571" ht="145" customHeight="1">
      <c r="A571" s="6">
        <f>IFERROR(__xludf.DUMMYFUNCTION("""COMPUTED_VALUE"""),"MATHS GROUP 3")</f>
        <v/>
      </c>
      <c r="B571" s="6">
        <f>IFERROR(__xludf.DUMMYFUNCTION("""COMPUTED_VALUE"""),"Space")</f>
        <v/>
      </c>
      <c r="C571" s="6">
        <f>IFERROR(__xludf.DUMMYFUNCTION("""COMPUTED_VALUE"""),"Investigation")</f>
        <v/>
      </c>
      <c r="D571" s="7">
        <f>IFERROR(__xludf.DUMMYFUNCTION("""COMPUTED_VALUE"""),"No task description")</f>
        <v/>
      </c>
      <c r="E571" s="7">
        <f>IFERROR(__xludf.DUMMYFUNCTION("""COMPUTED_VALUE"""),"No artifact embedded")</f>
        <v/>
      </c>
      <c r="F571" s="7" t="inlineStr">
        <is>
          <t>Students were instructed to solve quadratic equations and explore linear equations using the Golabz app, with learning goals including graphing lines and predicting variable changes.</t>
        </is>
      </c>
      <c r="G571" s="8" t="n"/>
      <c r="H571" s="8" t="n"/>
      <c r="I571" s="8" t="n"/>
      <c r="J571" s="8" t="n"/>
      <c r="K571" s="9" t="n"/>
      <c r="L571" s="9" t="n"/>
      <c r="M571" s="9" t="n"/>
      <c r="N571" s="9" t="n"/>
      <c r="O571" s="10" t="n"/>
      <c r="P571" s="10" t="n"/>
      <c r="Q571" s="10" t="n"/>
      <c r="R571" s="10" t="n"/>
      <c r="S571" s="10" t="n"/>
    </row>
    <row r="572" ht="133" customHeight="1">
      <c r="A572" s="6">
        <f>IFERROR(__xludf.DUMMYFUNCTION("""COMPUTED_VALUE"""),"MATHS GROUP 3")</f>
        <v/>
      </c>
      <c r="B572" s="6">
        <f>IFERROR(__xludf.DUMMYFUNCTION("""COMPUTED_VALUE"""),"Resource")</f>
        <v/>
      </c>
      <c r="C572" s="6">
        <f>IFERROR(__xludf.DUMMYFUNCTION("""COMPUTED_VALUE"""),"Word Problem.graasp")</f>
        <v/>
      </c>
      <c r="D572" s="7">
        <f>IFERROR(__xludf.DUMMYFUNCTION("""COMPUTED_VALUE"""),"&lt;p&gt;if y=0 and a,b,c are known then we can get values for x.&lt;/p&gt;")</f>
        <v/>
      </c>
      <c r="E572" s="7">
        <f>IFERROR(__xludf.DUMMYFUNCTION("""COMPUTED_VALUE"""),"No artifact embedded")</f>
        <v/>
      </c>
      <c r="F572" s="7" t="inlineStr">
        <is>
          <t>Students explore linear equations, slope, and graphs using Golabz app/lab, with learning goals including computing slope, graphing lines, and predicting variable changes.</t>
        </is>
      </c>
      <c r="G572" s="8" t="n"/>
      <c r="H572" s="8" t="n"/>
      <c r="I572" s="8" t="n"/>
      <c r="J572" s="8" t="n"/>
      <c r="K572" s="9" t="n"/>
      <c r="L572" s="9" t="n"/>
      <c r="M572" s="9" t="n"/>
      <c r="N572" s="9" t="n"/>
      <c r="O572" s="10" t="n"/>
      <c r="P572" s="10" t="n"/>
      <c r="Q572" s="10" t="n"/>
      <c r="R572" s="10" t="n"/>
      <c r="S572" s="10" t="n"/>
    </row>
    <row r="573" ht="109" customHeight="1">
      <c r="A573" s="6">
        <f>IFERROR(__xludf.DUMMYFUNCTION("""COMPUTED_VALUE"""),"MATHS GROUP 3")</f>
        <v/>
      </c>
      <c r="B573" s="6">
        <f>IFERROR(__xludf.DUMMYFUNCTION("""COMPUTED_VALUE"""),"Space")</f>
        <v/>
      </c>
      <c r="C573" s="6">
        <f>IFERROR(__xludf.DUMMYFUNCTION("""COMPUTED_VALUE"""),"Conclusion")</f>
        <v/>
      </c>
      <c r="D573" s="7">
        <f>IFERROR(__xludf.DUMMYFUNCTION("""COMPUTED_VALUE"""),"No task description")</f>
        <v/>
      </c>
      <c r="E573" s="7">
        <f>IFERROR(__xludf.DUMMYFUNCTION("""COMPUTED_VALUE"""),"No artifact embedded")</f>
        <v/>
      </c>
      <c r="F573" s="7" t="inlineStr">
        <is>
          <t>Students were given tasks with minimal descriptions and no embedded artifacts. Only Item2 had a brief math-related instruction.</t>
        </is>
      </c>
      <c r="G573" s="8" t="n"/>
      <c r="H573" s="8" t="n"/>
      <c r="I573" s="8" t="n"/>
      <c r="J573" s="8" t="n"/>
      <c r="K573" s="9" t="n"/>
      <c r="L573" s="9" t="n"/>
      <c r="M573" s="9" t="n"/>
      <c r="N573" s="9" t="n"/>
      <c r="O573" s="10" t="n"/>
      <c r="P573" s="10" t="n"/>
      <c r="Q573" s="10" t="n"/>
      <c r="R573" s="10" t="n"/>
      <c r="S573" s="10" t="n"/>
    </row>
    <row r="574" ht="85" customHeight="1">
      <c r="A574" s="6">
        <f>IFERROR(__xludf.DUMMYFUNCTION("""COMPUTED_VALUE"""),"MATHS GROUP 3")</f>
        <v/>
      </c>
      <c r="B574" s="6">
        <f>IFERROR(__xludf.DUMMYFUNCTION("""COMPUTED_VALUE"""),"Resource")</f>
        <v/>
      </c>
      <c r="C574" s="6">
        <f>IFERROR(__xludf.DUMMYFUNCTION("""COMPUTED_VALUE"""),"Results.graasp")</f>
        <v/>
      </c>
      <c r="D574" s="7">
        <f>IFERROR(__xludf.DUMMYFUNCTION("""COMPUTED_VALUE"""),"&lt;p&gt;Both methods give the same values for x.&lt;/p&gt;")</f>
        <v/>
      </c>
      <c r="E574" s="7">
        <f>IFERROR(__xludf.DUMMYFUNCTION("""COMPUTED_VALUE"""),"No artifact embedded")</f>
        <v/>
      </c>
      <c r="F574" s="7" t="inlineStr">
        <is>
          <t>Students were given tasks with no artifacts, including solving for x when y=0 and comparing two methods.</t>
        </is>
      </c>
      <c r="G574" s="8" t="n"/>
      <c r="H574" s="8" t="n"/>
      <c r="I574" s="8" t="n"/>
      <c r="J574" s="8" t="n"/>
      <c r="K574" s="9" t="n"/>
      <c r="L574" s="9" t="n"/>
      <c r="M574" s="9" t="n"/>
      <c r="N574" s="9" t="n"/>
      <c r="O574" s="10" t="n"/>
      <c r="P574" s="10" t="n"/>
      <c r="Q574" s="10" t="n"/>
      <c r="R574" s="10" t="n"/>
      <c r="S574" s="10" t="n"/>
    </row>
    <row r="575" ht="133" customHeight="1">
      <c r="A575" s="6">
        <f>IFERROR(__xludf.DUMMYFUNCTION("""COMPUTED_VALUE"""),"MATHS GROUP 3")</f>
        <v/>
      </c>
      <c r="B575" s="6">
        <f>IFERROR(__xludf.DUMMYFUNCTION("""COMPUTED_VALUE"""),"Space")</f>
        <v/>
      </c>
      <c r="C575" s="6">
        <f>IFERROR(__xludf.DUMMYFUNCTION("""COMPUTED_VALUE"""),"Discussion")</f>
        <v/>
      </c>
      <c r="D575" s="7">
        <f>IFERROR(__xludf.DUMMYFUNCTION("""COMPUTED_VALUE"""),"No task description")</f>
        <v/>
      </c>
      <c r="E575" s="7">
        <f>IFERROR(__xludf.DUMMYFUNCTION("""COMPUTED_VALUE"""),"No artifact embedded")</f>
        <v/>
      </c>
      <c r="F575" s="7" t="inlineStr">
        <is>
          <t>Students were given no task descriptions or embedded artifacts in most items, except Item2 which stated that two methods give the same values for x.</t>
        </is>
      </c>
      <c r="G575" s="8" t="n"/>
      <c r="H575" s="8" t="n"/>
      <c r="I575" s="8" t="n"/>
      <c r="J575" s="8" t="n"/>
      <c r="K575" s="9" t="n"/>
      <c r="L575" s="9" t="n"/>
      <c r="M575" s="9" t="n"/>
      <c r="N575" s="9" t="n"/>
      <c r="O575" s="10" t="n"/>
      <c r="P575" s="10" t="n"/>
      <c r="Q575" s="10" t="n"/>
      <c r="R575" s="10" t="n"/>
      <c r="S575" s="10" t="n"/>
    </row>
    <row r="576" ht="133" customHeight="1">
      <c r="A576" s="6">
        <f>IFERROR(__xludf.DUMMYFUNCTION("""COMPUTED_VALUE"""),"MATHS GROUP 3")</f>
        <v/>
      </c>
      <c r="B576" s="6">
        <f>IFERROR(__xludf.DUMMYFUNCTION("""COMPUTED_VALUE"""),"Topic")</f>
        <v/>
      </c>
      <c r="C576" s="6">
        <f>IFERROR(__xludf.DUMMYFUNCTION("""COMPUTED_VALUE"""),"Quadratic equations")</f>
        <v/>
      </c>
      <c r="D576" s="7">
        <f>IFERROR(__xludf.DUMMYFUNCTION("""COMPUTED_VALUE"""),"Try both methods for solving quadratic equations and discuss your findings")</f>
        <v/>
      </c>
      <c r="E576" s="7">
        <f>IFERROR(__xludf.DUMMYFUNCTION("""COMPUTED_VALUE"""),"text/html – A webpage or web document that contains structured text, images, and links, designed for display in a web browser.")</f>
        <v/>
      </c>
      <c r="F576" s="7" t="inlineStr">
        <is>
          <t>Students were instructed to solve quadratic equations and discuss findings. Embedded artifacts include no items in Items 1 and 2, but a webpage in Item 3.</t>
        </is>
      </c>
      <c r="G576" s="8" t="n"/>
      <c r="H576" s="8" t="n"/>
      <c r="I576" s="8" t="n"/>
      <c r="J576" s="8" t="n"/>
      <c r="K576" s="9" t="n"/>
      <c r="L576" s="9" t="n"/>
      <c r="M576" s="9" t="n"/>
      <c r="N576" s="9" t="n"/>
      <c r="O576" s="10" t="n"/>
      <c r="P576" s="10" t="n"/>
      <c r="Q576" s="10" t="n"/>
      <c r="R576" s="10" t="n"/>
      <c r="S576" s="10" t="n"/>
    </row>
    <row r="577" ht="409.6" customHeight="1">
      <c r="A577" s="6">
        <f>IFERROR(__xludf.DUMMYFUNCTION("""COMPUTED_VALUE"""),"Leadership in your life")</f>
        <v/>
      </c>
      <c r="B577" s="6">
        <f>IFERROR(__xludf.DUMMYFUNCTION("""COMPUTED_VALUE"""),"Space")</f>
        <v/>
      </c>
      <c r="C577" s="6">
        <f>IFERROR(__xludf.DUMMYFUNCTION("""COMPUTED_VALUE"""),"Orientation")</f>
        <v/>
      </c>
      <c r="D577" s="7">
        <f>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
      </c>
      <c r="E577" s="7">
        <f>IFERROR(__xludf.DUMMYFUNCTION("""COMPUTED_VALUE"""),"No artifact embedded")</f>
        <v/>
      </c>
      <c r="F577" s="7" t="inlineStr">
        <is>
          <t>Students are given tasks with varying descriptions and embedded artifacts, including text/html and videos, to complete assignments.</t>
        </is>
      </c>
      <c r="G577" s="8" t="n"/>
      <c r="H577" s="8" t="n"/>
      <c r="I577" s="8" t="n"/>
      <c r="J577" s="8" t="n"/>
      <c r="K577" s="9" t="n"/>
      <c r="L577" s="9" t="n"/>
      <c r="M577" s="9" t="n"/>
      <c r="N577" s="9" t="n"/>
      <c r="O577" s="10" t="n"/>
      <c r="P577" s="10" t="n"/>
      <c r="Q577" s="10" t="n"/>
      <c r="R577" s="10" t="n"/>
      <c r="S577" s="10" t="n"/>
    </row>
    <row r="578" ht="133" customHeight="1">
      <c r="A578" s="6">
        <f>IFERROR(__xludf.DUMMYFUNCTION("""COMPUTED_VALUE"""),"Leadership in your life")</f>
        <v/>
      </c>
      <c r="B578" s="6">
        <f>IFERROR(__xludf.DUMMYFUNCTION("""COMPUTED_VALUE"""),"Resource")</f>
        <v/>
      </c>
      <c r="C578" s="6">
        <f>IFERROR(__xludf.DUMMYFUNCTION("""COMPUTED_VALUE"""),"What is a Leader.mp4")</f>
        <v/>
      </c>
      <c r="D578" s="7">
        <f>IFERROR(__xludf.DUMMYFUNCTION("""COMPUTED_VALUE"""),"No task description")</f>
        <v/>
      </c>
      <c r="E578" s="7">
        <f>IFERROR(__xludf.DUMMYFUNCTION("""COMPUTED_VALUE"""),"video/mp4 – A video file containing moving images and possibly audio, suitable for playback on most modern devices and platforms.")</f>
        <v/>
      </c>
      <c r="F578" s="7" t="inlineStr">
        <is>
          <t>Students are given tasks to solve quadratic equations and discuss leadership qualities. Embedded artifacts include text/html and video/mp4 files.</t>
        </is>
      </c>
      <c r="G578" s="8" t="n"/>
      <c r="H578" s="8" t="n"/>
      <c r="I578" s="8" t="n"/>
      <c r="J578" s="8" t="n"/>
      <c r="K578" s="9" t="n"/>
      <c r="L578" s="9" t="n"/>
      <c r="M578" s="9" t="n"/>
      <c r="N578" s="9" t="n"/>
      <c r="O578" s="10" t="n"/>
      <c r="P578" s="10" t="n"/>
      <c r="Q578" s="10" t="n"/>
      <c r="R578" s="10" t="n"/>
      <c r="S578" s="10" t="n"/>
    </row>
    <row r="579" ht="409.6" customHeight="1">
      <c r="A579" s="6">
        <f>IFERROR(__xludf.DUMMYFUNCTION("""COMPUTED_VALUE"""),"Leadership in your life")</f>
        <v/>
      </c>
      <c r="B579" s="6">
        <f>IFERROR(__xludf.DUMMYFUNCTION("""COMPUTED_VALUE"""),"Space")</f>
        <v/>
      </c>
      <c r="C579" s="6">
        <f>IFERROR(__xludf.DUMMYFUNCTION("""COMPUTED_VALUE"""),"Conceptualisation")</f>
        <v/>
      </c>
      <c r="D579" s="7">
        <f>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
      </c>
      <c r="E579" s="7">
        <f>IFERROR(__xludf.DUMMYFUNCTION("""COMPUTED_VALUE"""),"No artifact embedded")</f>
        <v/>
      </c>
      <c r="F579" s="7" t="inlineStr">
        <is>
          <t>Students analyze leadership and motivation through videos and articles, with tasks to watch a video and study articles on leadership types.</t>
        </is>
      </c>
      <c r="G579" s="8" t="n"/>
      <c r="H579" s="8" t="n"/>
      <c r="I579" s="8" t="n"/>
      <c r="J579" s="8" t="n"/>
      <c r="K579" s="9" t="n"/>
      <c r="L579" s="9" t="n"/>
      <c r="M579" s="9" t="n"/>
      <c r="N579" s="9" t="n"/>
      <c r="O579" s="10" t="n"/>
      <c r="P579" s="10" t="n"/>
      <c r="Q579" s="10" t="n"/>
      <c r="R579" s="10" t="n"/>
      <c r="S579" s="10" t="n"/>
    </row>
    <row r="580" ht="109" customHeight="1">
      <c r="A580" s="6">
        <f>IFERROR(__xludf.DUMMYFUNCTION("""COMPUTED_VALUE"""),"Leadership in your life")</f>
        <v/>
      </c>
      <c r="B580" s="6">
        <f>IFERROR(__xludf.DUMMYFUNCTION("""COMPUTED_VALUE"""),"Resource")</f>
        <v/>
      </c>
      <c r="C580" s="6">
        <f>IFERROR(__xludf.DUMMYFUNCTION("""COMPUTED_VALUE"""),"Is Everyone a Leader?")</f>
        <v/>
      </c>
      <c r="D580" s="7">
        <f>IFERROR(__xludf.DUMMYFUNCTION("""COMPUTED_VALUE"""),"A question I get almost everywhere I go: “Is everyone a leader?”")</f>
        <v/>
      </c>
      <c r="E580" s="7">
        <f>IFERROR(__xludf.DUMMYFUNCTION("""COMPUTED_VALUE"""),"psychologytoday.com: Features articles on psychological topics, such as discussions on leadership.")</f>
        <v/>
      </c>
      <c r="F580" s="7" t="inlineStr">
        <is>
          <t>Students were given tasks and resources, including videos and articles, to explore leadership theories and types.</t>
        </is>
      </c>
      <c r="G580" s="8" t="n"/>
      <c r="H580" s="8" t="n"/>
      <c r="I580" s="8" t="n"/>
      <c r="J580" s="8" t="n"/>
      <c r="K580" s="9" t="n"/>
      <c r="L580" s="9" t="n"/>
      <c r="M580" s="9" t="n"/>
      <c r="N580" s="9" t="n"/>
      <c r="O580" s="10" t="n"/>
      <c r="P580" s="10" t="n"/>
      <c r="Q580" s="10" t="n"/>
      <c r="R580" s="10" t="n"/>
      <c r="S580" s="10" t="n"/>
    </row>
    <row r="581" ht="133" customHeight="1">
      <c r="A581" s="6">
        <f>IFERROR(__xludf.DUMMYFUNCTION("""COMPUTED_VALUE"""),"Leadership in your life")</f>
        <v/>
      </c>
      <c r="B581" s="6">
        <f>IFERROR(__xludf.DUMMYFUNCTION("""COMPUTED_VALUE"""),"Resource")</f>
        <v/>
      </c>
      <c r="C581" s="6">
        <f>IFERROR(__xludf.DUMMYFUNCTION("""COMPUTED_VALUE"""),"7 Common Leadership Styles: Which Type of a Leader Are You?")</f>
        <v/>
      </c>
      <c r="D581" s="7">
        <f>IFERROR(__xludf.DUMMYFUNCTION("""COMPUTED_VALUE"""),"‘Leadership is not a position or a title, it is action and example’ — Unknown")</f>
        <v/>
      </c>
      <c r="E581" s="7">
        <f>IFERROR(__xludf.DUMMYFUNCTION("""COMPUTED_VALUE"""),"blog.proofhub.com: The blog section of ProofHub provides articles on leadership styles and project management.")</f>
        <v/>
      </c>
      <c r="F581" s="7" t="inlineStr">
        <is>
          <t>Students are instructed to study articles on leadership and take notes, with embedded artifacts including psychologytoday.com and blog.proofhub.com.</t>
        </is>
      </c>
      <c r="G581" s="8" t="n"/>
      <c r="H581" s="8" t="n"/>
      <c r="I581" s="8" t="n"/>
      <c r="J581" s="8" t="n"/>
      <c r="K581" s="9" t="n"/>
      <c r="L581" s="9" t="n"/>
      <c r="M581" s="9" t="n"/>
      <c r="N581" s="9" t="n"/>
      <c r="O581" s="10" t="n"/>
      <c r="P581" s="10" t="n"/>
      <c r="Q581" s="10" t="n"/>
      <c r="R581" s="10" t="n"/>
      <c r="S581" s="10" t="n"/>
    </row>
    <row r="582" ht="145" customHeight="1">
      <c r="A582" s="6">
        <f>IFERROR(__xludf.DUMMYFUNCTION("""COMPUTED_VALUE"""),"Leadership in your life")</f>
        <v/>
      </c>
      <c r="B582" s="6">
        <f>IFERROR(__xludf.DUMMYFUNCTION("""COMPUTED_VALUE"""),"Space")</f>
        <v/>
      </c>
      <c r="C582" s="6">
        <f>IFERROR(__xludf.DUMMYFUNCTION("""COMPUTED_VALUE"""),"Investigation")</f>
        <v/>
      </c>
      <c r="D582" s="7">
        <f>IFERROR(__xludf.DUMMYFUNCTION("""COMPUTED_VALUE"""),"&lt;p&gt;Now let's do some practical tasks. &lt;/p&gt;")</f>
        <v/>
      </c>
      <c r="E582" s="7">
        <f>IFERROR(__xludf.DUMMYFUNCTION("""COMPUTED_VALUE"""),"No artifact embedded")</f>
        <v/>
      </c>
      <c r="F582" s="7" t="inlineStr">
        <is>
          <t>Students were given 3 tasks with descriptions about leadership, with Items 1 and 2 including embedded artifacts from psychologytoday.com and blog.proofhub.com.</t>
        </is>
      </c>
      <c r="G582" s="8" t="n"/>
      <c r="H582" s="8" t="n"/>
      <c r="I582" s="8" t="n"/>
      <c r="J582" s="8" t="n"/>
      <c r="K582" s="9" t="n"/>
      <c r="L582" s="9" t="n"/>
      <c r="M582" s="9" t="n"/>
      <c r="N582" s="9" t="n"/>
      <c r="O582" s="10" t="n"/>
      <c r="P582" s="10" t="n"/>
      <c r="Q582" s="10" t="n"/>
      <c r="R582" s="10" t="n"/>
      <c r="S582" s="10" t="n"/>
    </row>
    <row r="583" ht="406" customHeight="1">
      <c r="A583" s="6">
        <f>IFERROR(__xludf.DUMMYFUNCTION("""COMPUTED_VALUE"""),"Leadership in your life")</f>
        <v/>
      </c>
      <c r="B583" s="6">
        <f>IFERROR(__xludf.DUMMYFUNCTION("""COMPUTED_VALUE"""),"Resource")</f>
        <v/>
      </c>
      <c r="C583" s="6">
        <f>IFERROR(__xludf.DUMMYFUNCTION("""COMPUTED_VALUE"""),"Task 1")</f>
        <v/>
      </c>
      <c r="D583" s="7">
        <f>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
      </c>
      <c r="E583" s="7">
        <f>IFERROR(__xludf.DUMMYFUNCTION("""COMPUTED_VALUE"""),"image/jpeg – A digital photograph or web image stored in a compressed format, often used for photography and web graphics.")</f>
        <v/>
      </c>
      <c r="F583" s="7" t="inlineStr">
        <is>
          <t>Students were given tasks with descriptions and embedded artifacts, including a blog on leadership and a JPEG image, to complete practical exercises and answer questions on leadership styles.</t>
        </is>
      </c>
      <c r="G583" s="8" t="n"/>
      <c r="H583" s="8" t="n"/>
      <c r="I583" s="8" t="n"/>
      <c r="J583" s="8" t="n"/>
      <c r="K583" s="9" t="n"/>
      <c r="L583" s="9" t="n"/>
      <c r="M583" s="9" t="n"/>
      <c r="N583" s="9" t="n"/>
      <c r="O583" s="10" t="n"/>
      <c r="P583" s="10" t="n"/>
      <c r="Q583" s="10" t="n"/>
      <c r="R583" s="10" t="n"/>
      <c r="S583" s="10" t="n"/>
    </row>
    <row r="584" ht="409.6" customHeight="1">
      <c r="A584" s="6">
        <f>IFERROR(__xludf.DUMMYFUNCTION("""COMPUTED_VALUE"""),"Leadership in your life")</f>
        <v/>
      </c>
      <c r="B584" s="6">
        <f>IFERROR(__xludf.DUMMYFUNCTION("""COMPUTED_VALUE"""),"Resource")</f>
        <v/>
      </c>
      <c r="C584" s="6">
        <f>IFERROR(__xludf.DUMMYFUNCTION("""COMPUTED_VALUE"""),"Task 2")</f>
        <v/>
      </c>
      <c r="D584" s="7">
        <f>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
      </c>
      <c r="E584" s="7">
        <f>IFERROR(__xludf.DUMMYFUNCTION("""COMPUTED_VALUE"""),"image/jpeg – A digital photograph or web image stored in a compressed format, often used for photography and web graphics.")</f>
        <v/>
      </c>
      <c r="F584" s="7" t="inlineStr">
        <is>
          <t>Students are given tasks with descriptions and embedded images (jpeg) to complete leadership-related exercises.</t>
        </is>
      </c>
      <c r="G584" s="8" t="n"/>
      <c r="H584" s="8" t="n"/>
      <c r="I584" s="8" t="n"/>
      <c r="J584" s="8" t="n"/>
      <c r="K584" s="9" t="n"/>
      <c r="L584" s="9" t="n"/>
      <c r="M584" s="9" t="n"/>
      <c r="N584" s="9" t="n"/>
      <c r="O584" s="10" t="n"/>
      <c r="P584" s="10" t="n"/>
      <c r="Q584" s="10" t="n"/>
      <c r="R584" s="10" t="n"/>
      <c r="S584" s="10" t="n"/>
    </row>
    <row r="585" ht="409.6" customHeight="1">
      <c r="A585" s="6">
        <f>IFERROR(__xludf.DUMMYFUNCTION("""COMPUTED_VALUE"""),"Leadership in your life")</f>
        <v/>
      </c>
      <c r="B585" s="6">
        <f>IFERROR(__xludf.DUMMYFUNCTION("""COMPUTED_VALUE"""),"Space")</f>
        <v/>
      </c>
      <c r="C585" s="6">
        <f>IFERROR(__xludf.DUMMYFUNCTION("""COMPUTED_VALUE"""),"Discussion")</f>
        <v/>
      </c>
      <c r="D585" s="7">
        <f>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
      </c>
      <c r="E585" s="7">
        <f>IFERROR(__xludf.DUMMYFUNCTION("""COMPUTED_VALUE"""),"No artifact embedded")</f>
        <v/>
      </c>
      <c r="F585" s="7" t="inlineStr">
        <is>
          <t>Students answer leadership questions and discuss scenarios with various leader types, with image/jpeg artifacts embedded in Items 1 and 2.</t>
        </is>
      </c>
      <c r="G585" s="8" t="n"/>
      <c r="H585" s="8" t="n"/>
      <c r="I585" s="8" t="n"/>
      <c r="J585" s="8" t="n"/>
      <c r="K585" s="9" t="n"/>
      <c r="L585" s="9" t="n"/>
      <c r="M585" s="9" t="n"/>
      <c r="N585" s="9" t="n"/>
      <c r="O585" s="10" t="n"/>
      <c r="P585" s="10" t="n"/>
      <c r="Q585" s="10" t="n"/>
      <c r="R585" s="10" t="n"/>
      <c r="S585" s="10" t="n"/>
    </row>
    <row r="586" ht="109" customHeight="1">
      <c r="A586" s="6">
        <f>IFERROR(__xludf.DUMMYFUNCTION("""COMPUTED_VALUE"""),"Leadership in your life")</f>
        <v/>
      </c>
      <c r="B586" s="6">
        <f>IFERROR(__xludf.DUMMYFUNCTION("""COMPUTED_VALUE"""),"Resource")</f>
        <v/>
      </c>
      <c r="C586" s="6">
        <f>IFERROR(__xludf.DUMMYFUNCTION("""COMPUTED_VALUE"""),"Think about it!")</f>
        <v/>
      </c>
      <c r="D586" s="7">
        <f>IFERROR(__xludf.DUMMYFUNCTION("""COMPUTED_VALUE"""),"No task description")</f>
        <v/>
      </c>
      <c r="E586" s="7">
        <f>IFERROR(__xludf.DUMMYFUNCTION("""COMPUTED_VALUE"""),"image/jpeg – A digital photograph or web image stored in a compressed format, often used for photography and web graphics.")</f>
        <v/>
      </c>
      <c r="F586" s="7" t="inlineStr">
        <is>
          <t>Students discuss leadership styles and motivations through role-play and statements, with embedded images in Items 1 and 3.</t>
        </is>
      </c>
      <c r="G586" s="8" t="n"/>
      <c r="H586" s="8" t="n"/>
      <c r="I586" s="8" t="n"/>
      <c r="J586" s="8" t="n"/>
      <c r="K586" s="9" t="n"/>
      <c r="L586" s="9" t="n"/>
      <c r="M586" s="9" t="n"/>
      <c r="N586" s="9" t="n"/>
      <c r="O586" s="10" t="n"/>
      <c r="P586" s="10" t="n"/>
      <c r="Q586" s="10" t="n"/>
      <c r="R586" s="10" t="n"/>
      <c r="S586" s="10" t="n"/>
    </row>
    <row r="587" ht="409.6" customHeight="1">
      <c r="A587" s="6">
        <f>IFERROR(__xludf.DUMMYFUNCTION("""COMPUTED_VALUE"""),"Leadership in your life")</f>
        <v/>
      </c>
      <c r="B587" s="6">
        <f>IFERROR(__xludf.DUMMYFUNCTION("""COMPUTED_VALUE"""),"Space")</f>
        <v/>
      </c>
      <c r="C587" s="6">
        <f>IFERROR(__xludf.DUMMYFUNCTION("""COMPUTED_VALUE"""),"Conclusion")</f>
        <v/>
      </c>
      <c r="D587" s="7">
        <f>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
      </c>
      <c r="E587" s="7">
        <f>IFERROR(__xludf.DUMMYFUNCTION("""COMPUTED_VALUE"""),"No artifact embedded")</f>
        <v/>
      </c>
      <c r="F587" s="7" t="inlineStr">
        <is>
          <t>Students were asked to read statements about leadership, agree or disagree, and provide proof. Embedded artifacts include a digital photograph and no other files.</t>
        </is>
      </c>
      <c r="G587" s="8" t="n"/>
      <c r="H587" s="8" t="n"/>
      <c r="I587" s="8" t="n"/>
      <c r="J587" s="8" t="n"/>
      <c r="K587" s="9" t="n"/>
      <c r="L587" s="9" t="n"/>
      <c r="M587" s="9" t="n"/>
      <c r="N587" s="9" t="n"/>
      <c r="O587" s="10" t="n"/>
      <c r="P587" s="10" t="n"/>
      <c r="Q587" s="10" t="n"/>
      <c r="R587" s="10" t="n"/>
      <c r="S587" s="10" t="n"/>
    </row>
    <row r="588" ht="157" customHeight="1">
      <c r="A588" s="6">
        <f>IFERROR(__xludf.DUMMYFUNCTION("""COMPUTED_VALUE"""),"Leadership in your life")</f>
        <v/>
      </c>
      <c r="B588" s="6">
        <f>IFERROR(__xludf.DUMMYFUNCTION("""COMPUTED_VALUE"""),"Resource")</f>
        <v/>
      </c>
      <c r="C588" s="6">
        <f>IFERROR(__xludf.DUMMYFUNCTION("""COMPUTED_VALUE"""),"Take the Quiz! What Type of Leader Are You? | SEU Online")</f>
        <v/>
      </c>
      <c r="D588" s="7">
        <f>IFERROR(__xludf.DUMMYFUNCTION("""COMPUTED_VALUE"""),"How do you lead, and how do you prefer to be led? What personality do you look for in a boss? What type of leadership style do you have? Take the quiz here.")</f>
        <v/>
      </c>
      <c r="E588" s="7">
        <f>IFERROR(__xludf.DUMMYFUNCTION("""COMPUTED_VALUE"""),"online.seu.edu: Southeastern University's online platform, offering articles and quizzes on topics like leadership styles.")</f>
        <v/>
      </c>
      <c r="F588" s="7" t="inlineStr">
        <is>
          <t>Students are instructed to reflect on leadership styles. Embedded artifacts include an image/jpeg file and a link to Southeastern University's online platform with leadership quizzes.</t>
        </is>
      </c>
      <c r="G588" s="8" t="n"/>
      <c r="H588" s="8" t="n"/>
      <c r="I588" s="8" t="n"/>
      <c r="J588" s="8" t="n"/>
      <c r="K588" s="9" t="n"/>
      <c r="L588" s="9" t="n"/>
      <c r="M588" s="9" t="n"/>
      <c r="N588" s="9" t="n"/>
      <c r="O588" s="10" t="n"/>
      <c r="P588" s="10" t="n"/>
      <c r="Q588" s="10" t="n"/>
      <c r="R588" s="10" t="n"/>
      <c r="S588" s="10" t="n"/>
    </row>
    <row r="589" ht="229" customHeight="1">
      <c r="A589" s="6">
        <f>IFERROR(__xludf.DUMMYFUNCTION("""COMPUTED_VALUE"""),"Leadership in your life")</f>
        <v/>
      </c>
      <c r="B589" s="6">
        <f>IFERROR(__xludf.DUMMYFUNCTION("""COMPUTED_VALUE"""),"Space")</f>
        <v/>
      </c>
      <c r="C589" s="6">
        <f>IFERROR(__xludf.DUMMYFUNCTION("""COMPUTED_VALUE"""),"Homework")</f>
        <v/>
      </c>
      <c r="D589" s="7">
        <f>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
      </c>
      <c r="E589" s="7">
        <f>IFERROR(__xludf.DUMMYFUNCTION("""COMPUTED_VALUE"""),"No artifact embedded")</f>
        <v/>
      </c>
      <c r="F589" s="7" t="inlineStr">
        <is>
          <t>Students are instructed to take quizzes and write essays on leadership styles, with an online platform and video provided as resources.</t>
        </is>
      </c>
      <c r="G589" s="8" t="n"/>
      <c r="H589" s="8" t="n"/>
      <c r="I589" s="8" t="n"/>
      <c r="J589" s="8" t="n"/>
      <c r="K589" s="9" t="n"/>
      <c r="L589" s="9" t="n"/>
      <c r="M589" s="9" t="n"/>
      <c r="N589" s="9" t="n"/>
      <c r="O589" s="10" t="n"/>
      <c r="P589" s="10" t="n"/>
      <c r="Q589" s="10" t="n"/>
      <c r="R589" s="10" t="n"/>
      <c r="S589" s="10" t="n"/>
    </row>
    <row r="590" ht="409.6" customHeight="1">
      <c r="A590" s="6">
        <f>IFERROR(__xludf.DUMMYFUNCTION("""COMPUTED_VALUE"""),"Leadership in your life")</f>
        <v/>
      </c>
      <c r="B590" s="6">
        <f>IFERROR(__xludf.DUMMYFUNCTION("""COMPUTED_VALUE"""),"Resource")</f>
        <v/>
      </c>
      <c r="C590" s="6">
        <f>IFERROR(__xludf.DUMMYFUNCTION("""COMPUTED_VALUE"""),"Great leadership starts with self-leadership | Lars Sudmann | TEDxUCLouvain")</f>
        <v/>
      </c>
      <c r="D590" s="7">
        <f>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
      </c>
      <c r="E590" s="7">
        <f>IFERROR(__xludf.DUMMYFUNCTION("""COMPUTED_VALUE"""),"youtube.com: A widely known video-sharing platform where users can watch videos on a vast array of topics, including educational content.")</f>
        <v/>
      </c>
      <c r="F590" s="7" t="inlineStr">
        <is>
          <t>Students take quizzes, write essays, and watch videos on leadership styles, with embedded artifacts from online platforms like Southeastern University and YouTube.</t>
        </is>
      </c>
      <c r="G590" s="8" t="n"/>
      <c r="H590" s="8" t="n"/>
      <c r="I590" s="8" t="n"/>
      <c r="J590" s="8" t="n"/>
      <c r="K590" s="9" t="n"/>
      <c r="L590" s="9" t="n"/>
      <c r="M590" s="9" t="n"/>
      <c r="N590" s="9" t="n"/>
      <c r="O590" s="10" t="n"/>
      <c r="P590" s="10" t="n"/>
      <c r="Q590" s="10" t="n"/>
      <c r="R590" s="10" t="n"/>
      <c r="S590" s="10" t="n"/>
    </row>
    <row r="591" ht="109" customHeight="1">
      <c r="A591" s="6">
        <f>IFERROR(__xludf.DUMMYFUNCTION("""COMPUTED_VALUE"""),"PH OF SOLUTIONS")</f>
        <v/>
      </c>
      <c r="B591" s="6">
        <f>IFERROR(__xludf.DUMMYFUNCTION("""COMPUTED_VALUE"""),"Space")</f>
        <v/>
      </c>
      <c r="C591" s="6">
        <f>IFERROR(__xludf.DUMMYFUNCTION("""COMPUTED_VALUE"""),"ENGAGE")</f>
        <v/>
      </c>
      <c r="D591" s="7">
        <f>IFERROR(__xludf.DUMMYFUNCTION("""COMPUTED_VALUE"""),"&lt;p&gt;Form 2The ph of solutions lesson 2&lt;/p&gt;")</f>
        <v/>
      </c>
      <c r="E591" s="7">
        <f>IFERROR(__xludf.DUMMYFUNCTION("""COMPUTED_VALUE"""),"No artifact embedded")</f>
        <v/>
      </c>
      <c r="F591" s="7" t="inlineStr">
        <is>
          <t>Students were instructed to write essays and watch videos on leadership topics, with some items having embedded artifacts like YouTube videos.</t>
        </is>
      </c>
      <c r="G591" s="8" t="n"/>
      <c r="H591" s="8" t="n"/>
      <c r="I591" s="8" t="n"/>
      <c r="J591" s="8" t="n"/>
      <c r="K591" s="9" t="n"/>
      <c r="L591" s="9" t="n"/>
      <c r="M591" s="9" t="n"/>
      <c r="N591" s="9" t="n"/>
      <c r="O591" s="10" t="n"/>
      <c r="P591" s="10" t="n"/>
      <c r="Q591" s="10" t="n"/>
      <c r="R591" s="10" t="n"/>
      <c r="S591" s="10" t="n"/>
    </row>
    <row r="592" ht="109" customHeight="1">
      <c r="A592" s="6">
        <f>IFERROR(__xludf.DUMMYFUNCTION("""COMPUTED_VALUE"""),"PH OF SOLUTIONS")</f>
        <v/>
      </c>
      <c r="B592" s="6">
        <f>IFERROR(__xludf.DUMMYFUNCTION("""COMPUTED_VALUE"""),"Resource")</f>
        <v/>
      </c>
      <c r="C592" s="6">
        <f>IFERROR(__xludf.DUMMYFUNCTION("""COMPUTED_VALUE"""),"observe the folowing diagram and answer the questios that follow,.graasp")</f>
        <v/>
      </c>
      <c r="D592" s="7">
        <f>IFERROR(__xludf.DUMMYFUNCTION("""COMPUTED_VALUE"""),"&lt;p&gt;predict the colour changes.&lt;/p&gt;&lt;p&gt;what happens if water is add to the solution?&lt;/p&gt;&lt;p&gt;&lt;br&gt;&lt;/p&gt;")</f>
        <v/>
      </c>
      <c r="E592" s="7">
        <f>IFERROR(__xludf.DUMMYFUNCTION("""COMPUTED_VALUE"""),"No artifact embedded")</f>
        <v/>
      </c>
      <c r="F592" s="7" t="inlineStr">
        <is>
          <t>Students are given tasks with descriptions and some have embedded artifacts like a YouTube video, while others have none.</t>
        </is>
      </c>
      <c r="G592" s="8" t="n"/>
      <c r="H592" s="8" t="n"/>
      <c r="I592" s="8" t="n"/>
      <c r="J592" s="8" t="n"/>
      <c r="K592" s="9" t="n"/>
      <c r="L592" s="9" t="n"/>
      <c r="M592" s="9" t="n"/>
      <c r="N592" s="9" t="n"/>
      <c r="O592" s="10" t="n"/>
      <c r="P592" s="10" t="n"/>
      <c r="Q592" s="10" t="n"/>
      <c r="R592" s="10" t="n"/>
      <c r="S592" s="10" t="n"/>
    </row>
    <row r="593" ht="395" customHeight="1">
      <c r="A593" s="6">
        <f>IFERROR(__xludf.DUMMYFUNCTION("""COMPUTED_VALUE"""),"PH OF SOLUTIONS")</f>
        <v/>
      </c>
      <c r="B593" s="6">
        <f>IFERROR(__xludf.DUMMYFUNCTION("""COMPUTED_VALUE"""),"Application")</f>
        <v/>
      </c>
      <c r="C593" s="6">
        <f>IFERROR(__xludf.DUMMYFUNCTION("""COMPUTED_VALUE"""),"pH Scale: Basics")</f>
        <v/>
      </c>
      <c r="D593" s="7">
        <f>IFERROR(__xludf.DUMMYFUNCTION("""COMPUTED_VALUE"""),"No task description")</f>
        <v/>
      </c>
      <c r="E593" s="7">
        <f>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
      </c>
      <c r="F593" s="7" t="inlineStr">
        <is>
          <t>Students predict color changes and test pH levels using Golabz app, exploring acidic, basic, and neutral solutions.</t>
        </is>
      </c>
      <c r="G593" s="8" t="n"/>
      <c r="H593" s="8" t="n"/>
      <c r="I593" s="8" t="n"/>
      <c r="J593" s="8" t="n"/>
      <c r="K593" s="9" t="n"/>
      <c r="L593" s="9" t="n"/>
      <c r="M593" s="9" t="n"/>
      <c r="N593" s="9" t="n"/>
      <c r="O593" s="10" t="n"/>
      <c r="P593" s="10" t="n"/>
      <c r="Q593" s="10" t="n"/>
      <c r="R593" s="10" t="n"/>
      <c r="S593" s="10" t="n"/>
    </row>
    <row r="594" ht="205" customHeight="1">
      <c r="A594" s="6">
        <f>IFERROR(__xludf.DUMMYFUNCTION("""COMPUTED_VALUE"""),"PH OF SOLUTIONS")</f>
        <v/>
      </c>
      <c r="B594" s="6">
        <f>IFERROR(__xludf.DUMMYFUNCTION("""COMPUTED_VALUE"""),"Space")</f>
        <v/>
      </c>
      <c r="C594" s="6">
        <f>IFERROR(__xludf.DUMMYFUNCTION("""COMPUTED_VALUE"""),"EXPLORE")</f>
        <v/>
      </c>
      <c r="D594" s="7">
        <f>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
      </c>
      <c r="E594" s="7">
        <f>IFERROR(__xludf.DUMMYFUNCTION("""COMPUTED_VALUE"""),"No artifact embedded")</f>
        <v/>
      </c>
      <c r="F594" s="7" t="inlineStr">
        <is>
          <t>Students predict color changes and test pH levels using the Golabz app/lab, investigating effects of dilution and volume changes on acidic, basic, or neutral substances.</t>
        </is>
      </c>
      <c r="G594" s="8" t="n"/>
      <c r="H594" s="8" t="n"/>
      <c r="I594" s="8" t="n"/>
      <c r="J594" s="8" t="n"/>
      <c r="K594" s="9" t="n"/>
      <c r="L594" s="9" t="n"/>
      <c r="M594" s="9" t="n"/>
      <c r="N594" s="9" t="n"/>
      <c r="O594" s="10" t="n"/>
      <c r="P594" s="10" t="n"/>
      <c r="Q594" s="10" t="n"/>
      <c r="R594" s="10" t="n"/>
      <c r="S594" s="10" t="n"/>
    </row>
    <row r="595" ht="97" customHeight="1">
      <c r="A595" s="6">
        <f>IFERROR(__xludf.DUMMYFUNCTION("""COMPUTED_VALUE"""),"PH OF SOLUTIONS")</f>
        <v/>
      </c>
      <c r="B595" s="6">
        <f>IFERROR(__xludf.DUMMYFUNCTION("""COMPUTED_VALUE"""),"Application")</f>
        <v/>
      </c>
      <c r="C595" s="6">
        <f>IFERROR(__xludf.DUMMYFUNCTION("""COMPUTED_VALUE"""),"Determination of pH")</f>
        <v/>
      </c>
      <c r="D595" s="7">
        <f>IFERROR(__xludf.DUMMYFUNCTION("""COMPUTED_VALUE"""),"No task description")</f>
        <v/>
      </c>
      <c r="E595" s="7">
        <f>IFERROR(__xludf.DUMMYFUNCTION("""COMPUTED_VALUE"""),"Golabz app/lab: ""&lt;p&gt;With this lab you will learn how to determine the ph of bases and acids.&lt;/p&gt;""")</f>
        <v/>
      </c>
      <c r="F595" s="7" t="inlineStr">
        <is>
          <t>Students test pH levels, visualize ion concentrations, and investigate volume/dilution effects using Golabz app/lab.</t>
        </is>
      </c>
      <c r="G595" s="8" t="n"/>
      <c r="H595" s="8" t="n"/>
      <c r="I595" s="8" t="n"/>
      <c r="J595" s="8" t="n"/>
      <c r="K595" s="9" t="n"/>
      <c r="L595" s="9" t="n"/>
      <c r="M595" s="9" t="n"/>
      <c r="N595" s="9" t="n"/>
      <c r="O595" s="10" t="n"/>
      <c r="P595" s="10" t="n"/>
      <c r="Q595" s="10" t="n"/>
      <c r="R595" s="10" t="n"/>
      <c r="S595" s="10" t="n"/>
    </row>
    <row r="596" ht="109" customHeight="1">
      <c r="A596" s="6">
        <f>IFERROR(__xludf.DUMMYFUNCTION("""COMPUTED_VALUE"""),"PH OF SOLUTIONS")</f>
        <v/>
      </c>
      <c r="B596" s="6">
        <f>IFERROR(__xludf.DUMMYFUNCTION("""COMPUTED_VALUE"""),"Space")</f>
        <v/>
      </c>
      <c r="C596" s="6">
        <f>IFERROR(__xludf.DUMMYFUNCTION("""COMPUTED_VALUE"""),"EXPLAIN")</f>
        <v/>
      </c>
      <c r="D596" s="7">
        <f>IFERROR(__xludf.DUMMYFUNCTION("""COMPUTED_VALUE"""),"No task description")</f>
        <v/>
      </c>
      <c r="E596" s="7">
        <f>IFERROR(__xludf.DUMMYFUNCTION("""COMPUTED_VALUE"""),"No artifact embedded")</f>
        <v/>
      </c>
      <c r="F596" s="7" t="inlineStr">
        <is>
          <t>Students test pH of coffee and soap, investigating effects of volume changes. Artifacts include a Golabz app/lab on pH determination.</t>
        </is>
      </c>
      <c r="G596" s="8" t="n"/>
      <c r="H596" s="8" t="n"/>
      <c r="I596" s="8" t="n"/>
      <c r="J596" s="8" t="n"/>
      <c r="K596" s="9" t="n"/>
      <c r="L596" s="9" t="n"/>
      <c r="M596" s="9" t="n"/>
      <c r="N596" s="9" t="n"/>
      <c r="O596" s="10" t="n"/>
      <c r="P596" s="10" t="n"/>
      <c r="Q596" s="10" t="n"/>
      <c r="R596" s="10" t="n"/>
      <c r="S596" s="10" t="n"/>
    </row>
    <row r="597" ht="109" customHeight="1">
      <c r="A597" s="6">
        <f>IFERROR(__xludf.DUMMYFUNCTION("""COMPUTED_VALUE"""),"PH OF SOLUTIONS")</f>
        <v/>
      </c>
      <c r="B597" s="6">
        <f>IFERROR(__xludf.DUMMYFUNCTION("""COMPUTED_VALUE"""),"Space")</f>
        <v/>
      </c>
      <c r="C597" s="6">
        <f>IFERROR(__xludf.DUMMYFUNCTION("""COMPUTED_VALUE"""),"ELABORATE")</f>
        <v/>
      </c>
      <c r="D597" s="7">
        <f>IFERROR(__xludf.DUMMYFUNCTION("""COMPUTED_VALUE"""),"&lt;p&gt;when an acid reacts with a basic solution it forms a neutral solution.&lt;/p&gt;&lt;p&gt;An acid has a ph of 1-6 while a base as a ph of 8-14.&lt;/p&gt;")</f>
        <v/>
      </c>
      <c r="E597" s="7">
        <f>IFERROR(__xludf.DUMMYFUNCTION("""COMPUTED_VALUE"""),"No artifact embedded")</f>
        <v/>
      </c>
      <c r="F597" s="7" t="inlineStr">
        <is>
          <t>Students learn about pH levels, acids, and bases. Embedded artifacts include the Golabz app/lab in Item 1.</t>
        </is>
      </c>
      <c r="G597" s="8" t="n"/>
      <c r="H597" s="8" t="n"/>
      <c r="I597" s="8" t="n"/>
      <c r="J597" s="8" t="n"/>
      <c r="K597" s="9" t="n"/>
      <c r="L597" s="9" t="n"/>
      <c r="M597" s="9" t="n"/>
      <c r="N597" s="9" t="n"/>
      <c r="O597" s="10" t="n"/>
      <c r="P597" s="10" t="n"/>
      <c r="Q597" s="10" t="n"/>
      <c r="R597" s="10" t="n"/>
      <c r="S597" s="10" t="n"/>
    </row>
    <row r="598" ht="409.6" customHeight="1">
      <c r="A598" s="6">
        <f>IFERROR(__xludf.DUMMYFUNCTION("""COMPUTED_VALUE"""),"PH OF SOLUTIONS")</f>
        <v/>
      </c>
      <c r="B598" s="6">
        <f>IFERROR(__xludf.DUMMYFUNCTION("""COMPUTED_VALUE"""),"Application")</f>
        <v/>
      </c>
      <c r="C598" s="6">
        <f>IFERROR(__xludf.DUMMYFUNCTION("""COMPUTED_VALUE"""),"Acid base solution")</f>
        <v/>
      </c>
      <c r="D598" s="7">
        <f>IFERROR(__xludf.DUMMYFUNCTION("""COMPUTED_VALUE"""),"No task description")</f>
        <v/>
      </c>
      <c r="E598" s="7">
        <f>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
      </c>
      <c r="F598" s="7" t="inlineStr">
        <is>
          <t>Students are given tasks on acids and bases with no descriptions for Items 1 and 3, while Item 2 provides a description. Item 3 has an embedded artifact, the Golabz app/lab, for exploring acid and base strengths.</t>
        </is>
      </c>
      <c r="G598" s="8" t="n"/>
      <c r="H598" s="8" t="n"/>
      <c r="I598" s="8" t="n"/>
      <c r="J598" s="8" t="n"/>
      <c r="K598" s="9" t="n"/>
      <c r="L598" s="9" t="n"/>
      <c r="M598" s="9" t="n"/>
      <c r="N598" s="9" t="n"/>
      <c r="O598" s="10" t="n"/>
      <c r="P598" s="10" t="n"/>
      <c r="Q598" s="10" t="n"/>
      <c r="R598" s="10" t="n"/>
      <c r="S598" s="10" t="n"/>
    </row>
    <row r="599" ht="169" customHeight="1">
      <c r="A599" s="6">
        <f>IFERROR(__xludf.DUMMYFUNCTION("""COMPUTED_VALUE"""),"PH OF SOLUTIONS")</f>
        <v/>
      </c>
      <c r="B599" s="6">
        <f>IFERROR(__xludf.DUMMYFUNCTION("""COMPUTED_VALUE"""),"Space")</f>
        <v/>
      </c>
      <c r="C599" s="6">
        <f>IFERROR(__xludf.DUMMYFUNCTION("""COMPUTED_VALUE"""),"EVALUATE")</f>
        <v/>
      </c>
      <c r="D599" s="7">
        <f>IFERROR(__xludf.DUMMYFUNCTION("""COMPUTED_VALUE"""),"No task description")</f>
        <v/>
      </c>
      <c r="E599" s="7">
        <f>IFERROR(__xludf.DUMMYFUNCTION("""COMPUTED_VALUE"""),"No artifact embedded")</f>
        <v/>
      </c>
      <c r="F599" s="7" t="inlineStr">
        <is>
          <t>Students are instructed to explore acid-base reactions and properties using the Golabz app/lab, with tasks including measuring pH, identifying molecules and ions, and comparing concentrations.</t>
        </is>
      </c>
      <c r="G599" s="8" t="n"/>
      <c r="H599" s="8" t="n"/>
      <c r="I599" s="8" t="n"/>
      <c r="J599" s="8" t="n"/>
      <c r="K599" s="9" t="n"/>
      <c r="L599" s="9" t="n"/>
      <c r="M599" s="9" t="n"/>
      <c r="N599" s="9" t="n"/>
      <c r="O599" s="10" t="n"/>
      <c r="P599" s="10" t="n"/>
      <c r="Q599" s="10" t="n"/>
      <c r="R599" s="10" t="n"/>
      <c r="S599" s="10" t="n"/>
    </row>
    <row r="600" ht="318" customHeight="1">
      <c r="A600" s="6">
        <f>IFERROR(__xludf.DUMMYFUNCTION("""COMPUTED_VALUE"""),"PH OF SOLUTIONS")</f>
        <v/>
      </c>
      <c r="B600" s="6">
        <f>IFERROR(__xludf.DUMMYFUNCTION("""COMPUTED_VALUE"""),"Application")</f>
        <v/>
      </c>
      <c r="C600" s="6">
        <f>IFERROR(__xludf.DUMMYFUNCTION("""COMPUTED_VALUE"""),"Input Box")</f>
        <v/>
      </c>
      <c r="D600" s="7">
        <f>IFERROR(__xludf.DUMMYFUNCTION("""COMPUTED_VALUE"""),"No task description")</f>
        <v/>
      </c>
      <c r="E6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0" s="7" t="inlineStr">
        <is>
          <t>Students use Golabz lab tools to explore acid and base strength, concentration, and pH, completing tasks like relating strength to dissociation and comparing concentrations.</t>
        </is>
      </c>
      <c r="G600" s="8" t="n"/>
      <c r="H600" s="8" t="n"/>
      <c r="I600" s="8" t="n"/>
      <c r="J600" s="8" t="n"/>
      <c r="K600" s="9" t="n"/>
      <c r="L600" s="9" t="n"/>
      <c r="M600" s="9" t="n"/>
      <c r="N600" s="9" t="n"/>
      <c r="O600" s="10" t="n"/>
      <c r="P600" s="10" t="n"/>
      <c r="Q600" s="10" t="n"/>
      <c r="R600" s="10" t="n"/>
      <c r="S600" s="10" t="n"/>
    </row>
    <row r="601" ht="157" customHeight="1">
      <c r="A601" s="6">
        <f>IFERROR(__xludf.DUMMYFUNCTION("""COMPUTED_VALUE"""),"PH OF SOLUTIONS")</f>
        <v/>
      </c>
      <c r="B601" s="6">
        <f>IFERROR(__xludf.DUMMYFUNCTION("""COMPUTED_VALUE"""),"Application")</f>
        <v/>
      </c>
      <c r="C601" s="6">
        <f>IFERROR(__xludf.DUMMYFUNCTION("""COMPUTED_VALUE"""),"File Drop")</f>
        <v/>
      </c>
      <c r="D601" s="7">
        <f>IFERROR(__xludf.DUMMYFUNCTION("""COMPUTED_VALUE"""),"No task description")</f>
        <v/>
      </c>
      <c r="E601" s="7">
        <f>IFERROR(__xludf.DUMMYFUNCTION("""COMPUTED_VALUE"""),"Golabz app/lab: ""&lt;p&gt;This app allows students to upload files, e.g., assignment and reports, to the Inquiry learning Space. The app also allows teachers to download the uploaded files.&lt;/p&gt;\r\n""")</f>
        <v/>
      </c>
      <c r="F601" s="7" t="inlineStr">
        <is>
          <t>No task descriptions are provided, but Items 2 and 3 have embedded artifacts: a note-taking app and a file uploader, respectively.</t>
        </is>
      </c>
      <c r="G601" s="8" t="n"/>
      <c r="H601" s="8" t="n"/>
      <c r="I601" s="8" t="n"/>
      <c r="J601" s="8" t="n"/>
      <c r="K601" s="9" t="n"/>
      <c r="L601" s="9" t="n"/>
      <c r="M601" s="9" t="n"/>
      <c r="N601" s="9" t="n"/>
      <c r="O601" s="10" t="n"/>
      <c r="P601" s="10" t="n"/>
      <c r="Q601" s="10" t="n"/>
      <c r="R601" s="10" t="n"/>
      <c r="S601" s="10" t="n"/>
    </row>
    <row r="602" ht="318" customHeight="1">
      <c r="A602" s="6">
        <f>IFERROR(__xludf.DUMMYFUNCTION("""COMPUTED_VALUE"""),"PH OF SOLUTIONS")</f>
        <v/>
      </c>
      <c r="B602" s="6">
        <f>IFERROR(__xludf.DUMMYFUNCTION("""COMPUTED_VALUE"""),"Application")</f>
        <v/>
      </c>
      <c r="C602" s="6">
        <f>IFERROR(__xludf.DUMMYFUNCTION("""COMPUTED_VALUE"""),"Input Box (1)")</f>
        <v/>
      </c>
      <c r="D602" s="7">
        <f>IFERROR(__xludf.DUMMYFUNCTION("""COMPUTED_VALUE"""),"No task description")</f>
        <v/>
      </c>
      <c r="E6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2" s="7" t="inlineStr">
        <is>
          <t>Students use Golabz apps for note-taking and file uploads, with options for teacher oversight and collaboration mode.</t>
        </is>
      </c>
      <c r="G602" s="8" t="n"/>
      <c r="H602" s="8" t="n"/>
      <c r="I602" s="8" t="n"/>
      <c r="J602" s="8" t="n"/>
      <c r="K602" s="9" t="n"/>
      <c r="L602" s="9" t="n"/>
      <c r="M602" s="9" t="n"/>
      <c r="N602" s="9" t="n"/>
      <c r="O602" s="10" t="n"/>
      <c r="P602" s="10" t="n"/>
      <c r="Q602" s="10" t="n"/>
      <c r="R602" s="10" t="n"/>
      <c r="S602" s="10" t="n"/>
    </row>
    <row r="603" ht="318" customHeight="1">
      <c r="A603" s="6">
        <f>IFERROR(__xludf.DUMMYFUNCTION("""COMPUTED_VALUE"""),"PH OF SOLUTIONS")</f>
        <v/>
      </c>
      <c r="B603" s="6">
        <f>IFERROR(__xludf.DUMMYFUNCTION("""COMPUTED_VALUE"""),"Application")</f>
        <v/>
      </c>
      <c r="C603" s="6">
        <f>IFERROR(__xludf.DUMMYFUNCTION("""COMPUTED_VALUE"""),"Input Box (2)")</f>
        <v/>
      </c>
      <c r="D603" s="7">
        <f>IFERROR(__xludf.DUMMYFUNCTION("""COMPUTED_VALUE"""),"No task description")</f>
        <v/>
      </c>
      <c r="E6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3" s="7" t="inlineStr">
        <is>
          <t>No task descriptions provided; embedded artifacts include Golabz apps for file upload and note-taking with optional collaboration mode.</t>
        </is>
      </c>
      <c r="G603" s="8" t="n"/>
      <c r="H603" s="8" t="n"/>
      <c r="I603" s="8" t="n"/>
      <c r="J603" s="8" t="n"/>
      <c r="K603" s="9" t="n"/>
      <c r="L603" s="9" t="n"/>
      <c r="M603" s="9" t="n"/>
      <c r="N603" s="9" t="n"/>
      <c r="O603" s="10" t="n"/>
      <c r="P603" s="10" t="n"/>
      <c r="Q603" s="10" t="n"/>
      <c r="R603" s="10" t="n"/>
      <c r="S603" s="10" t="n"/>
    </row>
    <row r="604" ht="157" customHeight="1">
      <c r="A604" s="6">
        <f>IFERROR(__xludf.DUMMYFUNCTION("""COMPUTED_VALUE"""),"Digital Divide")</f>
        <v/>
      </c>
      <c r="B604" s="6">
        <f>IFERROR(__xludf.DUMMYFUNCTION("""COMPUTED_VALUE"""),"Space")</f>
        <v/>
      </c>
      <c r="C604" s="6">
        <f>IFERROR(__xludf.DUMMYFUNCTION("""COMPUTED_VALUE"""),"Orientation")</f>
        <v/>
      </c>
      <c r="D604" s="7">
        <f>IFERROR(__xludf.DUMMYFUNCTION("""COMPUTED_VALUE"""),"&lt;p&gt;Hello students, we are going to learn about Digital Divide, i hope you find this lesson interesting and informative.&lt;/p&gt;")</f>
        <v/>
      </c>
      <c r="E604" s="7">
        <f>IFERROR(__xludf.DUMMYFUNCTION("""COMPUTED_VALUE"""),"No artifact embedded")</f>
        <v/>
      </c>
      <c r="F604" s="7" t="inlineStr">
        <is>
          <t>Students were given no task descriptions for Items 1-2. Item 3 introduces a lesson on Digital Divide. Golabz app/lab is an embedded artifact in Items 1-2, allowing note-taking and collaboration.</t>
        </is>
      </c>
      <c r="G604" s="8" t="n"/>
      <c r="H604" s="8" t="n"/>
      <c r="I604" s="8" t="n"/>
      <c r="J604" s="8" t="n"/>
      <c r="K604" s="9" t="n"/>
      <c r="L604" s="9" t="n"/>
      <c r="M604" s="9" t="n"/>
      <c r="N604" s="9" t="n"/>
      <c r="O604" s="10" t="n"/>
      <c r="P604" s="10" t="n"/>
      <c r="Q604" s="10" t="n"/>
      <c r="R604" s="10" t="n"/>
      <c r="S604" s="10" t="n"/>
    </row>
    <row r="605" ht="133" customHeight="1">
      <c r="A605" s="6">
        <f>IFERROR(__xludf.DUMMYFUNCTION("""COMPUTED_VALUE"""),"Digital Divide")</f>
        <v/>
      </c>
      <c r="B605" s="6">
        <f>IFERROR(__xludf.DUMMYFUNCTION("""COMPUTED_VALUE"""),"Space")</f>
        <v/>
      </c>
      <c r="C605" s="6">
        <f>IFERROR(__xludf.DUMMYFUNCTION("""COMPUTED_VALUE"""),"Conceptualisation")</f>
        <v/>
      </c>
      <c r="D605" s="7">
        <f>IFERROR(__xludf.DUMMYFUNCTION("""COMPUTED_VALUE"""),"No task description")</f>
        <v/>
      </c>
      <c r="E605" s="7">
        <f>IFERROR(__xludf.DUMMYFUNCTION("""COMPUTED_VALUE"""),"No artifact embedded")</f>
        <v/>
      </c>
      <c r="F605" s="7" t="inlineStr">
        <is>
          <t>Students were given varying instructions. Items 1 and 2 had specific descriptions, while Item 3 did not. Item 1 included a Golabz app for note-taking.</t>
        </is>
      </c>
      <c r="G605" s="8" t="n"/>
      <c r="H605" s="8" t="n"/>
      <c r="I605" s="8" t="n"/>
      <c r="J605" s="8" t="n"/>
      <c r="K605" s="9" t="n"/>
      <c r="L605" s="9" t="n"/>
      <c r="M605" s="9" t="n"/>
      <c r="N605" s="9" t="n"/>
      <c r="O605" s="10" t="n"/>
      <c r="P605" s="10" t="n"/>
      <c r="Q605" s="10" t="n"/>
      <c r="R605" s="10" t="n"/>
      <c r="S605" s="10" t="n"/>
    </row>
    <row r="606" ht="181" customHeight="1">
      <c r="A606" s="6">
        <f>IFERROR(__xludf.DUMMYFUNCTION("""COMPUTED_VALUE"""),"Digital Divide")</f>
        <v/>
      </c>
      <c r="B606" s="6">
        <f>IFERROR(__xludf.DUMMYFUNCTION("""COMPUTED_VALUE"""),"Resource")</f>
        <v/>
      </c>
      <c r="C606" s="6">
        <f>IFERROR(__xludf.DUMMYFUNCTION("""COMPUTED_VALUE"""),"Learning Objectives.graasp")</f>
        <v/>
      </c>
      <c r="D606" s="7">
        <f>IFERROR(__xludf.DUMMYFUNCTION("""COMPUTED_VALUE"""),"&lt;p&gt;At the end of this lesson, students should be able to:&lt;/p&gt;&lt;p&gt;1. explain what is meant by digital divide&lt;br&gt;2. state the features of old and new economy&lt;br&gt;3. explain how digital divide has affect peoples lives&lt;/p&gt;")</f>
        <v/>
      </c>
      <c r="E606" s="7">
        <f>IFERROR(__xludf.DUMMYFUNCTION("""COMPUTED_VALUE"""),"No artifact embedded")</f>
        <v/>
      </c>
      <c r="F606" s="7" t="inlineStr">
        <is>
          <t>Students learn about Digital Divide, explaining its meaning, features, and impact on people's lives. No artifacts are embedded in the items.</t>
        </is>
      </c>
      <c r="G606" s="8" t="n"/>
      <c r="H606" s="8" t="n"/>
      <c r="I606" s="8" t="n"/>
      <c r="J606" s="8" t="n"/>
      <c r="K606" s="9" t="n"/>
      <c r="L606" s="9" t="n"/>
      <c r="M606" s="9" t="n"/>
      <c r="N606" s="9" t="n"/>
      <c r="O606" s="10" t="n"/>
      <c r="P606" s="10" t="n"/>
      <c r="Q606" s="10" t="n"/>
      <c r="R606" s="10" t="n"/>
      <c r="S606" s="10" t="n"/>
    </row>
    <row r="607" ht="97" customHeight="1">
      <c r="A607" s="6">
        <f>IFERROR(__xludf.DUMMYFUNCTION("""COMPUTED_VALUE"""),"Digital Divide")</f>
        <v/>
      </c>
      <c r="B607" s="6">
        <f>IFERROR(__xludf.DUMMYFUNCTION("""COMPUTED_VALUE"""),"Space")</f>
        <v/>
      </c>
      <c r="C607" s="6">
        <f>IFERROR(__xludf.DUMMYFUNCTION("""COMPUTED_VALUE"""),"Investigation")</f>
        <v/>
      </c>
      <c r="D607" s="7">
        <f>IFERROR(__xludf.DUMMYFUNCTION("""COMPUTED_VALUE"""),"&lt;p&gt;See the below video for a better for a better understanding!&lt;/p&gt;")</f>
        <v/>
      </c>
      <c r="E607" s="7">
        <f>IFERROR(__xludf.DUMMYFUNCTION("""COMPUTED_VALUE"""),"No artifact embedded")</f>
        <v/>
      </c>
      <c r="F607" s="7" t="inlineStr">
        <is>
          <t>Students are instructed to learn about digital divide and its effects. No artifacts are embedded in any items.</t>
        </is>
      </c>
      <c r="G607" s="8" t="n"/>
      <c r="H607" s="8" t="n"/>
      <c r="I607" s="8" t="n"/>
      <c r="J607" s="8" t="n"/>
      <c r="K607" s="9" t="n"/>
      <c r="L607" s="9" t="n"/>
      <c r="M607" s="9" t="n"/>
      <c r="N607" s="9" t="n"/>
      <c r="O607" s="10" t="n"/>
      <c r="P607" s="10" t="n"/>
      <c r="Q607" s="10" t="n"/>
      <c r="R607" s="10" t="n"/>
      <c r="S607" s="10" t="n"/>
    </row>
    <row r="608" ht="409.6" customHeight="1">
      <c r="A608" s="6">
        <f>IFERROR(__xludf.DUMMYFUNCTION("""COMPUTED_VALUE"""),"Digital Divide")</f>
        <v/>
      </c>
      <c r="B608" s="6">
        <f>IFERROR(__xludf.DUMMYFUNCTION("""COMPUTED_VALUE"""),"Resource")</f>
        <v/>
      </c>
      <c r="C608" s="6">
        <f>IFERROR(__xludf.DUMMYFUNCTION("""COMPUTED_VALUE"""),"What do you understand by the term""Digital Divide?"".graasp")</f>
        <v/>
      </c>
      <c r="D608" s="7">
        <f>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
      </c>
      <c r="E608" s="7">
        <f>IFERROR(__xludf.DUMMYFUNCTION("""COMPUTED_VALUE"""),"No artifact embedded")</f>
        <v/>
      </c>
      <c r="F608" s="7" t="inlineStr">
        <is>
          <t>Students learn about digital divide, its features, and effects. No artifacts are embedded in the items.</t>
        </is>
      </c>
      <c r="G608" s="8" t="n"/>
      <c r="H608" s="8" t="n"/>
      <c r="I608" s="8" t="n"/>
      <c r="J608" s="8" t="n"/>
      <c r="K608" s="9" t="n"/>
      <c r="L608" s="9" t="n"/>
      <c r="M608" s="9" t="n"/>
      <c r="N608" s="9" t="n"/>
      <c r="O608" s="10" t="n"/>
      <c r="P608" s="10" t="n"/>
      <c r="Q608" s="10" t="n"/>
      <c r="R608" s="10" t="n"/>
      <c r="S608" s="10" t="n"/>
    </row>
    <row r="609" ht="121" customHeight="1">
      <c r="A609" s="6">
        <f>IFERROR(__xludf.DUMMYFUNCTION("""COMPUTED_VALUE"""),"Digital Divide")</f>
        <v/>
      </c>
      <c r="B609" s="6">
        <f>IFERROR(__xludf.DUMMYFUNCTION("""COMPUTED_VALUE"""),"Resource")</f>
        <v/>
      </c>
      <c r="C609" s="6">
        <f>IFERROR(__xludf.DUMMYFUNCTION("""COMPUTED_VALUE"""),"What is digital divide? - Definition from WhatIs.com")</f>
        <v/>
      </c>
      <c r="D609" s="7">
        <f>IFERROR(__xludf.DUMMYFUNCTION("""COMPUTED_VALUE"""),"Digital divide is a term that refers to the gap between demographics and regions that have access to modern information and communications technology an...")</f>
        <v/>
      </c>
      <c r="E609" s="7">
        <f>IFERROR(__xludf.DUMMYFUNCTION("""COMPUTED_VALUE"""),"techtarget.com: Offers definitions and articles on technology-related topics, such as the digital divide.")</f>
        <v/>
      </c>
      <c r="F609" s="7" t="inlineStr">
        <is>
          <t>Students are instructed to understand the concept of "digital divide". No artifacts are embedded in Items 1 and 2, but Item 3 links to techtarget.com.</t>
        </is>
      </c>
      <c r="G609" s="8" t="n"/>
      <c r="H609" s="8" t="n"/>
      <c r="I609" s="8" t="n"/>
      <c r="J609" s="8" t="n"/>
      <c r="K609" s="9" t="n"/>
      <c r="L609" s="9" t="n"/>
      <c r="M609" s="9" t="n"/>
      <c r="N609" s="9" t="n"/>
      <c r="O609" s="10" t="n"/>
      <c r="P609" s="10" t="n"/>
      <c r="Q609" s="10" t="n"/>
      <c r="R609" s="10" t="n"/>
      <c r="S609" s="10" t="n"/>
    </row>
    <row r="610" ht="145" customHeight="1">
      <c r="A610" s="6">
        <f>IFERROR(__xludf.DUMMYFUNCTION("""COMPUTED_VALUE"""),"Digital Divide")</f>
        <v/>
      </c>
      <c r="B610" s="6">
        <f>IFERROR(__xludf.DUMMYFUNCTION("""COMPUTED_VALUE"""),"Resource")</f>
        <v/>
      </c>
      <c r="C610" s="6">
        <f>IFERROR(__xludf.DUMMYFUNCTION("""COMPUTED_VALUE"""),"What is the Digital Divide? - Definition from Techopedia")</f>
        <v/>
      </c>
      <c r="D610" s="7">
        <f>IFERROR(__xludf.DUMMYFUNCTION("""COMPUTED_VALUE"""),"Digital Divide Definition - The digital divide refers to the difference between people who have easy access to the Internet and those who do not. A...")</f>
        <v/>
      </c>
      <c r="E610" s="7">
        <f>IFERROR(__xludf.DUMMYFUNCTION("""COMPUTED_VALUE"""),"techopedia.com: Offers definitions and explanations of technology-related terms, such as the digital divide.")</f>
        <v/>
      </c>
      <c r="F610" s="7" t="inlineStr">
        <is>
          <t>Students were instructed about the digital divide concept. Embedded artifacts include links to techtarget.com and techopedia.com for further learning.</t>
        </is>
      </c>
      <c r="G610" s="8" t="n"/>
      <c r="H610" s="8" t="n"/>
      <c r="I610" s="8" t="n"/>
      <c r="J610" s="8" t="n"/>
      <c r="K610" s="9" t="n"/>
      <c r="L610" s="9" t="n"/>
      <c r="M610" s="9" t="n"/>
      <c r="N610" s="9" t="n"/>
      <c r="O610" s="10" t="n"/>
      <c r="P610" s="10" t="n"/>
      <c r="Q610" s="10" t="n"/>
      <c r="R610" s="10" t="n"/>
      <c r="S610" s="10" t="n"/>
    </row>
    <row r="611" ht="409.6" customHeight="1">
      <c r="A611" s="6">
        <f>IFERROR(__xludf.DUMMYFUNCTION("""COMPUTED_VALUE"""),"Digital Divide")</f>
        <v/>
      </c>
      <c r="B611" s="6">
        <f>IFERROR(__xludf.DUMMYFUNCTION("""COMPUTED_VALUE"""),"Resource")</f>
        <v/>
      </c>
      <c r="C611" s="6">
        <f>IFERROR(__xludf.DUMMYFUNCTION("""COMPUTED_VALUE"""),"Digital Divide")</f>
        <v/>
      </c>
      <c r="D611" s="7">
        <f>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
      </c>
      <c r="E611" s="7">
        <f>IFERROR(__xludf.DUMMYFUNCTION("""COMPUTED_VALUE"""),"youtube.com: A widely known video-sharing platform where users can watch videos on a vast array of topics, including educational content.")</f>
        <v/>
      </c>
      <c r="F611" s="7" t="inlineStr">
        <is>
          <t>Students are tasked with understanding the digital divide. Embedded artifacts include websites (techtarget, techopedia) and a video platform (youtube).</t>
        </is>
      </c>
      <c r="G611" s="8" t="n"/>
      <c r="H611" s="8" t="n"/>
      <c r="I611" s="8" t="n"/>
      <c r="J611" s="8" t="n"/>
      <c r="K611" s="9" t="n"/>
      <c r="L611" s="9" t="n"/>
      <c r="M611" s="9" t="n"/>
      <c r="N611" s="9" t="n"/>
      <c r="O611" s="10" t="n"/>
      <c r="P611" s="10" t="n"/>
      <c r="Q611" s="10" t="n"/>
      <c r="R611" s="10" t="n"/>
      <c r="S611" s="10" t="n"/>
    </row>
    <row r="612" ht="121" customHeight="1">
      <c r="A612" s="6">
        <f>IFERROR(__xludf.DUMMYFUNCTION("""COMPUTED_VALUE"""),"Digital Divide")</f>
        <v/>
      </c>
      <c r="B612" s="6">
        <f>IFERROR(__xludf.DUMMYFUNCTION("""COMPUTED_VALUE"""),"Resource")</f>
        <v/>
      </c>
      <c r="C612" s="6">
        <f>IFERROR(__xludf.DUMMYFUNCTION("""COMPUTED_VALUE"""),"Digital Divide (2).mp4")</f>
        <v/>
      </c>
      <c r="D612" s="7">
        <f>IFERROR(__xludf.DUMMYFUNCTION("""COMPUTED_VALUE"""),"No task description")</f>
        <v/>
      </c>
      <c r="E612" s="7">
        <f>IFERROR(__xludf.DUMMYFUNCTION("""COMPUTED_VALUE"""),"video/mp4 – A video file containing moving images and possibly audio, suitable for playback on most modern devices and platforms.")</f>
        <v/>
      </c>
      <c r="F612" s="7" t="inlineStr">
        <is>
          <t>Students were tasked with understanding the digital divide. Embedded artifacts include techopedia.com, youtube.com, and a video file (mp4).</t>
        </is>
      </c>
      <c r="G612" s="8" t="n"/>
      <c r="H612" s="8" t="n"/>
      <c r="I612" s="8" t="n"/>
      <c r="J612" s="8" t="n"/>
      <c r="K612" s="9" t="n"/>
      <c r="L612" s="9" t="n"/>
      <c r="M612" s="9" t="n"/>
      <c r="N612" s="9" t="n"/>
      <c r="O612" s="10" t="n"/>
      <c r="P612" s="10" t="n"/>
      <c r="Q612" s="10" t="n"/>
      <c r="R612" s="10" t="n"/>
      <c r="S612" s="10" t="n"/>
    </row>
    <row r="613" ht="169" customHeight="1">
      <c r="A613" s="6">
        <f>IFERROR(__xludf.DUMMYFUNCTION("""COMPUTED_VALUE"""),"Digital Divide")</f>
        <v/>
      </c>
      <c r="B613" s="6">
        <f>IFERROR(__xludf.DUMMYFUNCTION("""COMPUTED_VALUE"""),"Resource")</f>
        <v/>
      </c>
      <c r="C613" s="6">
        <f>IFERROR(__xludf.DUMMYFUNCTION("""COMPUTED_VALUE"""),"digital 1.jpg")</f>
        <v/>
      </c>
      <c r="D613" s="7">
        <f>IFERROR(__xludf.DUMMYFUNCTION("""COMPUTED_VALUE"""),"[17' V mm")</f>
        <v/>
      </c>
      <c r="E613" s="7">
        <f>IFERROR(__xludf.DUMMYFUNCTION("""COMPUTED_VALUE"""),"image/jpeg – A digital photograph or web image stored in a compressed format, often used for photography and web graphics.")</f>
        <v/>
      </c>
      <c r="F613" s="7" t="inlineStr">
        <is>
          <t>Instructions: Address the digital divide by proposing innovative methods to expand internet access. Embedded artifacts: YouTube link, video/mp4 file, and image/jpeg file.</t>
        </is>
      </c>
      <c r="G613" s="8" t="n"/>
      <c r="H613" s="8" t="n"/>
      <c r="I613" s="8" t="n"/>
      <c r="J613" s="8" t="n"/>
      <c r="K613" s="9" t="n"/>
      <c r="L613" s="9" t="n"/>
      <c r="M613" s="9" t="n"/>
      <c r="N613" s="9" t="n"/>
      <c r="O613" s="10" t="n"/>
      <c r="P613" s="10" t="n"/>
      <c r="Q613" s="10" t="n"/>
      <c r="R613" s="10" t="n"/>
      <c r="S613" s="10" t="n"/>
    </row>
    <row r="614" ht="97" customHeight="1">
      <c r="A614" s="6">
        <f>IFERROR(__xludf.DUMMYFUNCTION("""COMPUTED_VALUE"""),"Digital Divide")</f>
        <v/>
      </c>
      <c r="B614" s="6">
        <f>IFERROR(__xludf.DUMMYFUNCTION("""COMPUTED_VALUE"""),"Resource")</f>
        <v/>
      </c>
      <c r="C614" s="6">
        <f>IFERROR(__xludf.DUMMYFUNCTION("""COMPUTED_VALUE"""),"digital3.png")</f>
        <v/>
      </c>
      <c r="D614" s="7">
        <f>IFERROR(__xludf.DUMMYFUNCTION("""COMPUTED_VALUE"""),"M mm m m m4 w uu/emmmtv ""hm III NCES")</f>
        <v/>
      </c>
      <c r="E614" s="7">
        <f>IFERROR(__xludf.DUMMYFUNCTION("""COMPUTED_VALUE"""),"image/png – A high-quality image with support for transparency, often used in design and web applications.")</f>
        <v/>
      </c>
      <c r="F614" s="7" t="inlineStr">
        <is>
          <t>Students received no task descriptions, but were provided with embedded artifacts: video, jpeg image, and png image.</t>
        </is>
      </c>
      <c r="G614" s="8" t="n"/>
      <c r="H614" s="8" t="n"/>
      <c r="I614" s="8" t="n"/>
      <c r="J614" s="8" t="n"/>
      <c r="K614" s="9" t="n"/>
      <c r="L614" s="9" t="n"/>
      <c r="M614" s="9" t="n"/>
      <c r="N614" s="9" t="n"/>
      <c r="O614" s="10" t="n"/>
      <c r="P614" s="10" t="n"/>
      <c r="Q614" s="10" t="n"/>
      <c r="R614" s="10" t="n"/>
      <c r="S614" s="10" t="n"/>
    </row>
    <row r="615" ht="109" customHeight="1">
      <c r="A615" s="6">
        <f>IFERROR(__xludf.DUMMYFUNCTION("""COMPUTED_VALUE"""),"Digital Divide")</f>
        <v/>
      </c>
      <c r="B615" s="6">
        <f>IFERROR(__xludf.DUMMYFUNCTION("""COMPUTED_VALUE"""),"Resource")</f>
        <v/>
      </c>
      <c r="C615" s="6">
        <f>IFERROR(__xludf.DUMMYFUNCTION("""COMPUTED_VALUE"""),"digital2.jpg")</f>
        <v/>
      </c>
      <c r="D615" s="7">
        <f>IFERROR(__xludf.DUMMYFUNCTION("""COMPUTED_VALUE"""),"No task description")</f>
        <v/>
      </c>
      <c r="E615" s="7">
        <f>IFERROR(__xludf.DUMMYFUNCTION("""COMPUTED_VALUE"""),"image/jpeg – A digital photograph or web image stored in a compressed format, often used for photography and web graphics.")</f>
        <v/>
      </c>
      <c r="F615" s="7" t="inlineStr">
        <is>
          <t>Students received task descriptions with embedded images in JPEG and PNG formats, but one task lacked a description.</t>
        </is>
      </c>
      <c r="G615" s="8" t="n"/>
      <c r="H615" s="8" t="n"/>
      <c r="I615" s="8" t="n"/>
      <c r="J615" s="8" t="n"/>
      <c r="K615" s="9" t="n"/>
      <c r="L615" s="9" t="n"/>
      <c r="M615" s="9" t="n"/>
      <c r="N615" s="9" t="n"/>
      <c r="O615" s="10" t="n"/>
      <c r="P615" s="10" t="n"/>
      <c r="Q615" s="10" t="n"/>
      <c r="R615" s="10" t="n"/>
      <c r="S615" s="10" t="n"/>
    </row>
    <row r="616" ht="157" customHeight="1">
      <c r="A616" s="6">
        <f>IFERROR(__xludf.DUMMYFUNCTION("""COMPUTED_VALUE"""),"Digital Divide")</f>
        <v/>
      </c>
      <c r="B616" s="6">
        <f>IFERROR(__xludf.DUMMYFUNCTION("""COMPUTED_VALUE"""),"Space")</f>
        <v/>
      </c>
      <c r="C616" s="6">
        <f>IFERROR(__xludf.DUMMYFUNCTION("""COMPUTED_VALUE"""),"Conclusion")</f>
        <v/>
      </c>
      <c r="D616" s="7">
        <f>IFERROR(__xludf.DUMMYFUNCTION("""COMPUTED_VALUE"""),"&lt;p&gt;Do you think, you are that child who have access to Information Communication and Technology? if yes then suggest ways you could possibly help those who dont have access to such opportunity.&lt;/p&gt;")</f>
        <v/>
      </c>
      <c r="E616" s="7">
        <f>IFERROR(__xludf.DUMMYFUNCTION("""COMPUTED_VALUE"""),"No artifact embedded")</f>
        <v/>
      </c>
      <c r="F616" s="7" t="inlineStr">
        <is>
          <t>Students received task descriptions with varying levels of detail and image artifacts in PNG and JPEG formats.</t>
        </is>
      </c>
      <c r="G616" s="8" t="n"/>
      <c r="H616" s="8" t="n"/>
      <c r="I616" s="8" t="n"/>
      <c r="J616" s="8" t="n"/>
      <c r="K616" s="9" t="n"/>
      <c r="L616" s="9" t="n"/>
      <c r="M616" s="9" t="n"/>
      <c r="N616" s="9" t="n"/>
      <c r="O616" s="10" t="n"/>
      <c r="P616" s="10" t="n"/>
      <c r="Q616" s="10" t="n"/>
      <c r="R616" s="10" t="n"/>
      <c r="S616" s="10" t="n"/>
    </row>
    <row r="617" ht="181" customHeight="1">
      <c r="A617" s="6">
        <f>IFERROR(__xludf.DUMMYFUNCTION("""COMPUTED_VALUE"""),"Digital Divide")</f>
        <v/>
      </c>
      <c r="B617" s="6">
        <f>IFERROR(__xludf.DUMMYFUNCTION("""COMPUTED_VALUE"""),"Space")</f>
        <v/>
      </c>
      <c r="C617" s="6">
        <f>IFERROR(__xludf.DUMMYFUNCTION("""COMPUTED_VALUE"""),"Discussion")</f>
        <v/>
      </c>
      <c r="D617" s="7">
        <f>IFERROR(__xludf.DUMMYFUNCTION("""COMPUTED_VALUE"""),"&lt;p&gt;1. Write an Essay, on ""The Digital Divide In a Globalized World Suggesting Ways to Bridge the Gap""&lt;/p&gt;&lt;p&gt;2. How has the economy brought about the efficient use of time&lt;/p&gt;&lt;p&gt;3. Write a short description on the old economy&lt;/p&gt;")</f>
        <v/>
      </c>
      <c r="E617" s="7">
        <f>IFERROR(__xludf.DUMMYFUNCTION("""COMPUTED_VALUE"""),"No artifact embedded")</f>
        <v/>
      </c>
      <c r="F617" s="7" t="inlineStr">
        <is>
          <t>Students were given tasks and descriptions, with some items including embedded artifacts like images, while others had no artifacts or descriptions.</t>
        </is>
      </c>
      <c r="G617" s="8" t="n"/>
      <c r="H617" s="8" t="n"/>
      <c r="I617" s="8" t="n"/>
      <c r="J617" s="8" t="n"/>
      <c r="K617" s="9" t="n"/>
      <c r="L617" s="9" t="n"/>
      <c r="M617" s="9" t="n"/>
      <c r="N617" s="9" t="n"/>
      <c r="O617" s="10" t="n"/>
      <c r="P617" s="10" t="n"/>
      <c r="Q617" s="10" t="n"/>
      <c r="R617" s="10" t="n"/>
      <c r="S617" s="10" t="n"/>
    </row>
    <row r="618" ht="109" customHeight="1">
      <c r="A618" s="6">
        <f>IFERROR(__xludf.DUMMYFUNCTION("""COMPUTED_VALUE"""),"Is it Good to be Beautiful?")</f>
        <v/>
      </c>
      <c r="B618" s="6">
        <f>IFERROR(__xludf.DUMMYFUNCTION("""COMPUTED_VALUE"""),"Space")</f>
        <v/>
      </c>
      <c r="C618" s="6">
        <f>IFERROR(__xludf.DUMMYFUNCTION("""COMPUTED_VALUE"""),"Orientation")</f>
        <v/>
      </c>
      <c r="D618" s="7">
        <f>IFERROR(__xludf.DUMMYFUNCTION("""COMPUTED_VALUE"""),"No task description")</f>
        <v/>
      </c>
      <c r="E618" s="7">
        <f>IFERROR(__xludf.DUMMYFUNCTION("""COMPUTED_VALUE"""),"No artifact embedded")</f>
        <v/>
      </c>
      <c r="F618" s="7" t="inlineStr">
        <is>
          <t>Students were instructed to write essays and suggest ways to bridge the digital divide, with no artifacts embedded in any items.</t>
        </is>
      </c>
      <c r="G618" s="8" t="n"/>
      <c r="H618" s="8" t="n"/>
      <c r="I618" s="8" t="n"/>
      <c r="J618" s="8" t="n"/>
      <c r="K618" s="9" t="n"/>
      <c r="L618" s="9" t="n"/>
      <c r="M618" s="9" t="n"/>
      <c r="N618" s="9" t="n"/>
      <c r="O618" s="10" t="n"/>
      <c r="P618" s="10" t="n"/>
      <c r="Q618" s="10" t="n"/>
      <c r="R618" s="10" t="n"/>
      <c r="S618" s="10" t="n"/>
    </row>
    <row r="619" ht="409.6" customHeight="1">
      <c r="A619" s="6">
        <f>IFERROR(__xludf.DUMMYFUNCTION("""COMPUTED_VALUE"""),"Is it Good to be Beautiful?")</f>
        <v/>
      </c>
      <c r="B619" s="6">
        <f>IFERROR(__xludf.DUMMYFUNCTION("""COMPUTED_VALUE"""),"Resource")</f>
        <v/>
      </c>
      <c r="C619" s="6">
        <f>IFERROR(__xludf.DUMMYFUNCTION("""COMPUTED_VALUE"""),"Text 1.graasp")</f>
        <v/>
      </c>
      <c r="D619" s="7">
        <f>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
      </c>
      <c r="E619" s="7">
        <f>IFERROR(__xludf.DUMMYFUNCTION("""COMPUTED_VALUE"""),"No artifact embedded")</f>
        <v/>
      </c>
      <c r="F619" s="7" t="inlineStr">
        <is>
          <t>Students are given essay prompts and tasks, including writing about the digital divide and learning about natural and sexual selection processes in biology through online labs and inquiry phases.</t>
        </is>
      </c>
      <c r="G619" s="8" t="n"/>
      <c r="H619" s="8" t="n"/>
      <c r="I619" s="8" t="n"/>
      <c r="J619" s="8" t="n"/>
      <c r="K619" s="9" t="n"/>
      <c r="L619" s="9" t="n"/>
      <c r="M619" s="9" t="n"/>
      <c r="N619" s="9" t="n"/>
      <c r="O619" s="10" t="n"/>
      <c r="P619" s="10" t="n"/>
      <c r="Q619" s="10" t="n"/>
      <c r="R619" s="10" t="n"/>
      <c r="S619" s="10" t="n"/>
    </row>
    <row r="620" ht="217" customHeight="1">
      <c r="A620" s="6">
        <f>IFERROR(__xludf.DUMMYFUNCTION("""COMPUTED_VALUE"""),"Is it Good to be Beautiful?")</f>
        <v/>
      </c>
      <c r="B620" s="6">
        <f>IFERROR(__xludf.DUMMYFUNCTION("""COMPUTED_VALUE"""),"Resource")</f>
        <v/>
      </c>
      <c r="C620" s="6">
        <f>IFERROR(__xludf.DUMMYFUNCTION("""COMPUTED_VALUE"""),"Text 3.graasp")</f>
        <v/>
      </c>
      <c r="D620" s="7">
        <f>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
      </c>
      <c r="E620" s="7">
        <f>IFERROR(__xludf.DUMMYFUNCTION("""COMPUTED_VALUE"""),"No artifact embedded")</f>
        <v/>
      </c>
      <c r="F620" s="7" t="inlineStr">
        <is>
          <t>Students learn about natural and sexual selection through inquiry phases and experiments, acquiring scientific skills and answering the question if it's always good to look beautiful.</t>
        </is>
      </c>
      <c r="G620" s="8" t="n"/>
      <c r="H620" s="8" t="n"/>
      <c r="I620" s="8" t="n"/>
      <c r="J620" s="8" t="n"/>
      <c r="K620" s="9" t="n"/>
      <c r="L620" s="9" t="n"/>
      <c r="M620" s="9" t="n"/>
      <c r="N620" s="9" t="n"/>
      <c r="O620" s="10" t="n"/>
      <c r="P620" s="10" t="n"/>
      <c r="Q620" s="10" t="n"/>
      <c r="R620" s="10" t="n"/>
      <c r="S620" s="10" t="n"/>
    </row>
    <row r="621" ht="109" customHeight="1">
      <c r="A621" s="6">
        <f>IFERROR(__xludf.DUMMYFUNCTION("""COMPUTED_VALUE"""),"Is it Good to be Beautiful?")</f>
        <v/>
      </c>
      <c r="B621" s="6">
        <f>IFERROR(__xludf.DUMMYFUNCTION("""COMPUTED_VALUE"""),"Resource")</f>
        <v/>
      </c>
      <c r="C621" s="6">
        <f>IFERROR(__xludf.DUMMYFUNCTION("""COMPUTED_VALUE"""),"YouTube video")</f>
        <v/>
      </c>
      <c r="D621" s="7">
        <f>IFERROR(__xludf.DUMMYFUNCTION("""COMPUTED_VALUE"""),"No task description")</f>
        <v/>
      </c>
      <c r="E621" s="7">
        <f>IFERROR(__xludf.DUMMYFUNCTION("""COMPUTED_VALUE"""),"youtu.be: A shortened URL service for YouTube, leading to various videos on the platform.")</f>
        <v/>
      </c>
      <c r="F621" s="7" t="inlineStr">
        <is>
          <t>Students learn evolution through 5 inquiry phases. Embedded artifacts include a virtual lab and YouTube video on "Why Sexy is Sexy".</t>
        </is>
      </c>
      <c r="G621" s="8" t="n"/>
      <c r="H621" s="8" t="n"/>
      <c r="I621" s="8" t="n"/>
      <c r="J621" s="8" t="n"/>
      <c r="K621" s="9" t="n"/>
      <c r="L621" s="9" t="n"/>
      <c r="M621" s="9" t="n"/>
      <c r="N621" s="9" t="n"/>
      <c r="O621" s="10" t="n"/>
      <c r="P621" s="10" t="n"/>
      <c r="Q621" s="10" t="n"/>
      <c r="R621" s="10" t="n"/>
      <c r="S621" s="10" t="n"/>
    </row>
    <row r="622" ht="409.6" customHeight="1">
      <c r="A622" s="6">
        <f>IFERROR(__xludf.DUMMYFUNCTION("""COMPUTED_VALUE"""),"Is it Good to be Beautiful?")</f>
        <v/>
      </c>
      <c r="B622" s="6">
        <f>IFERROR(__xludf.DUMMYFUNCTION("""COMPUTED_VALUE"""),"Resource")</f>
        <v/>
      </c>
      <c r="C622" s="6">
        <f>IFERROR(__xludf.DUMMYFUNCTION("""COMPUTED_VALUE"""),"Text 4.graasp")</f>
        <v/>
      </c>
      <c r="D622" s="7">
        <f>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
      </c>
      <c r="E622" s="7">
        <f>IFERROR(__xludf.DUMMYFUNCTION("""COMPUTED_VALUE"""),"No artifact embedded")</f>
        <v/>
      </c>
      <c r="F622" s="7" t="inlineStr">
        <is>
          <t>Students watch a video, list spouse characteristics, and consider negative consequences using the Concept Mapper app. Embedded artifacts include a YouTube video link.</t>
        </is>
      </c>
      <c r="G622" s="8" t="n"/>
      <c r="H622" s="8" t="n"/>
      <c r="I622" s="8" t="n"/>
      <c r="J622" s="8" t="n"/>
      <c r="K622" s="9" t="n"/>
      <c r="L622" s="9" t="n"/>
      <c r="M622" s="9" t="n"/>
      <c r="N622" s="9" t="n"/>
      <c r="O622" s="10" t="n"/>
      <c r="P622" s="10" t="n"/>
      <c r="Q622" s="10" t="n"/>
      <c r="R622" s="10" t="n"/>
      <c r="S622" s="10" t="n"/>
    </row>
    <row r="623" ht="409.6" customHeight="1">
      <c r="A623" s="6">
        <f>IFERROR(__xludf.DUMMYFUNCTION("""COMPUTED_VALUE"""),"Is it Good to be Beautiful?")</f>
        <v/>
      </c>
      <c r="B623" s="6">
        <f>IFERROR(__xludf.DUMMYFUNCTION("""COMPUTED_VALUE"""),"Resource")</f>
        <v/>
      </c>
      <c r="C623" s="6">
        <f>IFERROR(__xludf.DUMMYFUNCTION("""COMPUTED_VALUE"""),"Text 5.graasp")</f>
        <v/>
      </c>
      <c r="D623" s="7">
        <f>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
      </c>
      <c r="E623" s="7">
        <f>IFERROR(__xludf.DUMMYFUNCTION("""COMPUTED_VALUE"""),"No artifact embedded")</f>
        <v/>
      </c>
      <c r="F623" s="7" t="inlineStr">
        <is>
          <t>Students received task descriptions and some had embedded artifacts, including a YouTube URL. Tasks involved concept mapping and reading about guppies.</t>
        </is>
      </c>
      <c r="G623" s="8" t="n"/>
      <c r="H623" s="8" t="n"/>
      <c r="I623" s="8" t="n"/>
      <c r="J623" s="8" t="n"/>
      <c r="K623" s="9" t="n"/>
      <c r="L623" s="9" t="n"/>
      <c r="M623" s="9" t="n"/>
      <c r="N623" s="9" t="n"/>
      <c r="O623" s="10" t="n"/>
      <c r="P623" s="10" t="n"/>
      <c r="Q623" s="10" t="n"/>
      <c r="R623" s="10" t="n"/>
      <c r="S623" s="10" t="n"/>
    </row>
    <row r="624" ht="109" customHeight="1">
      <c r="A624" s="6">
        <f>IFERROR(__xludf.DUMMYFUNCTION("""COMPUTED_VALUE"""),"Is it Good to be Beautiful?")</f>
        <v/>
      </c>
      <c r="B624" s="6">
        <f>IFERROR(__xludf.DUMMYFUNCTION("""COMPUTED_VALUE"""),"Space")</f>
        <v/>
      </c>
      <c r="C624" s="6">
        <f>IFERROR(__xludf.DUMMYFUNCTION("""COMPUTED_VALUE"""),"Conceptualization")</f>
        <v/>
      </c>
      <c r="D624" s="7">
        <f>IFERROR(__xludf.DUMMYFUNCTION("""COMPUTED_VALUE"""),"No task description")</f>
        <v/>
      </c>
      <c r="E624" s="7">
        <f>IFERROR(__xludf.DUMMYFUNCTION("""COMPUTED_VALUE"""),"No artifact embedded")</f>
        <v/>
      </c>
      <c r="F624" s="7" t="inlineStr">
        <is>
          <t>Students create concept maps and read about guppies to prepare for an inquiry investigation on natural and sexual selection.</t>
        </is>
      </c>
      <c r="G624" s="8" t="n"/>
      <c r="H624" s="8" t="n"/>
      <c r="I624" s="8" t="n"/>
      <c r="J624" s="8" t="n"/>
      <c r="K624" s="9" t="n"/>
      <c r="L624" s="9" t="n"/>
      <c r="M624" s="9" t="n"/>
      <c r="N624" s="9" t="n"/>
      <c r="O624" s="10" t="n"/>
      <c r="P624" s="10" t="n"/>
      <c r="Q624" s="10" t="n"/>
      <c r="R624" s="10" t="n"/>
      <c r="S624" s="10" t="n"/>
    </row>
    <row r="625" ht="409.6" customHeight="1">
      <c r="A625" s="6">
        <f>IFERROR(__xludf.DUMMYFUNCTION("""COMPUTED_VALUE"""),"Is it Good to be Beautiful?")</f>
        <v/>
      </c>
      <c r="B625" s="6">
        <f>IFERROR(__xludf.DUMMYFUNCTION("""COMPUTED_VALUE"""),"Resource")</f>
        <v/>
      </c>
      <c r="C625" s="6">
        <f>IFERROR(__xludf.DUMMYFUNCTION("""COMPUTED_VALUE"""),"Text 1.graasp")</f>
        <v/>
      </c>
      <c r="D625" s="7">
        <f>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
      </c>
      <c r="E625" s="7">
        <f>IFERROR(__xludf.DUMMYFUNCTION("""COMPUTED_VALUE"""),"No artifact embedded")</f>
        <v/>
      </c>
      <c r="F625" s="7" t="inlineStr">
        <is>
          <t>Students read about guppies and formulate research questions to investigate variation in male guppy spots using a virtual laboratory. No artifacts are embedded.</t>
        </is>
      </c>
      <c r="G625" s="8" t="n"/>
      <c r="H625" s="8" t="n"/>
      <c r="I625" s="8" t="n"/>
      <c r="J625" s="8" t="n"/>
      <c r="K625" s="9" t="n"/>
      <c r="L625" s="9" t="n"/>
      <c r="M625" s="9" t="n"/>
      <c r="N625" s="9" t="n"/>
      <c r="O625" s="10" t="n"/>
      <c r="P625" s="10" t="n"/>
      <c r="Q625" s="10" t="n"/>
      <c r="R625" s="10" t="n"/>
      <c r="S625" s="10" t="n"/>
    </row>
    <row r="626" ht="133" customHeight="1">
      <c r="A626" s="6">
        <f>IFERROR(__xludf.DUMMYFUNCTION("""COMPUTED_VALUE"""),"Is it Good to be Beautiful?")</f>
        <v/>
      </c>
      <c r="B626" s="6">
        <f>IFERROR(__xludf.DUMMYFUNCTION("""COMPUTED_VALUE"""),"Resource")</f>
        <v/>
      </c>
      <c r="C626" s="6">
        <f>IFERROR(__xludf.DUMMYFUNCTION("""COMPUTED_VALUE"""),"Figure1.jpg")</f>
        <v/>
      </c>
      <c r="D626" s="7">
        <f>IFERROR(__xludf.DUMMYFUNCTION("""COMPUTED_VALUE"""),"#spots per fish Time")</f>
        <v/>
      </c>
      <c r="E626" s="7">
        <f>IFERROR(__xludf.DUMMYFUNCTION("""COMPUTED_VALUE"""),"image/jpeg – A digital photograph or web image stored in a compressed format, often used for photography and web graphics.")</f>
        <v/>
      </c>
      <c r="F626" s="7" t="inlineStr">
        <is>
          <t>Students are tasked with formulating research questions on guppy variation. Embedded artifacts include no items, except an image/jpeg file in Item 3.</t>
        </is>
      </c>
      <c r="G626" s="8" t="n"/>
      <c r="H626" s="8" t="n"/>
      <c r="I626" s="8" t="n"/>
      <c r="J626" s="8" t="n"/>
      <c r="K626" s="9" t="n"/>
      <c r="L626" s="9" t="n"/>
      <c r="M626" s="9" t="n"/>
      <c r="N626" s="9" t="n"/>
      <c r="O626" s="10" t="n"/>
      <c r="P626" s="10" t="n"/>
      <c r="Q626" s="10" t="n"/>
      <c r="R626" s="10" t="n"/>
      <c r="S626" s="10" t="n"/>
    </row>
    <row r="627" ht="296" customHeight="1">
      <c r="A627" s="6">
        <f>IFERROR(__xludf.DUMMYFUNCTION("""COMPUTED_VALUE"""),"Is it Good to be Beautiful?")</f>
        <v/>
      </c>
      <c r="B627" s="6">
        <f>IFERROR(__xludf.DUMMYFUNCTION("""COMPUTED_VALUE"""),"Resource")</f>
        <v/>
      </c>
      <c r="C627" s="6">
        <f>IFERROR(__xludf.DUMMYFUNCTION("""COMPUTED_VALUE"""),"Text 2.graasp")</f>
        <v/>
      </c>
      <c r="D627" s="7">
        <f>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
      </c>
      <c r="E627" s="7">
        <f>IFERROR(__xludf.DUMMYFUNCTION("""COMPUTED_VALUE"""),"No artifact embedded")</f>
        <v/>
      </c>
      <c r="F627" s="7" t="inlineStr">
        <is>
          <t>Students formulate research questions on guppy variations. Embedded artifacts include a digital photograph (jpeg) and plots/table describing guppy trends.</t>
        </is>
      </c>
      <c r="G627" s="8" t="n"/>
      <c r="H627" s="8" t="n"/>
      <c r="I627" s="8" t="n"/>
      <c r="J627" s="8" t="n"/>
      <c r="K627" s="9" t="n"/>
      <c r="L627" s="9" t="n"/>
      <c r="M627" s="9" t="n"/>
      <c r="N627" s="9" t="n"/>
      <c r="O627" s="10" t="n"/>
      <c r="P627" s="10" t="n"/>
      <c r="Q627" s="10" t="n"/>
      <c r="R627" s="10" t="n"/>
      <c r="S627" s="10" t="n"/>
    </row>
    <row r="628" ht="409.6" customHeight="1">
      <c r="A628" s="6">
        <f>IFERROR(__xludf.DUMMYFUNCTION("""COMPUTED_VALUE"""),"Is it Good to be Beautiful?")</f>
        <v/>
      </c>
      <c r="B628" s="6">
        <f>IFERROR(__xludf.DUMMYFUNCTION("""COMPUTED_VALUE"""),"Resource")</f>
        <v/>
      </c>
      <c r="C628" s="6">
        <f>IFERROR(__xludf.DUMMYFUNCTION("""COMPUTED_VALUE"""),"Table1.html")</f>
        <v/>
      </c>
      <c r="D628" s="7">
        <f>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
      </c>
      <c r="E628" s="7">
        <f>IFERROR(__xludf.DUMMYFUNCTION("""COMPUTED_VALUE"""),"text/html – A webpage or web document that contains structured text, images, and links, designed for display in a web browser.")</f>
        <v/>
      </c>
      <c r="F628" s="7" t="inlineStr">
        <is>
          <t>Students analyze guppy trends and variables. Embedded artifacts include images and web documents.</t>
        </is>
      </c>
      <c r="G628" s="8" t="n"/>
      <c r="H628" s="8" t="n"/>
      <c r="I628" s="8" t="n"/>
      <c r="J628" s="8" t="n"/>
      <c r="K628" s="9" t="n"/>
      <c r="L628" s="9" t="n"/>
      <c r="M628" s="9" t="n"/>
      <c r="N628" s="9" t="n"/>
      <c r="O628" s="10" t="n"/>
      <c r="P628" s="10" t="n"/>
      <c r="Q628" s="10" t="n"/>
      <c r="R628" s="10" t="n"/>
      <c r="S628" s="10" t="n"/>
    </row>
    <row r="629" ht="409.6" customHeight="1">
      <c r="A629" s="6">
        <f>IFERROR(__xludf.DUMMYFUNCTION("""COMPUTED_VALUE"""),"Is it Good to be Beautiful?")</f>
        <v/>
      </c>
      <c r="B629" s="6">
        <f>IFERROR(__xludf.DUMMYFUNCTION("""COMPUTED_VALUE"""),"Resource")</f>
        <v/>
      </c>
      <c r="C629" s="6">
        <f>IFERROR(__xludf.DUMMYFUNCTION("""COMPUTED_VALUE"""),"Text 3.graasp")</f>
        <v/>
      </c>
      <c r="D629" s="7">
        <f>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
      </c>
      <c r="E629" s="7">
        <f>IFERROR(__xludf.DUMMYFUNCTION("""COMPUTED_VALUE"""),"No artifact embedded")</f>
        <v/>
      </c>
      <c r="F629" s="7" t="inlineStr">
        <is>
          <t>Students analyze guppy trends, familiarize themselves with variables, and formulate research questions using the Question Scratchpad app. Embedded artifacts include a webpage with structured text and images.</t>
        </is>
      </c>
      <c r="G629" s="8" t="n"/>
      <c r="H629" s="8" t="n"/>
      <c r="I629" s="8" t="n"/>
      <c r="J629" s="8" t="n"/>
      <c r="K629" s="9" t="n"/>
      <c r="L629" s="9" t="n"/>
      <c r="M629" s="9" t="n"/>
      <c r="N629" s="9" t="n"/>
      <c r="O629" s="10" t="n"/>
      <c r="P629" s="10" t="n"/>
      <c r="Q629" s="10" t="n"/>
      <c r="R629" s="10" t="n"/>
      <c r="S629" s="10" t="n"/>
    </row>
    <row r="630" ht="409.6" customHeight="1">
      <c r="A630" s="6">
        <f>IFERROR(__xludf.DUMMYFUNCTION("""COMPUTED_VALUE"""),"Is it Good to be Beautiful?")</f>
        <v/>
      </c>
      <c r="B630" s="6">
        <f>IFERROR(__xludf.DUMMYFUNCTION("""COMPUTED_VALUE"""),"Application")</f>
        <v/>
      </c>
      <c r="C630" s="6">
        <f>IFERROR(__xludf.DUMMYFUNCTION("""COMPUTED_VALUE"""),"Question Scratchpad")</f>
        <v/>
      </c>
      <c r="D630" s="7">
        <f>IFERROR(__xludf.DUMMYFUNCTION("""COMPUTED_VALUE"""),"No task description")</f>
        <v/>
      </c>
      <c r="E630"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630" s="7" t="inlineStr">
        <is>
          <t>Students formulate research questions using the Question Scratchpad app in a virtual lab on sexual selection in guppies. Embedded artifacts include a webpage and the Golabz app/lab.</t>
        </is>
      </c>
      <c r="G630" s="8" t="n"/>
      <c r="H630" s="8" t="n"/>
      <c r="I630" s="8" t="n"/>
      <c r="J630" s="8" t="n"/>
      <c r="K630" s="9" t="n"/>
      <c r="L630" s="9" t="n"/>
      <c r="M630" s="9" t="n"/>
      <c r="N630" s="9" t="n"/>
      <c r="O630" s="10" t="n"/>
      <c r="P630" s="10" t="n"/>
      <c r="Q630" s="10" t="n"/>
      <c r="R630" s="10" t="n"/>
      <c r="S630" s="10" t="n"/>
    </row>
    <row r="631" ht="409.6" customHeight="1">
      <c r="A631" s="6">
        <f>IFERROR(__xludf.DUMMYFUNCTION("""COMPUTED_VALUE"""),"Is it Good to be Beautiful?")</f>
        <v/>
      </c>
      <c r="B631" s="6">
        <f>IFERROR(__xludf.DUMMYFUNCTION("""COMPUTED_VALUE"""),"Resource")</f>
        <v/>
      </c>
      <c r="C631" s="6">
        <f>IFERROR(__xludf.DUMMYFUNCTION("""COMPUTED_VALUE"""),"Text 4.graasp")</f>
        <v/>
      </c>
      <c r="D631" s="7">
        <f>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
      </c>
      <c r="E631" s="7">
        <f>IFERROR(__xludf.DUMMYFUNCTION("""COMPUTED_VALUE"""),"No artifact embedded")</f>
        <v/>
      </c>
      <c r="F631" s="7" t="inlineStr">
        <is>
          <t>Students form research questions using the Question Scratchpad app and then generate three hypotheses with confidence levels using the Hypothesis Scratchpad app.</t>
        </is>
      </c>
      <c r="G631" s="8" t="n"/>
      <c r="H631" s="8" t="n"/>
      <c r="I631" s="8" t="n"/>
      <c r="J631" s="8" t="n"/>
      <c r="K631" s="9" t="n"/>
      <c r="L631" s="9" t="n"/>
      <c r="M631" s="9" t="n"/>
      <c r="N631" s="9" t="n"/>
      <c r="O631" s="10" t="n"/>
      <c r="P631" s="10" t="n"/>
      <c r="Q631" s="10" t="n"/>
      <c r="R631" s="10" t="n"/>
      <c r="S631" s="10" t="n"/>
    </row>
    <row r="632" ht="409.6" customHeight="1">
      <c r="A632" s="6">
        <f>IFERROR(__xludf.DUMMYFUNCTION("""COMPUTED_VALUE"""),"Is it Good to be Beautiful?")</f>
        <v/>
      </c>
      <c r="B632" s="6">
        <f>IFERROR(__xludf.DUMMYFUNCTION("""COMPUTED_VALUE"""),"Application")</f>
        <v/>
      </c>
      <c r="C632" s="6">
        <f>IFERROR(__xludf.DUMMYFUNCTION("""COMPUTED_VALUE"""),"Hypothesis Scratchpad")</f>
        <v/>
      </c>
      <c r="D632" s="7">
        <f>IFERROR(__xludf.DUMMYFUNCTION("""COMPUTED_VALUE"""),"No task description")</f>
        <v/>
      </c>
      <c r="E63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32" s="7" t="inlineStr">
        <is>
          <t>Students are given tasks and tools to formulate research questions and hypotheses using apps like Question Scratchpad and Hypothesis Scratchpad.</t>
        </is>
      </c>
      <c r="G632" s="8" t="n"/>
      <c r="H632" s="8" t="n"/>
      <c r="I632" s="8" t="n"/>
      <c r="J632" s="8" t="n"/>
      <c r="K632" s="9" t="n"/>
      <c r="L632" s="9" t="n"/>
      <c r="M632" s="9" t="n"/>
      <c r="N632" s="9" t="n"/>
      <c r="O632" s="10" t="n"/>
      <c r="P632" s="10" t="n"/>
      <c r="Q632" s="10" t="n"/>
      <c r="R632" s="10" t="n"/>
      <c r="S632" s="10" t="n"/>
    </row>
    <row r="633" ht="340" customHeight="1">
      <c r="A633" s="6">
        <f>IFERROR(__xludf.DUMMYFUNCTION("""COMPUTED_VALUE"""),"Is it Good to be Beautiful?")</f>
        <v/>
      </c>
      <c r="B633" s="6">
        <f>IFERROR(__xludf.DUMMYFUNCTION("""COMPUTED_VALUE"""),"Resource")</f>
        <v/>
      </c>
      <c r="C633" s="6">
        <f>IFERROR(__xludf.DUMMYFUNCTION("""COMPUTED_VALUE"""),"Text 5.graasp")</f>
        <v/>
      </c>
      <c r="D633" s="7">
        <f>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
      </c>
      <c r="E633" s="7">
        <f>IFERROR(__xludf.DUMMYFUNCTION("""COMPUTED_VALUE"""),"No artifact embedded")</f>
        <v/>
      </c>
      <c r="F633" s="7" t="inlineStr">
        <is>
          <t>Students form 3 hypotheses using the Hypothesis Scratchpad app, indicating confidence levels.</t>
        </is>
      </c>
      <c r="G633" s="8" t="n"/>
      <c r="H633" s="8" t="n"/>
      <c r="I633" s="8" t="n"/>
      <c r="J633" s="8" t="n"/>
      <c r="K633" s="9" t="n"/>
      <c r="L633" s="9" t="n"/>
      <c r="M633" s="9" t="n"/>
      <c r="N633" s="9" t="n"/>
      <c r="O633" s="10" t="n"/>
      <c r="P633" s="10" t="n"/>
      <c r="Q633" s="10" t="n"/>
      <c r="R633" s="10" t="n"/>
      <c r="S633" s="10" t="n"/>
    </row>
    <row r="634" ht="121" customHeight="1">
      <c r="A634" s="6">
        <f>IFERROR(__xludf.DUMMYFUNCTION("""COMPUTED_VALUE"""),"Is it Good to be Beautiful?")</f>
        <v/>
      </c>
      <c r="B634" s="6">
        <f>IFERROR(__xludf.DUMMYFUNCTION("""COMPUTED_VALUE"""),"Space")</f>
        <v/>
      </c>
      <c r="C634" s="6">
        <f>IFERROR(__xludf.DUMMYFUNCTION("""COMPUTED_VALUE"""),"Investigation")</f>
        <v/>
      </c>
      <c r="D634" s="7">
        <f>IFERROR(__xludf.DUMMYFUNCTION("""COMPUTED_VALUE"""),"No task description")</f>
        <v/>
      </c>
      <c r="E634" s="7">
        <f>IFERROR(__xludf.DUMMYFUNCTION("""COMPUTED_VALUE"""),"No artifact embedded")</f>
        <v/>
      </c>
      <c r="F634" s="7" t="inlineStr">
        <is>
          <t>Students were given tasks with descriptions and access to Golabz app/lab, specifically "The Hypothesis Scratchpad", with configuration options.</t>
        </is>
      </c>
      <c r="G634" s="8" t="n"/>
      <c r="H634" s="8" t="n"/>
      <c r="I634" s="8" t="n"/>
      <c r="J634" s="8" t="n"/>
      <c r="K634" s="9" t="n"/>
      <c r="L634" s="9" t="n"/>
      <c r="M634" s="9" t="n"/>
      <c r="N634" s="9" t="n"/>
      <c r="O634" s="10" t="n"/>
      <c r="P634" s="10" t="n"/>
      <c r="Q634" s="10" t="n"/>
      <c r="R634" s="10" t="n"/>
      <c r="S634" s="10" t="n"/>
    </row>
    <row r="635" ht="409.6" customHeight="1">
      <c r="A635" s="6">
        <f>IFERROR(__xludf.DUMMYFUNCTION("""COMPUTED_VALUE"""),"Is it Good to be Beautiful?")</f>
        <v/>
      </c>
      <c r="B635" s="6">
        <f>IFERROR(__xludf.DUMMYFUNCTION("""COMPUTED_VALUE"""),"Resource")</f>
        <v/>
      </c>
      <c r="C635" s="6">
        <f>IFERROR(__xludf.DUMMYFUNCTION("""COMPUTED_VALUE"""),"Text 1.graasp")</f>
        <v/>
      </c>
      <c r="D635" s="7">
        <f>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
      </c>
      <c r="E635" s="7">
        <f>IFERROR(__xludf.DUMMYFUNCTION("""COMPUTED_VALUE"""),"No artifact embedded")</f>
        <v/>
      </c>
      <c r="F635" s="7" t="inlineStr">
        <is>
          <t>Students were instructed to formulate hypotheses, use a virtual lab to test them, and record observations using the Observation tool. No artifacts were embedded in any items.</t>
        </is>
      </c>
      <c r="G635" s="8" t="n"/>
      <c r="H635" s="8" t="n"/>
      <c r="I635" s="8" t="n"/>
      <c r="J635" s="8" t="n"/>
      <c r="K635" s="9" t="n"/>
      <c r="L635" s="9" t="n"/>
      <c r="M635" s="9" t="n"/>
      <c r="N635" s="9" t="n"/>
      <c r="O635" s="10" t="n"/>
      <c r="P635" s="10" t="n"/>
      <c r="Q635" s="10" t="n"/>
      <c r="R635" s="10" t="n"/>
      <c r="S635" s="10" t="n"/>
    </row>
    <row r="636" ht="263" customHeight="1">
      <c r="A636" s="6">
        <f>IFERROR(__xludf.DUMMYFUNCTION("""COMPUTED_VALUE"""),"Is it Good to be Beautiful?")</f>
        <v/>
      </c>
      <c r="B636" s="6">
        <f>IFERROR(__xludf.DUMMYFUNCTION("""COMPUTED_VALUE"""),"Application")</f>
        <v/>
      </c>
      <c r="C636" s="6">
        <f>IFERROR(__xludf.DUMMYFUNCTION("""COMPUTED_VALUE"""),"Sexual Selection in Guppies (HTML5)")</f>
        <v/>
      </c>
      <c r="D636" s="7">
        <f>IFERROR(__xludf.DUMMYFUNCTION("""COMPUTED_VALUE"""),"No task description")</f>
        <v/>
      </c>
      <c r="E636" s="7">
        <f>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
      </c>
      <c r="F636" s="7" t="inlineStr">
        <is>
          <t>Students use a virtual lab to test hypotheses about sexual selection in guppies, recording observations and measurements to inform their conclusions.</t>
        </is>
      </c>
      <c r="G636" s="8" t="n"/>
      <c r="H636" s="8" t="n"/>
      <c r="I636" s="8" t="n"/>
      <c r="J636" s="8" t="n"/>
      <c r="K636" s="9" t="n"/>
      <c r="L636" s="9" t="n"/>
      <c r="M636" s="9" t="n"/>
      <c r="N636" s="9" t="n"/>
      <c r="O636" s="10" t="n"/>
      <c r="P636" s="10" t="n"/>
      <c r="Q636" s="10" t="n"/>
      <c r="R636" s="10" t="n"/>
      <c r="S636" s="10" t="n"/>
    </row>
    <row r="637" ht="229" customHeight="1">
      <c r="A637" s="6">
        <f>IFERROR(__xludf.DUMMYFUNCTION("""COMPUTED_VALUE"""),"Is it Good to be Beautiful?")</f>
        <v/>
      </c>
      <c r="B637" s="6">
        <f>IFERROR(__xludf.DUMMYFUNCTION("""COMPUTED_VALUE"""),"Resource")</f>
        <v/>
      </c>
      <c r="C637" s="6">
        <f>IFERROR(__xludf.DUMMYFUNCTION("""COMPUTED_VALUE"""),"Text 2.graasp")</f>
        <v/>
      </c>
      <c r="D637" s="7">
        <f>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
      </c>
      <c r="E637" s="7">
        <f>IFERROR(__xludf.DUMMYFUNCTION("""COMPUTED_VALUE"""),"No artifact embedded")</f>
        <v/>
      </c>
      <c r="F637" s="7" t="inlineStr">
        <is>
          <t>Students are instructed to experiment with virtual labs, record observations, and test hypotheses. Embedded artifacts include the Golabz app/lab simulating Endler's guppy experiment.</t>
        </is>
      </c>
      <c r="G637" s="8" t="n"/>
      <c r="H637" s="8" t="n"/>
      <c r="I637" s="8" t="n"/>
      <c r="J637" s="8" t="n"/>
      <c r="K637" s="9" t="n"/>
      <c r="L637" s="9" t="n"/>
      <c r="M637" s="9" t="n"/>
      <c r="N637" s="9" t="n"/>
      <c r="O637" s="10" t="n"/>
      <c r="P637" s="10" t="n"/>
      <c r="Q637" s="10" t="n"/>
      <c r="R637" s="10" t="n"/>
      <c r="S637" s="10" t="n"/>
    </row>
    <row r="638" ht="384" customHeight="1">
      <c r="A638" s="6">
        <f>IFERROR(__xludf.DUMMYFUNCTION("""COMPUTED_VALUE"""),"Is it Good to be Beautiful?")</f>
        <v/>
      </c>
      <c r="B638" s="6">
        <f>IFERROR(__xludf.DUMMYFUNCTION("""COMPUTED_VALUE"""),"Application")</f>
        <v/>
      </c>
      <c r="C638" s="6">
        <f>IFERROR(__xludf.DUMMYFUNCTION("""COMPUTED_VALUE"""),"Observation Tool")</f>
        <v/>
      </c>
      <c r="D638" s="7">
        <f>IFERROR(__xludf.DUMMYFUNCTION("""COMPUTED_VALUE"""),"No task description")</f>
        <v/>
      </c>
      <c r="E63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38" s="7" t="inlineStr">
        <is>
          <t>Students use Golabz apps and Observation Tools with tasks including experimenting with guppy mating preferences and recording observations.</t>
        </is>
      </c>
      <c r="G638" s="8" t="n"/>
      <c r="H638" s="8" t="n"/>
      <c r="I638" s="8" t="n"/>
      <c r="J638" s="8" t="n"/>
      <c r="K638" s="9" t="n"/>
      <c r="L638" s="9" t="n"/>
      <c r="M638" s="9" t="n"/>
      <c r="N638" s="9" t="n"/>
      <c r="O638" s="10" t="n"/>
      <c r="P638" s="10" t="n"/>
      <c r="Q638" s="10" t="n"/>
      <c r="R638" s="10" t="n"/>
      <c r="S638" s="10" t="n"/>
    </row>
    <row r="639" ht="409.6" customHeight="1">
      <c r="A639" s="6">
        <f>IFERROR(__xludf.DUMMYFUNCTION("""COMPUTED_VALUE"""),"Is it Good to be Beautiful?")</f>
        <v/>
      </c>
      <c r="B639" s="6">
        <f>IFERROR(__xludf.DUMMYFUNCTION("""COMPUTED_VALUE"""),"Resource")</f>
        <v/>
      </c>
      <c r="C639" s="6">
        <f>IFERROR(__xludf.DUMMYFUNCTION("""COMPUTED_VALUE"""),"Text 3.graasp")</f>
        <v/>
      </c>
      <c r="D639" s="7">
        <f>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
      </c>
      <c r="E639" s="7">
        <f>IFERROR(__xludf.DUMMYFUNCTION("""COMPUTED_VALUE"""),"No artifact embedded")</f>
        <v/>
      </c>
      <c r="F639" s="7" t="inlineStr">
        <is>
          <t>Students use the Observation Tool app to record experiment observations, with instructions to add new lines for each entry. The Golabz app/lab allows retrieval of observations and data analysis for conclusion drawing.</t>
        </is>
      </c>
      <c r="G639" s="8" t="n"/>
      <c r="H639" s="8" t="n"/>
      <c r="I639" s="8" t="n"/>
      <c r="J639" s="8" t="n"/>
      <c r="K639" s="9" t="n"/>
      <c r="L639" s="9" t="n"/>
      <c r="M639" s="9" t="n"/>
      <c r="N639" s="9" t="n"/>
      <c r="O639" s="10" t="n"/>
      <c r="P639" s="10" t="n"/>
      <c r="Q639" s="10" t="n"/>
      <c r="R639" s="10" t="n"/>
      <c r="S639" s="10" t="n"/>
    </row>
    <row r="640" ht="157" customHeight="1">
      <c r="A640" s="6">
        <f>IFERROR(__xludf.DUMMYFUNCTION("""COMPUTED_VALUE"""),"Is it Good to be Beautiful?")</f>
        <v/>
      </c>
      <c r="B640" s="6">
        <f>IFERROR(__xludf.DUMMYFUNCTION("""COMPUTED_VALUE"""),"Space")</f>
        <v/>
      </c>
      <c r="C640" s="6">
        <f>IFERROR(__xludf.DUMMYFUNCTION("""COMPUTED_VALUE"""),"Conclusion")</f>
        <v/>
      </c>
      <c r="D640" s="7">
        <f>IFERROR(__xludf.DUMMYFUNCTION("""COMPUTED_VALUE"""),"No task description")</f>
        <v/>
      </c>
      <c r="E640" s="7">
        <f>IFERROR(__xludf.DUMMYFUNCTION("""COMPUTED_VALUE"""),"No artifact embedded")</f>
        <v/>
      </c>
      <c r="F640" s="7" t="inlineStr">
        <is>
          <t>Students use Golabz app to record observations and analyze experiments. Later, they verify if enough data was collected to accept or reject hypotheses using the observation tool.</t>
        </is>
      </c>
      <c r="G640" s="8" t="n"/>
      <c r="H640" s="8" t="n"/>
      <c r="I640" s="8" t="n"/>
      <c r="J640" s="8" t="n"/>
      <c r="K640" s="9" t="n"/>
      <c r="L640" s="9" t="n"/>
      <c r="M640" s="9" t="n"/>
      <c r="N640" s="9" t="n"/>
      <c r="O640" s="10" t="n"/>
      <c r="P640" s="10" t="n"/>
      <c r="Q640" s="10" t="n"/>
      <c r="R640" s="10" t="n"/>
      <c r="S640" s="10" t="n"/>
    </row>
    <row r="641" ht="409.6" customHeight="1">
      <c r="A641" s="6">
        <f>IFERROR(__xludf.DUMMYFUNCTION("""COMPUTED_VALUE"""),"Is it Good to be Beautiful?")</f>
        <v/>
      </c>
      <c r="B641" s="6">
        <f>IFERROR(__xludf.DUMMYFUNCTION("""COMPUTED_VALUE"""),"Resource")</f>
        <v/>
      </c>
      <c r="C641" s="6">
        <f>IFERROR(__xludf.DUMMYFUNCTION("""COMPUTED_VALUE"""),"Text 1.graasp")</f>
        <v/>
      </c>
      <c r="D641" s="7">
        <f>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
      </c>
      <c r="E641" s="7">
        <f>IFERROR(__xludf.DUMMYFUNCTION("""COMPUTED_VALUE"""),"No artifact embedded")</f>
        <v/>
      </c>
      <c r="F641" s="7" t="inlineStr">
        <is>
          <t>Students are instructed to conclude investigations by analyzing data, accepting or rejecting hypotheses, and writing conclusions in the Conclusion phase. No artifacts are embedded.</t>
        </is>
      </c>
      <c r="G641" s="8" t="n"/>
      <c r="H641" s="8" t="n"/>
      <c r="I641" s="8" t="n"/>
      <c r="J641" s="8" t="n"/>
      <c r="K641" s="9" t="n"/>
      <c r="L641" s="9" t="n"/>
      <c r="M641" s="9" t="n"/>
      <c r="N641" s="9" t="n"/>
      <c r="O641" s="10" t="n"/>
      <c r="P641" s="10" t="n"/>
      <c r="Q641" s="10" t="n"/>
      <c r="R641" s="10" t="n"/>
      <c r="S641" s="10" t="n"/>
    </row>
    <row r="642" ht="409.6" customHeight="1">
      <c r="A642" s="6">
        <f>IFERROR(__xludf.DUMMYFUNCTION("""COMPUTED_VALUE"""),"Is it Good to be Beautiful?")</f>
        <v/>
      </c>
      <c r="B642" s="6">
        <f>IFERROR(__xludf.DUMMYFUNCTION("""COMPUTED_VALUE"""),"Application")</f>
        <v/>
      </c>
      <c r="C642" s="6">
        <f>IFERROR(__xludf.DUMMYFUNCTION("""COMPUTED_VALUE"""),"Conclusion Tool")</f>
        <v/>
      </c>
      <c r="D642" s="7">
        <f>IFERROR(__xludf.DUMMYFUNCTION("""COMPUTED_VALUE"""),"No task description")</f>
        <v/>
      </c>
      <c r="E64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42" s="7" t="inlineStr">
        <is>
          <t>Students evaluate evidence to accept or reject hypotheses. Embedded artifacts include virtual lab data and observations.</t>
        </is>
      </c>
      <c r="G642" s="8" t="n"/>
      <c r="H642" s="8" t="n"/>
      <c r="I642" s="8" t="n"/>
      <c r="J642" s="8" t="n"/>
      <c r="K642" s="9" t="n"/>
      <c r="L642" s="9" t="n"/>
      <c r="M642" s="9" t="n"/>
      <c r="N642" s="9" t="n"/>
      <c r="O642" s="10" t="n"/>
      <c r="P642" s="10" t="n"/>
      <c r="Q642" s="10" t="n"/>
      <c r="R642" s="10" t="n"/>
      <c r="S642" s="10" t="n"/>
    </row>
    <row r="643" ht="409.6" customHeight="1">
      <c r="A643" s="6">
        <f>IFERROR(__xludf.DUMMYFUNCTION("""COMPUTED_VALUE"""),"Is it Good to be Beautiful?")</f>
        <v/>
      </c>
      <c r="B643" s="6">
        <f>IFERROR(__xludf.DUMMYFUNCTION("""COMPUTED_VALUE"""),"Resource")</f>
        <v/>
      </c>
      <c r="C643" s="6">
        <f>IFERROR(__xludf.DUMMYFUNCTION("""COMPUTED_VALUE"""),"Text 2.graasp")</f>
        <v/>
      </c>
      <c r="D643" s="7">
        <f>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
      </c>
      <c r="E643" s="7">
        <f>IFERROR(__xludf.DUMMYFUNCTION("""COMPUTED_VALUE"""),"No artifact embedded")</f>
        <v/>
      </c>
      <c r="F643" s="7" t="inlineStr">
        <is>
          <t>Students are guided through a conclusion phase, evaluating hypotheses based on collected data and observations using the Conclusion tool, with optional configuration by teachers.</t>
        </is>
      </c>
      <c r="G643" s="8" t="n"/>
      <c r="H643" s="8" t="n"/>
      <c r="I643" s="8" t="n"/>
      <c r="J643" s="8" t="n"/>
      <c r="K643" s="9" t="n"/>
      <c r="L643" s="9" t="n"/>
      <c r="M643" s="9" t="n"/>
      <c r="N643" s="9" t="n"/>
      <c r="O643" s="10" t="n"/>
      <c r="P643" s="10" t="n"/>
      <c r="Q643" s="10" t="n"/>
      <c r="R643" s="10" t="n"/>
      <c r="S643" s="10" t="n"/>
    </row>
    <row r="644" ht="73" customHeight="1">
      <c r="A644" s="6">
        <f>IFERROR(__xludf.DUMMYFUNCTION("""COMPUTED_VALUE"""),"Is it Good to be Beautiful?")</f>
        <v/>
      </c>
      <c r="B644" s="6">
        <f>IFERROR(__xludf.DUMMYFUNCTION("""COMPUTED_VALUE"""),"Space")</f>
        <v/>
      </c>
      <c r="C644" s="6">
        <f>IFERROR(__xludf.DUMMYFUNCTION("""COMPUTED_VALUE"""),"Discussion")</f>
        <v/>
      </c>
      <c r="D644" s="7">
        <f>IFERROR(__xludf.DUMMYFUNCTION("""COMPUTED_VALUE"""),"No task description")</f>
        <v/>
      </c>
      <c r="E644" s="7">
        <f>IFERROR(__xludf.DUMMYFUNCTION("""COMPUTED_VALUE"""),"No artifact embedded")</f>
        <v/>
      </c>
      <c r="F644" s="7" t="inlineStr">
        <is>
          <t>Students are given tasks and access to Golabz app/lab with configuration options.</t>
        </is>
      </c>
      <c r="G644" s="8" t="n"/>
      <c r="H644" s="8" t="n"/>
      <c r="I644" s="8" t="n"/>
      <c r="J644" s="8" t="n"/>
      <c r="K644" s="9" t="n"/>
      <c r="L644" s="9" t="n"/>
      <c r="M644" s="9" t="n"/>
      <c r="N644" s="9" t="n"/>
      <c r="O644" s="10" t="n"/>
      <c r="P644" s="10" t="n"/>
      <c r="Q644" s="10" t="n"/>
      <c r="R644" s="10" t="n"/>
      <c r="S644" s="10" t="n"/>
    </row>
    <row r="645" ht="384" customHeight="1">
      <c r="A645" s="6">
        <f>IFERROR(__xludf.DUMMYFUNCTION("""COMPUTED_VALUE"""),"Is it Good to be Beautiful?")</f>
        <v/>
      </c>
      <c r="B645" s="6">
        <f>IFERROR(__xludf.DUMMYFUNCTION("""COMPUTED_VALUE"""),"Resource")</f>
        <v/>
      </c>
      <c r="C645" s="6">
        <f>IFERROR(__xludf.DUMMYFUNCTION("""COMPUTED_VALUE"""),"Text 1.graasp")</f>
        <v/>
      </c>
      <c r="D645" s="7">
        <f>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
      </c>
      <c r="E645" s="7">
        <f>IFERROR(__xludf.DUMMYFUNCTION("""COMPUTED_VALUE"""),"No artifact embedded")</f>
        <v/>
      </c>
      <c r="F645" s="7" t="inlineStr">
        <is>
          <t>Students are instructed to proceed to the Discussion phase and reflect on their work by answering questions after refreshing a reflection tool, with no artifacts embedded in any items.</t>
        </is>
      </c>
      <c r="G645" s="8" t="n"/>
      <c r="H645" s="8" t="n"/>
      <c r="I645" s="8" t="n"/>
      <c r="J645" s="8" t="n"/>
      <c r="K645" s="9" t="n"/>
      <c r="L645" s="9" t="n"/>
      <c r="M645" s="9" t="n"/>
      <c r="N645" s="9" t="n"/>
      <c r="O645" s="10" t="n"/>
      <c r="P645" s="10" t="n"/>
      <c r="Q645" s="10" t="n"/>
      <c r="R645" s="10" t="n"/>
      <c r="S645" s="10" t="n"/>
    </row>
    <row r="646" ht="229" customHeight="1">
      <c r="A646" s="6">
        <f>IFERROR(__xludf.DUMMYFUNCTION("""COMPUTED_VALUE"""),"Is it Good to be Beautiful?")</f>
        <v/>
      </c>
      <c r="B646" s="6">
        <f>IFERROR(__xludf.DUMMYFUNCTION("""COMPUTED_VALUE"""),"Application")</f>
        <v/>
      </c>
      <c r="C646" s="6">
        <f>IFERROR(__xludf.DUMMYFUNCTION("""COMPUTED_VALUE"""),"Reflection Tool")</f>
        <v/>
      </c>
      <c r="D646" s="7">
        <f>IFERROR(__xludf.DUMMYFUNCTION("""COMPUTED_VALUE"""),"No task description")</f>
        <v/>
      </c>
      <c r="E646"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646" s="7" t="inlineStr">
        <is>
          <t>Students are instructed to reflect on learning, with Item2 providing steps for reflection using a tool, while embedded artifacts include a "Time Spent" app in Item3.</t>
        </is>
      </c>
      <c r="G646" s="8" t="n"/>
      <c r="H646" s="8" t="n"/>
      <c r="I646" s="8" t="n"/>
      <c r="J646" s="8" t="n"/>
      <c r="K646" s="9" t="n"/>
      <c r="L646" s="9" t="n"/>
      <c r="M646" s="9" t="n"/>
      <c r="N646" s="9" t="n"/>
      <c r="O646" s="10" t="n"/>
      <c r="P646" s="10" t="n"/>
      <c r="Q646" s="10" t="n"/>
      <c r="R646" s="10" t="n"/>
      <c r="S646" s="10" t="n"/>
    </row>
    <row r="647" ht="252" customHeight="1">
      <c r="A647" s="6">
        <f>IFERROR(__xludf.DUMMYFUNCTION("""COMPUTED_VALUE"""),"Is it Good to be Beautiful?")</f>
        <v/>
      </c>
      <c r="B647" s="6">
        <f>IFERROR(__xludf.DUMMYFUNCTION("""COMPUTED_VALUE"""),"Resource")</f>
        <v/>
      </c>
      <c r="C647" s="6">
        <f>IFERROR(__xludf.DUMMYFUNCTION("""COMPUTED_VALUE"""),"Text 2.graasp")</f>
        <v/>
      </c>
      <c r="D647" s="7">
        <f>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
      </c>
      <c r="E647" s="7">
        <f>IFERROR(__xludf.DUMMYFUNCTION("""COMPUTED_VALUE"""),"No artifact embedded")</f>
        <v/>
      </c>
      <c r="F647" s="7" t="inlineStr">
        <is>
          <t>Students reflect on learning, answering questions and using tools like the "Time Spent" app for insight.</t>
        </is>
      </c>
      <c r="G647" s="8" t="n"/>
      <c r="H647" s="8" t="n"/>
      <c r="I647" s="8" t="n"/>
      <c r="J647" s="8" t="n"/>
      <c r="K647" s="9" t="n"/>
      <c r="L647" s="9" t="n"/>
      <c r="M647" s="9" t="n"/>
      <c r="N647" s="9" t="n"/>
      <c r="O647" s="10" t="n"/>
      <c r="P647" s="10" t="n"/>
      <c r="Q647" s="10" t="n"/>
      <c r="R647" s="10" t="n"/>
      <c r="S647" s="10" t="n"/>
    </row>
    <row r="648" ht="318" customHeight="1">
      <c r="A648" s="6">
        <f>IFERROR(__xludf.DUMMYFUNCTION("""COMPUTED_VALUE"""),"Is it Good to be Beautiful?")</f>
        <v/>
      </c>
      <c r="B648" s="6">
        <f>IFERROR(__xludf.DUMMYFUNCTION("""COMPUTED_VALUE"""),"Application")</f>
        <v/>
      </c>
      <c r="C648" s="6">
        <f>IFERROR(__xludf.DUMMYFUNCTION("""COMPUTED_VALUE"""),"Input Box")</f>
        <v/>
      </c>
      <c r="D648" s="7">
        <f>IFERROR(__xludf.DUMMYFUNCTION("""COMPUTED_VALUE"""),"No task description")</f>
        <v/>
      </c>
      <c r="E6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48" s="7" t="inlineStr">
        <is>
          <t>Students received task descriptions and used embedded artifacts like Golabz apps (time spent tracker and input box) to complete activities.</t>
        </is>
      </c>
      <c r="G648" s="8" t="n"/>
      <c r="H648" s="8" t="n"/>
      <c r="I648" s="8" t="n"/>
      <c r="J648" s="8" t="n"/>
      <c r="K648" s="9" t="n"/>
      <c r="L648" s="9" t="n"/>
      <c r="M648" s="9" t="n"/>
      <c r="N648" s="9" t="n"/>
      <c r="O648" s="10" t="n"/>
      <c r="P648" s="10" t="n"/>
      <c r="Q648" s="10" t="n"/>
      <c r="R648" s="10" t="n"/>
      <c r="S648" s="10" t="n"/>
    </row>
    <row r="649" ht="409.6" customHeight="1">
      <c r="A649" s="6">
        <f>IFERROR(__xludf.DUMMYFUNCTION("""COMPUTED_VALUE"""),"Is it Good to be Beautiful?")</f>
        <v/>
      </c>
      <c r="B649" s="6">
        <f>IFERROR(__xludf.DUMMYFUNCTION("""COMPUTED_VALUE"""),"Resource")</f>
        <v/>
      </c>
      <c r="C649" s="6">
        <f>IFERROR(__xludf.DUMMYFUNCTION("""COMPUTED_VALUE"""),"Text 3.graasp")</f>
        <v/>
      </c>
      <c r="D649" s="7">
        <f>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
      </c>
      <c r="E649" s="7">
        <f>IFERROR(__xludf.DUMMYFUNCTION("""COMPUTED_VALUE"""),"No artifact embedded")</f>
        <v/>
      </c>
      <c r="F649" s="7" t="inlineStr">
        <is>
          <t>Students answer if it's good to be beautiful, considering guppy fish and humans. Embedded artifacts include a notes app for collaboration.</t>
        </is>
      </c>
      <c r="G649" s="8" t="n"/>
      <c r="H649" s="8" t="n"/>
      <c r="I649" s="8" t="n"/>
      <c r="J649" s="8" t="n"/>
      <c r="K649" s="9" t="n"/>
      <c r="L649" s="9" t="n"/>
      <c r="M649" s="9" t="n"/>
      <c r="N649" s="9" t="n"/>
      <c r="O649" s="10" t="n"/>
      <c r="P649" s="10" t="n"/>
      <c r="Q649" s="10" t="n"/>
      <c r="R649" s="10" t="n"/>
      <c r="S649" s="10" t="n"/>
    </row>
    <row r="650" ht="145" customHeight="1">
      <c r="A650" s="6">
        <f>IFERROR(__xludf.DUMMYFUNCTION("""COMPUTED_VALUE"""),"THREE DIMENSIONAL GEOMETRY")</f>
        <v/>
      </c>
      <c r="B650" s="6">
        <f>IFERROR(__xludf.DUMMYFUNCTION("""COMPUTED_VALUE"""),"Space")</f>
        <v/>
      </c>
      <c r="C650" s="6">
        <f>IFERROR(__xludf.DUMMYFUNCTION("""COMPUTED_VALUE"""),"Engage")</f>
        <v/>
      </c>
      <c r="D650" s="7">
        <f>IFERROR(__xludf.DUMMYFUNCTION("""COMPUTED_VALUE"""),"No task description")</f>
        <v/>
      </c>
      <c r="E650" s="7">
        <f>IFERROR(__xludf.DUMMYFUNCTION("""COMPUTED_VALUE"""),"No artifact embedded")</f>
        <v/>
      </c>
      <c r="F650" s="7" t="inlineStr">
        <is>
          <t>Students received minimal instructions. Embedded artifacts include Golabz app/lab for note-taking and collaboration, but no other items had notable artifacts or descriptions.</t>
        </is>
      </c>
      <c r="G650" s="8" t="n"/>
      <c r="H650" s="8" t="n"/>
      <c r="I650" s="8" t="n"/>
      <c r="J650" s="8" t="n"/>
      <c r="K650" s="9" t="n"/>
      <c r="L650" s="9" t="n"/>
      <c r="M650" s="9" t="n"/>
      <c r="N650" s="9" t="n"/>
      <c r="O650" s="10" t="n"/>
      <c r="P650" s="10" t="n"/>
      <c r="Q650" s="10" t="n"/>
      <c r="R650" s="10" t="n"/>
      <c r="S650" s="10" t="n"/>
    </row>
    <row r="651" ht="73" customHeight="1">
      <c r="A651" s="6">
        <f>IFERROR(__xludf.DUMMYFUNCTION("""COMPUTED_VALUE"""),"THREE DIMENSIONAL GEOMETRY")</f>
        <v/>
      </c>
      <c r="B651" s="6">
        <f>IFERROR(__xludf.DUMMYFUNCTION("""COMPUTED_VALUE"""),"Resource")</f>
        <v/>
      </c>
      <c r="C651" s="6">
        <f>IFERROR(__xludf.DUMMYFUNCTION("""COMPUTED_VALUE"""),"Specific Objectives.graasp")</f>
        <v/>
      </c>
      <c r="D651" s="7">
        <f>IFERROR(__xludf.DUMMYFUNCTION("""COMPUTED_VALUE"""),"&lt;p&gt;Objectives of Three Dimensional Geometry&lt;/p&gt;")</f>
        <v/>
      </c>
      <c r="E651" s="7">
        <f>IFERROR(__xludf.DUMMYFUNCTION("""COMPUTED_VALUE"""),"No artifact embedded")</f>
        <v/>
      </c>
      <c r="F651" s="7" t="inlineStr">
        <is>
          <t>Students received no instructions or artifacts in Items 1 and 2, but Item 3 lists objectives for 3D geometry.</t>
        </is>
      </c>
      <c r="G651" s="8" t="n"/>
      <c r="H651" s="8" t="n"/>
      <c r="I651" s="8" t="n"/>
      <c r="J651" s="8" t="n"/>
      <c r="K651" s="9" t="n"/>
      <c r="L651" s="9" t="n"/>
      <c r="M651" s="9" t="n"/>
      <c r="N651" s="9" t="n"/>
      <c r="O651" s="10" t="n"/>
      <c r="P651" s="10" t="n"/>
      <c r="Q651" s="10" t="n"/>
      <c r="R651" s="10" t="n"/>
      <c r="S651" s="10" t="n"/>
    </row>
    <row r="652" ht="133" customHeight="1">
      <c r="A652" s="6">
        <f>IFERROR(__xludf.DUMMYFUNCTION("""COMPUTED_VALUE"""),"THREE DIMENSIONAL GEOMETRY")</f>
        <v/>
      </c>
      <c r="B652" s="6">
        <f>IFERROR(__xludf.DUMMYFUNCTION("""COMPUTED_VALUE"""),"Space")</f>
        <v/>
      </c>
      <c r="C652" s="6">
        <f>IFERROR(__xludf.DUMMYFUNCTION("""COMPUTED_VALUE"""),"Explore")</f>
        <v/>
      </c>
      <c r="D652" s="7">
        <f>IFERROR(__xludf.DUMMYFUNCTION("""COMPUTED_VALUE"""),"No task description")</f>
        <v/>
      </c>
      <c r="E652" s="7">
        <f>IFERROR(__xludf.DUMMYFUNCTION("""COMPUTED_VALUE"""),"No artifact embedded")</f>
        <v/>
      </c>
      <c r="F652" s="7" t="inlineStr">
        <is>
          <t>Students received no task descriptions for Items 1 and 3, while Item 2's objective is Three Dimensional Geometry; no artifacts are embedded in any items.</t>
        </is>
      </c>
      <c r="G652" s="8" t="n"/>
      <c r="H652" s="8" t="n"/>
      <c r="I652" s="8" t="n"/>
      <c r="J652" s="8" t="n"/>
      <c r="K652" s="9" t="n"/>
      <c r="L652" s="9" t="n"/>
      <c r="M652" s="9" t="n"/>
      <c r="N652" s="9" t="n"/>
      <c r="O652" s="10" t="n"/>
      <c r="P652" s="10" t="n"/>
      <c r="Q652" s="10" t="n"/>
      <c r="R652" s="10" t="n"/>
      <c r="S652" s="10" t="n"/>
    </row>
    <row r="653" ht="49" customHeight="1">
      <c r="A653" s="6">
        <f>IFERROR(__xludf.DUMMYFUNCTION("""COMPUTED_VALUE"""),"THREE DIMENSIONAL GEOMETRY")</f>
        <v/>
      </c>
      <c r="B653" s="6">
        <f>IFERROR(__xludf.DUMMYFUNCTION("""COMPUTED_VALUE"""),"Space")</f>
        <v/>
      </c>
      <c r="C653" s="6">
        <f>IFERROR(__xludf.DUMMYFUNCTION("""COMPUTED_VALUE"""),"Explain")</f>
        <v/>
      </c>
      <c r="D653" s="7">
        <f>IFERROR(__xludf.DUMMYFUNCTION("""COMPUTED_VALUE"""),"No task description")</f>
        <v/>
      </c>
      <c r="E653" s="7">
        <f>IFERROR(__xludf.DUMMYFUNCTION("""COMPUTED_VALUE"""),"No artifact embedded")</f>
        <v/>
      </c>
      <c r="F653" s="7" t="inlineStr">
        <is>
          <t>No instructions or artifacts are provided for any of the items.</t>
        </is>
      </c>
      <c r="G653" s="8" t="n"/>
      <c r="H653" s="8" t="n"/>
      <c r="I653" s="8" t="n"/>
      <c r="J653" s="8" t="n"/>
      <c r="K653" s="9" t="n"/>
      <c r="L653" s="9" t="n"/>
      <c r="M653" s="9" t="n"/>
      <c r="N653" s="9" t="n"/>
      <c r="O653" s="10" t="n"/>
      <c r="P653" s="10" t="n"/>
      <c r="Q653" s="10" t="n"/>
      <c r="R653" s="10" t="n"/>
      <c r="S653" s="10" t="n"/>
    </row>
    <row r="654" ht="49" customHeight="1">
      <c r="A654" s="6">
        <f>IFERROR(__xludf.DUMMYFUNCTION("""COMPUTED_VALUE"""),"THREE DIMENSIONAL GEOMETRY")</f>
        <v/>
      </c>
      <c r="B654" s="6">
        <f>IFERROR(__xludf.DUMMYFUNCTION("""COMPUTED_VALUE"""),"Space")</f>
        <v/>
      </c>
      <c r="C654" s="6">
        <f>IFERROR(__xludf.DUMMYFUNCTION("""COMPUTED_VALUE"""),"Elaborate")</f>
        <v/>
      </c>
      <c r="D654" s="7">
        <f>IFERROR(__xludf.DUMMYFUNCTION("""COMPUTED_VALUE"""),"No task description")</f>
        <v/>
      </c>
      <c r="E654" s="7">
        <f>IFERROR(__xludf.DUMMYFUNCTION("""COMPUTED_VALUE"""),"No artifact embedded")</f>
        <v/>
      </c>
      <c r="F654" s="7" t="inlineStr">
        <is>
          <t>No instructions or artifacts are provided for any of the items.</t>
        </is>
      </c>
      <c r="G654" s="8" t="n"/>
      <c r="H654" s="8" t="n"/>
      <c r="I654" s="8" t="n"/>
      <c r="J654" s="8" t="n"/>
      <c r="K654" s="9" t="n"/>
      <c r="L654" s="9" t="n"/>
      <c r="M654" s="9" t="n"/>
      <c r="N654" s="9" t="n"/>
      <c r="O654" s="10" t="n"/>
      <c r="P654" s="10" t="n"/>
      <c r="Q654" s="10" t="n"/>
      <c r="R654" s="10" t="n"/>
      <c r="S654" s="10" t="n"/>
    </row>
    <row r="655" ht="49" customHeight="1">
      <c r="A655" s="6">
        <f>IFERROR(__xludf.DUMMYFUNCTION("""COMPUTED_VALUE"""),"THREE DIMENSIONAL GEOMETRY")</f>
        <v/>
      </c>
      <c r="B655" s="6">
        <f>IFERROR(__xludf.DUMMYFUNCTION("""COMPUTED_VALUE"""),"Space")</f>
        <v/>
      </c>
      <c r="C655" s="6">
        <f>IFERROR(__xludf.DUMMYFUNCTION("""COMPUTED_VALUE"""),"Evaluate")</f>
        <v/>
      </c>
      <c r="D655" s="7">
        <f>IFERROR(__xludf.DUMMYFUNCTION("""COMPUTED_VALUE"""),"No task description")</f>
        <v/>
      </c>
      <c r="E655" s="7">
        <f>IFERROR(__xludf.DUMMYFUNCTION("""COMPUTED_VALUE"""),"No artifact embedded")</f>
        <v/>
      </c>
      <c r="F655" s="7" t="inlineStr">
        <is>
          <t>No instructions or artifacts are provided for Items 1, 2, and 3.</t>
        </is>
      </c>
      <c r="G655" s="8" t="n"/>
      <c r="H655" s="8" t="n"/>
      <c r="I655" s="8" t="n"/>
      <c r="J655" s="8" t="n"/>
      <c r="K655" s="9" t="n"/>
      <c r="L655" s="9" t="n"/>
      <c r="M655" s="9" t="n"/>
      <c r="N655" s="9" t="n"/>
      <c r="O655" s="10" t="n"/>
      <c r="P655" s="10" t="n"/>
      <c r="Q655" s="10" t="n"/>
      <c r="R655" s="10" t="n"/>
      <c r="S655" s="10" t="n"/>
    </row>
    <row r="656" ht="157" customHeight="1">
      <c r="A656" s="6">
        <f>IFERROR(__xludf.DUMMYFUNCTION("""COMPUTED_VALUE"""),"UV light: friend or foe?")</f>
        <v/>
      </c>
      <c r="B656" s="6">
        <f>IFERROR(__xludf.DUMMYFUNCTION("""COMPUTED_VALUE"""),"Space")</f>
        <v/>
      </c>
      <c r="C656" s="6">
        <f>IFERROR(__xludf.DUMMYFUNCTION("""COMPUTED_VALUE"""),"Learning about UV, light and the Sun")</f>
        <v/>
      </c>
      <c r="D656" s="7">
        <f>IFERROR(__xludf.DUMMYFUNCTION("""COMPUTED_VALUE"""),"&lt;p&gt;What would happen if you spent an afternoon in the beach wearing no clothes and no sunscreen?&lt;/p&gt;")</f>
        <v/>
      </c>
      <c r="E656" s="7">
        <f>IFERROR(__xludf.DUMMYFUNCTION("""COMPUTED_VALUE"""),"No artifact embedded")</f>
        <v/>
      </c>
      <c r="F656" s="7" t="inlineStr">
        <is>
          <t>Students received 3 tasks with no descriptions for Items 1-2. Item 3 asked about spending an afternoon at the beach without clothes or sunscreen, with no artifacts embedded in any items.</t>
        </is>
      </c>
      <c r="G656" s="8" t="n"/>
      <c r="H656" s="8" t="n"/>
      <c r="I656" s="8" t="n"/>
      <c r="J656" s="8" t="n"/>
      <c r="K656" s="9" t="n"/>
      <c r="L656" s="9" t="n"/>
      <c r="M656" s="9" t="n"/>
      <c r="N656" s="9" t="n"/>
      <c r="O656" s="10" t="n"/>
      <c r="P656" s="10" t="n"/>
      <c r="Q656" s="10" t="n"/>
      <c r="R656" s="10" t="n"/>
      <c r="S656" s="10" t="n"/>
    </row>
    <row r="657" ht="109" customHeight="1">
      <c r="A657" s="6">
        <f>IFERROR(__xludf.DUMMYFUNCTION("""COMPUTED_VALUE"""),"UV light: friend or foe?")</f>
        <v/>
      </c>
      <c r="B657" s="6">
        <f>IFERROR(__xludf.DUMMYFUNCTION("""COMPUTED_VALUE"""),"Resource")</f>
        <v/>
      </c>
      <c r="C657" s="6">
        <f>IFERROR(__xludf.DUMMYFUNCTION("""COMPUTED_VALUE"""),"download.png")</f>
        <v/>
      </c>
      <c r="D657" s="7">
        <f>IFERROR(__xludf.DUMMYFUNCTION("""COMPUTED_VALUE"""),"&lt;p&gt;Maybe this would happen?&lt;/p&gt;")</f>
        <v/>
      </c>
      <c r="E657" s="7">
        <f>IFERROR(__xludf.DUMMYFUNCTION("""COMPUTED_VALUE"""),"image/png – A high-quality image with support for transparency, often used in design and web applications.")</f>
        <v/>
      </c>
      <c r="F657" s="7" t="inlineStr">
        <is>
          <t>Students were given tasks with varying descriptions and some had embedded artifacts, including an image in Item 3.</t>
        </is>
      </c>
      <c r="G657" s="8" t="n"/>
      <c r="H657" s="8" t="n"/>
      <c r="I657" s="8" t="n"/>
      <c r="J657" s="8" t="n"/>
      <c r="K657" s="9" t="n"/>
      <c r="L657" s="9" t="n"/>
      <c r="M657" s="9" t="n"/>
      <c r="N657" s="9" t="n"/>
      <c r="O657" s="10" t="n"/>
      <c r="P657" s="10" t="n"/>
      <c r="Q657" s="10" t="n"/>
      <c r="R657" s="10" t="n"/>
      <c r="S657" s="10" t="n"/>
    </row>
    <row r="658" ht="109" customHeight="1">
      <c r="A658" s="6">
        <f>IFERROR(__xludf.DUMMYFUNCTION("""COMPUTED_VALUE"""),"UV light: friend or foe?")</f>
        <v/>
      </c>
      <c r="B658" s="6">
        <f>IFERROR(__xludf.DUMMYFUNCTION("""COMPUTED_VALUE"""),"Resource")</f>
        <v/>
      </c>
      <c r="C658" s="6">
        <f>IFERROR(__xludf.DUMMYFUNCTION("""COMPUTED_VALUE"""),"1.graasp")</f>
        <v/>
      </c>
      <c r="D658" s="7">
        <f>IFERROR(__xludf.DUMMYFUNCTION("""COMPUTED_VALUE"""),"&lt;p&gt;Did you ever get a sunburn? Discover how many of your colleagues have already got a sunburn and write it in the box below.&lt;/p&gt;")</f>
        <v/>
      </c>
      <c r="E658" s="7">
        <f>IFERROR(__xludf.DUMMYFUNCTION("""COMPUTED_VALUE"""),"No artifact embedded")</f>
        <v/>
      </c>
      <c r="F658" s="7" t="inlineStr">
        <is>
          <t>Students are given tasks about beach scenarios, with some items including images as artifacts.</t>
        </is>
      </c>
      <c r="G658" s="8" t="n"/>
      <c r="H658" s="8" t="n"/>
      <c r="I658" s="8" t="n"/>
      <c r="J658" s="8" t="n"/>
      <c r="K658" s="9" t="n"/>
      <c r="L658" s="9" t="n"/>
      <c r="M658" s="9" t="n"/>
      <c r="N658" s="9" t="n"/>
      <c r="O658" s="10" t="n"/>
      <c r="P658" s="10" t="n"/>
      <c r="Q658" s="10" t="n"/>
      <c r="R658" s="10" t="n"/>
      <c r="S658" s="10" t="n"/>
    </row>
    <row r="659" ht="318" customHeight="1">
      <c r="A659" s="6">
        <f>IFERROR(__xludf.DUMMYFUNCTION("""COMPUTED_VALUE"""),"UV light: friend or foe?")</f>
        <v/>
      </c>
      <c r="B659" s="6">
        <f>IFERROR(__xludf.DUMMYFUNCTION("""COMPUTED_VALUE"""),"Application")</f>
        <v/>
      </c>
      <c r="C659" s="6">
        <f>IFERROR(__xludf.DUMMYFUNCTION("""COMPUTED_VALUE"""),"Input Box")</f>
        <v/>
      </c>
      <c r="D659" s="7">
        <f>IFERROR(__xludf.DUMMYFUNCTION("""COMPUTED_VALUE"""),"No task description")</f>
        <v/>
      </c>
      <c r="E65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59" s="7" t="inlineStr">
        <is>
          <t>Students received task descriptions and embedded artifacts, including images and apps, with varying levels of detail and interactivity.</t>
        </is>
      </c>
      <c r="G659" s="8" t="n"/>
      <c r="H659" s="8" t="n"/>
      <c r="I659" s="8" t="n"/>
      <c r="J659" s="8" t="n"/>
      <c r="K659" s="9" t="n"/>
      <c r="L659" s="9" t="n"/>
      <c r="M659" s="9" t="n"/>
      <c r="N659" s="9" t="n"/>
      <c r="O659" s="10" t="n"/>
      <c r="P659" s="10" t="n"/>
      <c r="Q659" s="10" t="n"/>
      <c r="R659" s="10" t="n"/>
      <c r="S659" s="10" t="n"/>
    </row>
    <row r="660" ht="409.6" customHeight="1">
      <c r="A660" s="6">
        <f>IFERROR(__xludf.DUMMYFUNCTION("""COMPUTED_VALUE"""),"UV light: friend or foe?")</f>
        <v/>
      </c>
      <c r="B660" s="6">
        <f>IFERROR(__xludf.DUMMYFUNCTION("""COMPUTED_VALUE"""),"Resource")</f>
        <v/>
      </c>
      <c r="C660" s="6">
        <f>IFERROR(__xludf.DUMMYFUNCTION("""COMPUTED_VALUE"""),"2.graasp")</f>
        <v/>
      </c>
      <c r="D660" s="7">
        <f>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
      </c>
      <c r="E660" s="7">
        <f>IFERROR(__xludf.DUMMYFUNCTION("""COMPUTED_VALUE"""),"No artifact embedded")</f>
        <v/>
      </c>
      <c r="F660" s="7" t="inlineStr">
        <is>
          <t>Students receive tasks on sunburns, UV rays, and the Sun. Embedded artifacts include a note-taking app and collaboration tool.</t>
        </is>
      </c>
      <c r="G660" s="8" t="n"/>
      <c r="H660" s="8" t="n"/>
      <c r="I660" s="8" t="n"/>
      <c r="J660" s="8" t="n"/>
      <c r="K660" s="9" t="n"/>
      <c r="L660" s="9" t="n"/>
      <c r="M660" s="9" t="n"/>
      <c r="N660" s="9" t="n"/>
      <c r="O660" s="10" t="n"/>
      <c r="P660" s="10" t="n"/>
      <c r="Q660" s="10" t="n"/>
      <c r="R660" s="10" t="n"/>
      <c r="S660" s="10" t="n"/>
    </row>
    <row r="661" ht="409.6" customHeight="1">
      <c r="A661" s="6">
        <f>IFERROR(__xludf.DUMMYFUNCTION("""COMPUTED_VALUE"""),"UV light: friend or foe?")</f>
        <v/>
      </c>
      <c r="B661" s="6">
        <f>IFERROR(__xludf.DUMMYFUNCTION("""COMPUTED_VALUE"""),"Application")</f>
        <v/>
      </c>
      <c r="C661" s="6">
        <f>IFERROR(__xludf.DUMMYFUNCTION("""COMPUTED_VALUE"""),"Table Tool")</f>
        <v/>
      </c>
      <c r="D661" s="7">
        <f>IFERROR(__xludf.DUMMYFUNCTION("""COMPUTED_VALUE"""),"No task description")</f>
        <v/>
      </c>
      <c r="E661"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61" s="7" t="inlineStr">
        <is>
          <t>Students have tasks and access to Golabz apps, such as input box and table tools, with optional collaboration mode.</t>
        </is>
      </c>
      <c r="G661" s="8" t="n"/>
      <c r="H661" s="8" t="n"/>
      <c r="I661" s="8" t="n"/>
      <c r="J661" s="8" t="n"/>
      <c r="K661" s="9" t="n"/>
      <c r="L661" s="9" t="n"/>
      <c r="M661" s="9" t="n"/>
      <c r="N661" s="9" t="n"/>
      <c r="O661" s="10" t="n"/>
      <c r="P661" s="10" t="n"/>
      <c r="Q661" s="10" t="n"/>
      <c r="R661" s="10" t="n"/>
      <c r="S661" s="10" t="n"/>
    </row>
    <row r="662" ht="318" customHeight="1">
      <c r="A662" s="6">
        <f>IFERROR(__xludf.DUMMYFUNCTION("""COMPUTED_VALUE"""),"UV light: friend or foe?")</f>
        <v/>
      </c>
      <c r="B662" s="6">
        <f>IFERROR(__xludf.DUMMYFUNCTION("""COMPUTED_VALUE"""),"Application")</f>
        <v/>
      </c>
      <c r="C662" s="6">
        <f>IFERROR(__xludf.DUMMYFUNCTION("""COMPUTED_VALUE"""),"Input Box (1)")</f>
        <v/>
      </c>
      <c r="D662" s="7">
        <f>IFERROR(__xludf.DUMMYFUNCTION("""COMPUTED_VALUE"""),"&lt;p&gt;Add here any relevant conclusions and move on to the next phase&lt;/p&gt;")</f>
        <v/>
      </c>
      <c r="E66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2" s="7" t="inlineStr">
        <is>
          <t>Students learn about Sun, UV rays, and effects on humans through 3 activities, then fill a table with benefits and dangers of UV light. Embedded artifacts include table tool and input box apps for data entry and note-taking.</t>
        </is>
      </c>
      <c r="G662" s="8" t="n"/>
      <c r="H662" s="8" t="n"/>
      <c r="I662" s="8" t="n"/>
      <c r="J662" s="8" t="n"/>
      <c r="K662" s="9" t="n"/>
      <c r="L662" s="9" t="n"/>
      <c r="M662" s="9" t="n"/>
      <c r="N662" s="9" t="n"/>
      <c r="O662" s="10" t="n"/>
      <c r="P662" s="10" t="n"/>
      <c r="Q662" s="10" t="n"/>
      <c r="R662" s="10" t="n"/>
      <c r="S662" s="10" t="n"/>
    </row>
    <row r="663" ht="97" customHeight="1">
      <c r="A663" s="6">
        <f>IFERROR(__xludf.DUMMYFUNCTION("""COMPUTED_VALUE"""),"UV light: friend or foe?")</f>
        <v/>
      </c>
      <c r="B663" s="6">
        <f>IFERROR(__xludf.DUMMYFUNCTION("""COMPUTED_VALUE"""),"Space")</f>
        <v/>
      </c>
      <c r="C663" s="6">
        <f>IFERROR(__xludf.DUMMYFUNCTION("""COMPUTED_VALUE"""),"UV in my community")</f>
        <v/>
      </c>
      <c r="D663" s="7">
        <f>IFERROR(__xludf.DUMMYFUNCTION("""COMPUTED_VALUE"""),"No task description")</f>
        <v/>
      </c>
      <c r="E663" s="7">
        <f>IFERROR(__xludf.DUMMYFUNCTION("""COMPUTED_VALUE"""),"No artifact embedded")</f>
        <v/>
      </c>
      <c r="F663" s="7" t="inlineStr">
        <is>
          <t>Students use Golabz apps for tasks. Artifacts include table and input box tools with optional collaboration mode.</t>
        </is>
      </c>
      <c r="G663" s="8" t="n"/>
      <c r="H663" s="8" t="n"/>
      <c r="I663" s="8" t="n"/>
      <c r="J663" s="8" t="n"/>
      <c r="K663" s="9" t="n"/>
      <c r="L663" s="9" t="n"/>
      <c r="M663" s="9" t="n"/>
      <c r="N663" s="9" t="n"/>
      <c r="O663" s="10" t="n"/>
      <c r="P663" s="10" t="n"/>
      <c r="Q663" s="10" t="n"/>
      <c r="R663" s="10" t="n"/>
      <c r="S663" s="10" t="n"/>
    </row>
    <row r="664" ht="406" customHeight="1">
      <c r="A664" s="6">
        <f>IFERROR(__xludf.DUMMYFUNCTION("""COMPUTED_VALUE"""),"UV light: friend or foe?")</f>
        <v/>
      </c>
      <c r="B664" s="6">
        <f>IFERROR(__xludf.DUMMYFUNCTION("""COMPUTED_VALUE"""),"Resource")</f>
        <v/>
      </c>
      <c r="C664" s="6">
        <f>IFERROR(__xludf.DUMMYFUNCTION("""COMPUTED_VALUE"""),"1 (1).graasp")</f>
        <v/>
      </c>
      <c r="D664" s="7">
        <f>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
      </c>
      <c r="E664" s="7">
        <f>IFERROR(__xludf.DUMMYFUNCTION("""COMPUTED_VALUE"""),"No artifact embedded")</f>
        <v/>
      </c>
      <c r="F664" s="7" t="inlineStr">
        <is>
          <t>Students are given tasks with descriptions and tools, such as Golabz app/lab for note-taking and collaboration.</t>
        </is>
      </c>
      <c r="G664" s="8" t="n"/>
      <c r="H664" s="8" t="n"/>
      <c r="I664" s="8" t="n"/>
      <c r="J664" s="8" t="n"/>
      <c r="K664" s="9" t="n"/>
      <c r="L664" s="9" t="n"/>
      <c r="M664" s="9" t="n"/>
      <c r="N664" s="9" t="n"/>
      <c r="O664" s="10" t="n"/>
      <c r="P664" s="10" t="n"/>
      <c r="Q664" s="10" t="n"/>
      <c r="R664" s="10" t="n"/>
      <c r="S664" s="10" t="n"/>
    </row>
    <row r="665" ht="133" customHeight="1">
      <c r="A665" s="6">
        <f>IFERROR(__xludf.DUMMYFUNCTION("""COMPUTED_VALUE"""),"UV light: friend or foe?")</f>
        <v/>
      </c>
      <c r="B665" s="6">
        <f>IFERROR(__xludf.DUMMYFUNCTION("""COMPUTED_VALUE"""),"Resource")</f>
        <v/>
      </c>
      <c r="C665" s="6">
        <f>IFERROR(__xludf.DUMMYFUNCTION("""COMPUTED_VALUE"""),"woman-591576_1280.jpg")</f>
        <v/>
      </c>
      <c r="D665" s="7">
        <f>IFERROR(__xludf.DUMMYFUNCTION("""COMPUTED_VALUE"""),"No task description")</f>
        <v/>
      </c>
      <c r="E665" s="7">
        <f>IFERROR(__xludf.DUMMYFUNCTION("""COMPUTED_VALUE"""),"image/jpeg – A digital photograph or web image stored in a compressed format, often used for photography and web graphics.")</f>
        <v/>
      </c>
      <c r="F665" s="7" t="inlineStr">
        <is>
          <t>Students are instructed to research UV rays and answer questions. Embedded artifacts include no items in Item1 and Item2, but an image/jpeg file in Item3.</t>
        </is>
      </c>
      <c r="G665" s="8" t="n"/>
      <c r="H665" s="8" t="n"/>
      <c r="I665" s="8" t="n"/>
      <c r="J665" s="8" t="n"/>
      <c r="K665" s="9" t="n"/>
      <c r="L665" s="9" t="n"/>
      <c r="M665" s="9" t="n"/>
      <c r="N665" s="9" t="n"/>
      <c r="O665" s="10" t="n"/>
      <c r="P665" s="10" t="n"/>
      <c r="Q665" s="10" t="n"/>
      <c r="R665" s="10" t="n"/>
      <c r="S665" s="10" t="n"/>
    </row>
    <row r="666" ht="409.6" customHeight="1">
      <c r="A666" s="6">
        <f>IFERROR(__xludf.DUMMYFUNCTION("""COMPUTED_VALUE"""),"UV light: friend or foe?")</f>
        <v/>
      </c>
      <c r="B666" s="6">
        <f>IFERROR(__xludf.DUMMYFUNCTION("""COMPUTED_VALUE"""),"Application")</f>
        <v/>
      </c>
      <c r="C666" s="6">
        <f>IFERROR(__xludf.DUMMYFUNCTION("""COMPUTED_VALUE"""),"Hypothesis Scratchpad")</f>
        <v/>
      </c>
      <c r="D666" s="7">
        <f>IFERROR(__xludf.DUMMYFUNCTION("""COMPUTED_VALUE"""),"No task description")</f>
        <v/>
      </c>
      <c r="E66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66" s="7" t="inlineStr">
        <is>
          <t>Students research UV rays, answering two questions and writing a hypothesis. Artifacts include an image/jpeg file and the Hypothesis Scratchpad tool.</t>
        </is>
      </c>
      <c r="G666" s="8" t="n"/>
      <c r="H666" s="8" t="n"/>
      <c r="I666" s="8" t="n"/>
      <c r="J666" s="8" t="n"/>
      <c r="K666" s="9" t="n"/>
      <c r="L666" s="9" t="n"/>
      <c r="M666" s="9" t="n"/>
      <c r="N666" s="9" t="n"/>
      <c r="O666" s="10" t="n"/>
      <c r="P666" s="10" t="n"/>
      <c r="Q666" s="10" t="n"/>
      <c r="R666" s="10" t="n"/>
      <c r="S666" s="10" t="n"/>
    </row>
    <row r="667" ht="409.6" customHeight="1">
      <c r="A667" s="6">
        <f>IFERROR(__xludf.DUMMYFUNCTION("""COMPUTED_VALUE"""),"UV light: friend or foe?")</f>
        <v/>
      </c>
      <c r="B667" s="6">
        <f>IFERROR(__xludf.DUMMYFUNCTION("""COMPUTED_VALUE"""),"Resource")</f>
        <v/>
      </c>
      <c r="C667" s="6">
        <f>IFERROR(__xludf.DUMMYFUNCTION("""COMPUTED_VALUE"""),"2 (1).graasp")</f>
        <v/>
      </c>
      <c r="D667" s="7">
        <f>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
      </c>
      <c r="E667" s="7">
        <f>IFERROR(__xludf.DUMMYFUNCTION("""COMPUTED_VALUE"""),"No artifact embedded")</f>
        <v/>
      </c>
      <c r="F667" s="7" t="inlineStr">
        <is>
          <t>No task descriptions for Items 1 and 2. Item 3 describes a project to measure UV levels and awareness, with materials needed listed. Embedded artifacts include an image/jpeg and the Golabz app/lab Hypothesis Scratchpad.</t>
        </is>
      </c>
      <c r="G667" s="8" t="n"/>
      <c r="H667" s="8" t="n"/>
      <c r="I667" s="8" t="n"/>
      <c r="J667" s="8" t="n"/>
      <c r="K667" s="9" t="n"/>
      <c r="L667" s="9" t="n"/>
      <c r="M667" s="9" t="n"/>
      <c r="N667" s="9" t="n"/>
      <c r="O667" s="10" t="n"/>
      <c r="P667" s="10" t="n"/>
      <c r="Q667" s="10" t="n"/>
      <c r="R667" s="10" t="n"/>
      <c r="S667" s="10" t="n"/>
    </row>
    <row r="668" ht="121" customHeight="1">
      <c r="A668" s="6">
        <f>IFERROR(__xludf.DUMMYFUNCTION("""COMPUTED_VALUE"""),"UV light: friend or foe?")</f>
        <v/>
      </c>
      <c r="B668" s="6">
        <f>IFERROR(__xludf.DUMMYFUNCTION("""COMPUTED_VALUE"""),"Resource")</f>
        <v/>
      </c>
      <c r="C668" s="6">
        <f>IFERROR(__xludf.DUMMYFUNCTION("""COMPUTED_VALUE"""),"UV light scale (1).png")</f>
        <v/>
      </c>
      <c r="D668" s="7">
        <f>IFERROR(__xludf.DUMMYFUNCTION("""COMPUTED_VALUE"""),"No task description")</f>
        <v/>
      </c>
      <c r="E668" s="7">
        <f>IFERROR(__xludf.DUMMYFUNCTION("""COMPUTED_VALUE"""),"image/png – A high-quality image with support for transparency, often used in design and web applications.")</f>
        <v/>
      </c>
      <c r="F668" s="7" t="inlineStr">
        <is>
          <t>Students received tasks with varying levels of detail and embedded artifacts, including a hypothesis-forming app and an image.</t>
        </is>
      </c>
      <c r="G668" s="8" t="n"/>
      <c r="H668" s="8" t="n"/>
      <c r="I668" s="8" t="n"/>
      <c r="J668" s="8" t="n"/>
      <c r="K668" s="9" t="n"/>
      <c r="L668" s="9" t="n"/>
      <c r="M668" s="9" t="n"/>
      <c r="N668" s="9" t="n"/>
      <c r="O668" s="10" t="n"/>
      <c r="P668" s="10" t="n"/>
      <c r="Q668" s="10" t="n"/>
      <c r="R668" s="10" t="n"/>
      <c r="S668" s="10" t="n"/>
    </row>
    <row r="669" ht="409.6" customHeight="1">
      <c r="A669" s="6">
        <f>IFERROR(__xludf.DUMMYFUNCTION("""COMPUTED_VALUE"""),"UV light: friend or foe?")</f>
        <v/>
      </c>
      <c r="B669" s="6">
        <f>IFERROR(__xludf.DUMMYFUNCTION("""COMPUTED_VALUE"""),"Resource")</f>
        <v/>
      </c>
      <c r="C669" s="6">
        <f>IFERROR(__xludf.DUMMYFUNCTION("""COMPUTED_VALUE"""),"s.graasp")</f>
        <v/>
      </c>
      <c r="D669" s="7">
        <f>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
      </c>
      <c r="E669" s="7">
        <f>IFERROR(__xludf.DUMMYFUNCTION("""COMPUTED_VALUE"""),"No artifact embedded")</f>
        <v/>
      </c>
      <c r="F669" s="7" t="inlineStr">
        <is>
          <t>Students collaborate on UV levels project, registering with code names and following protocols. Embedded artifacts include a PNG image.</t>
        </is>
      </c>
      <c r="G669" s="8" t="n"/>
      <c r="H669" s="8" t="n"/>
      <c r="I669" s="8" t="n"/>
      <c r="J669" s="8" t="n"/>
      <c r="K669" s="9" t="n"/>
      <c r="L669" s="9" t="n"/>
      <c r="M669" s="9" t="n"/>
      <c r="N669" s="9" t="n"/>
      <c r="O669" s="10" t="n"/>
      <c r="P669" s="10" t="n"/>
      <c r="Q669" s="10" t="n"/>
      <c r="R669" s="10" t="n"/>
      <c r="S669" s="10" t="n"/>
    </row>
    <row r="670" ht="109" customHeight="1">
      <c r="A670" s="6">
        <f>IFERROR(__xludf.DUMMYFUNCTION("""COMPUTED_VALUE"""),"UV light: friend or foe?")</f>
        <v/>
      </c>
      <c r="B670" s="6">
        <f>IFERROR(__xludf.DUMMYFUNCTION("""COMPUTED_VALUE"""),"Resource")</f>
        <v/>
      </c>
      <c r="C670" s="6">
        <f>IFERROR(__xludf.DUMMYFUNCTION("""COMPUTED_VALUE"""),"UV light levels around the world (1)")</f>
        <v/>
      </c>
      <c r="D670" s="7">
        <f>IFERROR(__xludf.DUMMYFUNCTION("""COMPUTED_VALUE"""),"&lt;p&gt;Is ultraviolet radiation the same level across the globe? Are people aware of how to protect themselves from this radiation?&lt;/p&gt;")</f>
        <v/>
      </c>
      <c r="E670" s="7">
        <f>IFERROR(__xludf.DUMMYFUNCTION("""COMPUTED_VALUE"""),"Artifact from globallab.org: A platform for collaborative educational projects, possibly including studies on UV light levels around the world.")</f>
        <v/>
      </c>
      <c r="F670" s="7" t="inlineStr">
        <is>
          <t>Students are given task descriptions and embedded artifacts, including images and platforms, to complete projects on various topics.</t>
        </is>
      </c>
      <c r="G670" s="8" t="n"/>
      <c r="H670" s="8" t="n"/>
      <c r="I670" s="8" t="n"/>
      <c r="J670" s="8" t="n"/>
      <c r="K670" s="9" t="n"/>
      <c r="L670" s="9" t="n"/>
      <c r="M670" s="9" t="n"/>
      <c r="N670" s="9" t="n"/>
      <c r="O670" s="10" t="n"/>
      <c r="P670" s="10" t="n"/>
      <c r="Q670" s="10" t="n"/>
      <c r="R670" s="10" t="n"/>
      <c r="S670" s="10" t="n"/>
    </row>
    <row r="671" ht="318" customHeight="1">
      <c r="A671" s="6">
        <f>IFERROR(__xludf.DUMMYFUNCTION("""COMPUTED_VALUE"""),"UV light: friend or foe?")</f>
        <v/>
      </c>
      <c r="B671" s="6">
        <f>IFERROR(__xludf.DUMMYFUNCTION("""COMPUTED_VALUE"""),"Resource")</f>
        <v/>
      </c>
      <c r="C671" s="6">
        <f>IFERROR(__xludf.DUMMYFUNCTION("""COMPUTED_VALUE"""),"3.graasp")</f>
        <v/>
      </c>
      <c r="D671" s="7">
        <f>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
      </c>
      <c r="E671" s="7">
        <f>IFERROR(__xludf.DUMMYFUNCTION("""COMPUTED_VALUE"""),"No artifact embedded")</f>
        <v/>
      </c>
      <c r="F671" s="7" t="inlineStr">
        <is>
          <t>Students register, read project parts, and answer questions on a platform, with optional additional research and graph creation. Embedded artifacts include a collaborative educational project platform.</t>
        </is>
      </c>
      <c r="G671" s="8" t="n"/>
      <c r="H671" s="8" t="n"/>
      <c r="I671" s="8" t="n"/>
      <c r="J671" s="8" t="n"/>
      <c r="K671" s="9" t="n"/>
      <c r="L671" s="9" t="n"/>
      <c r="M671" s="9" t="n"/>
      <c r="N671" s="9" t="n"/>
      <c r="O671" s="10" t="n"/>
      <c r="P671" s="10" t="n"/>
      <c r="Q671" s="10" t="n"/>
      <c r="R671" s="10" t="n"/>
      <c r="S671" s="10" t="n"/>
    </row>
    <row r="672" ht="409.6" customHeight="1">
      <c r="A672" s="6">
        <f>IFERROR(__xludf.DUMMYFUNCTION("""COMPUTED_VALUE"""),"UV light: friend or foe?")</f>
        <v/>
      </c>
      <c r="B672" s="6">
        <f>IFERROR(__xludf.DUMMYFUNCTION("""COMPUTED_VALUE"""),"Application")</f>
        <v/>
      </c>
      <c r="C672" s="6">
        <f>IFERROR(__xludf.DUMMYFUNCTION("""COMPUTED_VALUE"""),"Conclusion Tool")</f>
        <v/>
      </c>
      <c r="D672" s="7">
        <f>IFERROR(__xludf.DUMMYFUNCTION("""COMPUTED_VALUE"""),"No task description")</f>
        <v/>
      </c>
      <c r="E67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72" s="7" t="inlineStr">
        <is>
          <t>Students research UV radiation levels, analyze data, and draw conclusions. Embedded artifacts include Globallab.org and Golabz app/lab tools for collaborative projects and hypothesis validation.</t>
        </is>
      </c>
      <c r="G672" s="8" t="n"/>
      <c r="H672" s="8" t="n"/>
      <c r="I672" s="8" t="n"/>
      <c r="J672" s="8" t="n"/>
      <c r="K672" s="9" t="n"/>
      <c r="L672" s="9" t="n"/>
      <c r="M672" s="9" t="n"/>
      <c r="N672" s="9" t="n"/>
      <c r="O672" s="10" t="n"/>
      <c r="P672" s="10" t="n"/>
      <c r="Q672" s="10" t="n"/>
      <c r="R672" s="10" t="n"/>
      <c r="S672" s="10" t="n"/>
    </row>
    <row r="673" ht="409.6" customHeight="1">
      <c r="A673" s="6">
        <f>IFERROR(__xludf.DUMMYFUNCTION("""COMPUTED_VALUE"""),"UV light: friend or foe?")</f>
        <v/>
      </c>
      <c r="B673" s="6">
        <f>IFERROR(__xludf.DUMMYFUNCTION("""COMPUTED_VALUE"""),"Resource")</f>
        <v/>
      </c>
      <c r="C673" s="6">
        <f>IFERROR(__xludf.DUMMYFUNCTION("""COMPUTED_VALUE"""),"4.graasp")</f>
        <v/>
      </c>
      <c r="D673" s="7">
        <f>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
      </c>
      <c r="E673" s="7">
        <f>IFERROR(__xludf.DUMMYFUNCTION("""COMPUTED_VALUE"""),"No artifact embedded")</f>
        <v/>
      </c>
      <c r="F673" s="7" t="inlineStr">
        <is>
          <t>Students analyze data, answer questions about UV levels and awareness, and draw conclusions. Embedded artifacts include Golabz app/lab for hypothesis validation.</t>
        </is>
      </c>
      <c r="G673" s="8" t="n"/>
      <c r="H673" s="8" t="n"/>
      <c r="I673" s="8" t="n"/>
      <c r="J673" s="8" t="n"/>
      <c r="K673" s="9" t="n"/>
      <c r="L673" s="9" t="n"/>
      <c r="M673" s="9" t="n"/>
      <c r="N673" s="9" t="n"/>
      <c r="O673" s="10" t="n"/>
      <c r="P673" s="10" t="n"/>
      <c r="Q673" s="10" t="n"/>
      <c r="R673" s="10" t="n"/>
      <c r="S673" s="10" t="n"/>
    </row>
    <row r="674" ht="97" customHeight="1">
      <c r="A674" s="6">
        <f>IFERROR(__xludf.DUMMYFUNCTION("""COMPUTED_VALUE"""),"UV light: friend or foe?")</f>
        <v/>
      </c>
      <c r="B674" s="6">
        <f>IFERROR(__xludf.DUMMYFUNCTION("""COMPUTED_VALUE"""),"Space")</f>
        <v/>
      </c>
      <c r="C674" s="6">
        <f>IFERROR(__xludf.DUMMYFUNCTION("""COMPUTED_VALUE"""),"How can we protect our skin?")</f>
        <v/>
      </c>
      <c r="D674" s="7">
        <f>IFERROR(__xludf.DUMMYFUNCTION("""COMPUTED_VALUE"""),"No task description")</f>
        <v/>
      </c>
      <c r="E674" s="7">
        <f>IFERROR(__xludf.DUMMYFUNCTION("""COMPUTED_VALUE"""),"No artifact embedded")</f>
        <v/>
      </c>
      <c r="F674" s="7" t="inlineStr">
        <is>
          <t>Students were given tasks with some having no descriptions, and artifacts like Golabz app/lab for hypothesis validation.</t>
        </is>
      </c>
      <c r="G674" s="8" t="n"/>
      <c r="H674" s="8" t="n"/>
      <c r="I674" s="8" t="n"/>
      <c r="J674" s="8" t="n"/>
      <c r="K674" s="9" t="n"/>
      <c r="L674" s="9" t="n"/>
      <c r="M674" s="9" t="n"/>
      <c r="N674" s="9" t="n"/>
      <c r="O674" s="10" t="n"/>
      <c r="P674" s="10" t="n"/>
      <c r="Q674" s="10" t="n"/>
      <c r="R674" s="10" t="n"/>
      <c r="S674" s="10" t="n"/>
    </row>
    <row r="675" ht="409.6" customHeight="1">
      <c r="A675" s="6">
        <f>IFERROR(__xludf.DUMMYFUNCTION("""COMPUTED_VALUE"""),"UV light: friend or foe?")</f>
        <v/>
      </c>
      <c r="B675" s="6">
        <f>IFERROR(__xludf.DUMMYFUNCTION("""COMPUTED_VALUE"""),"Resource")</f>
        <v/>
      </c>
      <c r="C675" s="6">
        <f>IFERROR(__xludf.DUMMYFUNCTION("""COMPUTED_VALUE"""),"1.graasp")</f>
        <v/>
      </c>
      <c r="D675" s="7">
        <f>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
      </c>
      <c r="E675" s="7">
        <f>IFERROR(__xludf.DUMMYFUNCTION("""COMPUTED_VALUE"""),"No artifact embedded")</f>
        <v/>
      </c>
      <c r="F675" s="7" t="inlineStr">
        <is>
          <t>Students were instructed to learn about UV radiation, its measurement, and protection methods. No artifacts were embedded in the items.</t>
        </is>
      </c>
      <c r="G675" s="8" t="n"/>
      <c r="H675" s="8" t="n"/>
      <c r="I675" s="8" t="n"/>
      <c r="J675" s="8" t="n"/>
      <c r="K675" s="9" t="n"/>
      <c r="L675" s="9" t="n"/>
      <c r="M675" s="9" t="n"/>
      <c r="N675" s="9" t="n"/>
      <c r="O675" s="10" t="n"/>
      <c r="P675" s="10" t="n"/>
      <c r="Q675" s="10" t="n"/>
      <c r="R675" s="10" t="n"/>
      <c r="S675" s="10" t="n"/>
    </row>
    <row r="676" ht="409.6" customHeight="1">
      <c r="A676" s="6">
        <f>IFERROR(__xludf.DUMMYFUNCTION("""COMPUTED_VALUE"""),"UV light: friend or foe?")</f>
        <v/>
      </c>
      <c r="B676" s="6">
        <f>IFERROR(__xludf.DUMMYFUNCTION("""COMPUTED_VALUE"""),"Application")</f>
        <v/>
      </c>
      <c r="C676" s="6">
        <f>IFERROR(__xludf.DUMMYFUNCTION("""COMPUTED_VALUE"""),"Table Tool")</f>
        <v/>
      </c>
      <c r="D676" s="7">
        <f>IFERROR(__xludf.DUMMYFUNCTION("""COMPUTED_VALUE"""),"No task description")</f>
        <v/>
      </c>
      <c r="E67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76" s="7" t="inlineStr">
        <is>
          <t>Students investigate UV protection methods and share opinions on effective ways to protect skin outdoors. No artifacts are embedded in Items 1 and 2, while Item 3 describes the Golabz app/lab table tool.</t>
        </is>
      </c>
      <c r="G676" s="8" t="n"/>
      <c r="H676" s="8" t="n"/>
      <c r="I676" s="8" t="n"/>
      <c r="J676" s="8" t="n"/>
      <c r="K676" s="9" t="n"/>
      <c r="L676" s="9" t="n"/>
      <c r="M676" s="9" t="n"/>
      <c r="N676" s="9" t="n"/>
      <c r="O676" s="10" t="n"/>
      <c r="P676" s="10" t="n"/>
      <c r="Q676" s="10" t="n"/>
      <c r="R676" s="10" t="n"/>
      <c r="S676" s="10" t="n"/>
    </row>
    <row r="677" ht="409.6" customHeight="1">
      <c r="A677" s="6">
        <f>IFERROR(__xludf.DUMMYFUNCTION("""COMPUTED_VALUE"""),"UV light: friend or foe?")</f>
        <v/>
      </c>
      <c r="B677" s="6">
        <f>IFERROR(__xludf.DUMMYFUNCTION("""COMPUTED_VALUE"""),"Resource")</f>
        <v/>
      </c>
      <c r="C677" s="6">
        <f>IFERROR(__xludf.DUMMYFUNCTION("""COMPUTED_VALUE"""),"2.graasp")</f>
        <v/>
      </c>
      <c r="D677" s="7">
        <f>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
      </c>
      <c r="E677" s="7">
        <f>IFERROR(__xludf.DUMMYFUNCTION("""COMPUTED_VALUE"""),"No artifact embedded")</f>
        <v/>
      </c>
      <c r="F677" s="7" t="inlineStr">
        <is>
          <t>Students investigate UV protection methods, then design an experiment to test their effectiveness using various materials.</t>
        </is>
      </c>
      <c r="G677" s="8" t="n"/>
      <c r="H677" s="8" t="n"/>
      <c r="I677" s="8" t="n"/>
      <c r="J677" s="8" t="n"/>
      <c r="K677" s="9" t="n"/>
      <c r="L677" s="9" t="n"/>
      <c r="M677" s="9" t="n"/>
      <c r="N677" s="9" t="n"/>
      <c r="O677" s="10" t="n"/>
      <c r="P677" s="10" t="n"/>
      <c r="Q677" s="10" t="n"/>
      <c r="R677" s="10" t="n"/>
      <c r="S677" s="10" t="n"/>
    </row>
    <row r="678" ht="318" customHeight="1">
      <c r="A678" s="6">
        <f>IFERROR(__xludf.DUMMYFUNCTION("""COMPUTED_VALUE"""),"UV light: friend or foe?")</f>
        <v/>
      </c>
      <c r="B678" s="6">
        <f>IFERROR(__xludf.DUMMYFUNCTION("""COMPUTED_VALUE"""),"Application")</f>
        <v/>
      </c>
      <c r="C678" s="6">
        <f>IFERROR(__xludf.DUMMYFUNCTION("""COMPUTED_VALUE"""),"Input Box")</f>
        <v/>
      </c>
      <c r="D678" s="7">
        <f>IFERROR(__xludf.DUMMYFUNCTION("""COMPUTED_VALUE"""),"No task description")</f>
        <v/>
      </c>
      <c r="E67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8" s="7" t="inlineStr">
        <is>
          <t>Students receive task instructions and use Golabz apps like Table tool and Input box for data entry and note-taking.</t>
        </is>
      </c>
      <c r="G678" s="8" t="n"/>
      <c r="H678" s="8" t="n"/>
      <c r="I678" s="8" t="n"/>
      <c r="J678" s="8" t="n"/>
      <c r="K678" s="9" t="n"/>
      <c r="L678" s="9" t="n"/>
      <c r="M678" s="9" t="n"/>
      <c r="N678" s="9" t="n"/>
      <c r="O678" s="10" t="n"/>
      <c r="P678" s="10" t="n"/>
      <c r="Q678" s="10" t="n"/>
      <c r="R678" s="10" t="n"/>
      <c r="S678" s="10" t="n"/>
    </row>
    <row r="679" ht="409.6" customHeight="1">
      <c r="A679" s="6">
        <f>IFERROR(__xludf.DUMMYFUNCTION("""COMPUTED_VALUE"""),"UV light: friend or foe?")</f>
        <v/>
      </c>
      <c r="B679" s="6">
        <f>IFERROR(__xludf.DUMMYFUNCTION("""COMPUTED_VALUE"""),"Application")</f>
        <v/>
      </c>
      <c r="C679" s="6">
        <f>IFERROR(__xludf.DUMMYFUNCTION("""COMPUTED_VALUE"""),"Experiment Design Tool")</f>
        <v/>
      </c>
      <c r="D679" s="7">
        <f>IFERROR(__xludf.DUMMYFUNCTION("""COMPUTED_VALUE"""),"&lt;p&gt;Use this tool to design your experiment, considering that in order to achieve valid results you should always vary one variable at a time. Click on the (+) to add the values.&lt;/p&gt;")</f>
        <v/>
      </c>
      <c r="E67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679" s="7" t="inlineStr">
        <is>
          <t>Students test UV protection methods using materials like sunscreen and UV beads, with optional tools like a UV lantern. Embedded artifacts include note-taking and experiment design apps.</t>
        </is>
      </c>
      <c r="G679" s="8" t="n"/>
      <c r="H679" s="8" t="n"/>
      <c r="I679" s="8" t="n"/>
      <c r="J679" s="8" t="n"/>
      <c r="K679" s="9" t="n"/>
      <c r="L679" s="9" t="n"/>
      <c r="M679" s="9" t="n"/>
      <c r="N679" s="9" t="n"/>
      <c r="O679" s="10" t="n"/>
      <c r="P679" s="10" t="n"/>
      <c r="Q679" s="10" t="n"/>
      <c r="R679" s="10" t="n"/>
      <c r="S679" s="10" t="n"/>
    </row>
    <row r="680" ht="384" customHeight="1">
      <c r="A680" s="6">
        <f>IFERROR(__xludf.DUMMYFUNCTION("""COMPUTED_VALUE"""),"UV light: friend or foe?")</f>
        <v/>
      </c>
      <c r="B680" s="6">
        <f>IFERROR(__xludf.DUMMYFUNCTION("""COMPUTED_VALUE"""),"Application")</f>
        <v/>
      </c>
      <c r="C680" s="6">
        <f>IFERROR(__xludf.DUMMYFUNCTION("""COMPUTED_VALUE"""),"Observation Tool")</f>
        <v/>
      </c>
      <c r="D680" s="7">
        <f>IFERROR(__xludf.DUMMYFUNCTION("""COMPUTED_VALUE"""),"&lt;p&gt;Its time to experiment! Make your experiments and register all your observations. Take pictures of the process to keep a visual record.&lt;/p&gt;")</f>
        <v/>
      </c>
      <c r="E68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80" s="7" t="inlineStr">
        <is>
          <t>Students use apps to design experiments, record observations, and take notes. Artifacts include input boxes, experiment design tools, and observation tools with collaboration options.</t>
        </is>
      </c>
      <c r="G680" s="8" t="n"/>
      <c r="H680" s="8" t="n"/>
      <c r="I680" s="8" t="n"/>
      <c r="J680" s="8" t="n"/>
      <c r="K680" s="9" t="n"/>
      <c r="L680" s="9" t="n"/>
      <c r="M680" s="9" t="n"/>
      <c r="N680" s="9" t="n"/>
      <c r="O680" s="10" t="n"/>
      <c r="P680" s="10" t="n"/>
      <c r="Q680" s="10" t="n"/>
      <c r="R680" s="10" t="n"/>
      <c r="S680" s="10" t="n"/>
    </row>
    <row r="681" ht="193" customHeight="1">
      <c r="A681" s="6">
        <f>IFERROR(__xludf.DUMMYFUNCTION("""COMPUTED_VALUE"""),"UV light: friend or foe?")</f>
        <v/>
      </c>
      <c r="B681" s="6">
        <f>IFERROR(__xludf.DUMMYFUNCTION("""COMPUTED_VALUE"""),"Resource")</f>
        <v/>
      </c>
      <c r="C681" s="6">
        <f>IFERROR(__xludf.DUMMYFUNCTION("""COMPUTED_VALUE"""),"3.graasp")</f>
        <v/>
      </c>
      <c r="D681" s="7">
        <f>IFERROR(__xludf.DUMMYFUNCTION("""COMPUTED_VALUE"""),"&lt;p&gt;Make sure you have made all the experiments you wanted to make. Don't worry if something went wrong, you can always repeat your experiment.&lt;/p&gt;&lt;p&gt;&lt;br&gt;&lt;/p&gt;&lt;p&gt;When you finish, go to the ""conclusion"" phase&lt;/p&gt;")</f>
        <v/>
      </c>
      <c r="E681" s="7">
        <f>IFERROR(__xludf.DUMMYFUNCTION("""COMPUTED_VALUE"""),"No artifact embedded")</f>
        <v/>
      </c>
      <c r="F681" s="7" t="inlineStr">
        <is>
          <t>Students are instructed to design and conduct experiments, record observations, and analyze results using Golabz apps: Experiment Design Tool and Observation Tool.</t>
        </is>
      </c>
      <c r="G681" s="8" t="n"/>
      <c r="H681" s="8" t="n"/>
      <c r="I681" s="8" t="n"/>
      <c r="J681" s="8" t="n"/>
      <c r="K681" s="9" t="n"/>
      <c r="L681" s="9" t="n"/>
      <c r="M681" s="9" t="n"/>
      <c r="N681" s="9" t="n"/>
      <c r="O681" s="10" t="n"/>
      <c r="P681" s="10" t="n"/>
      <c r="Q681" s="10" t="n"/>
      <c r="R681" s="10" t="n"/>
      <c r="S681" s="10" t="n"/>
    </row>
    <row r="682" ht="241" customHeight="1">
      <c r="A682" s="6">
        <f>IFERROR(__xludf.DUMMYFUNCTION("""COMPUTED_VALUE"""),"UV light: friend or foe?")</f>
        <v/>
      </c>
      <c r="B682" s="6">
        <f>IFERROR(__xludf.DUMMYFUNCTION("""COMPUTED_VALUE"""),"Space")</f>
        <v/>
      </c>
      <c r="C682" s="6">
        <f>IFERROR(__xludf.DUMMYFUNCTION("""COMPUTED_VALUE"""),"Conclusion")</f>
        <v/>
      </c>
      <c r="D682" s="7">
        <f>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
      </c>
      <c r="E682" s="7">
        <f>IFERROR(__xludf.DUMMYFUNCTION("""COMPUTED_VALUE"""),"No artifact embedded")</f>
        <v/>
      </c>
      <c r="F682" s="7" t="inlineStr">
        <is>
          <t>Students conduct experiments, record observations, and analyze data using tools like Golabz app/lab, then draw conclusions.</t>
        </is>
      </c>
      <c r="G682" s="8" t="n"/>
      <c r="H682" s="8" t="n"/>
      <c r="I682" s="8" t="n"/>
      <c r="J682" s="8" t="n"/>
      <c r="K682" s="9" t="n"/>
      <c r="L682" s="9" t="n"/>
      <c r="M682" s="9" t="n"/>
      <c r="N682" s="9" t="n"/>
      <c r="O682" s="10" t="n"/>
      <c r="P682" s="10" t="n"/>
      <c r="Q682" s="10" t="n"/>
      <c r="R682" s="10" t="n"/>
      <c r="S682" s="10" t="n"/>
    </row>
    <row r="683" ht="409.6" customHeight="1">
      <c r="A683" s="6">
        <f>IFERROR(__xludf.DUMMYFUNCTION("""COMPUTED_VALUE"""),"UV light: friend or foe?")</f>
        <v/>
      </c>
      <c r="B683" s="6">
        <f>IFERROR(__xludf.DUMMYFUNCTION("""COMPUTED_VALUE"""),"Application")</f>
        <v/>
      </c>
      <c r="C683" s="6">
        <f>IFERROR(__xludf.DUMMYFUNCTION("""COMPUTED_VALUE"""),"Data Viewer")</f>
        <v/>
      </c>
      <c r="D683" s="7">
        <f>IFERROR(__xludf.DUMMYFUNCTION("""COMPUTED_VALUE"""),"No task description")</f>
        <v/>
      </c>
      <c r="E683"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683" s="7" t="inlineStr">
        <is>
          <t>Students are instructed to conduct experiments, analyze data using graphics, and draw conclusions. Embedded artifacts include a Golabz Data Viewer app for visualizing data.</t>
        </is>
      </c>
      <c r="G683" s="8" t="n"/>
      <c r="H683" s="8" t="n"/>
      <c r="I683" s="8" t="n"/>
      <c r="J683" s="8" t="n"/>
      <c r="K683" s="9" t="n"/>
      <c r="L683" s="9" t="n"/>
      <c r="M683" s="9" t="n"/>
      <c r="N683" s="9" t="n"/>
      <c r="O683" s="10" t="n"/>
      <c r="P683" s="10" t="n"/>
      <c r="Q683" s="10" t="n"/>
      <c r="R683" s="10" t="n"/>
      <c r="S683" s="10" t="n"/>
    </row>
    <row r="684" ht="169" customHeight="1">
      <c r="A684" s="6">
        <f>IFERROR(__xludf.DUMMYFUNCTION("""COMPUTED_VALUE"""),"UV light: friend or foe?")</f>
        <v/>
      </c>
      <c r="B684" s="6">
        <f>IFERROR(__xludf.DUMMYFUNCTION("""COMPUTED_VALUE"""),"Resource")</f>
        <v/>
      </c>
      <c r="C684" s="6">
        <f>IFERROR(__xludf.DUMMYFUNCTION("""COMPUTED_VALUE"""),"2.graasp")</f>
        <v/>
      </c>
      <c r="D684" s="7">
        <f>IFERROR(__xludf.DUMMYFUNCTION("""COMPUTED_VALUE"""),"&lt;p&gt;OK, so now, let's return to our table! Write again your list of effective and non-effective ways of protection against UV rays, but now, considering the results you got from your experiment&lt;/p&gt;")</f>
        <v/>
      </c>
      <c r="E684" s="7">
        <f>IFERROR(__xludf.DUMMYFUNCTION("""COMPUTED_VALUE"""),"No artifact embedded")</f>
        <v/>
      </c>
      <c r="F684" s="7" t="inlineStr">
        <is>
          <t>Students analyze data using graphics, configure data sources, and write lists considering experiment results. Embedded artifacts include a graphic creator and the Golabz Data Viewer app.</t>
        </is>
      </c>
      <c r="G684" s="8" t="n"/>
      <c r="H684" s="8" t="n"/>
      <c r="I684" s="8" t="n"/>
      <c r="J684" s="8" t="n"/>
      <c r="K684" s="9" t="n"/>
      <c r="L684" s="9" t="n"/>
      <c r="M684" s="9" t="n"/>
      <c r="N684" s="9" t="n"/>
      <c r="O684" s="10" t="n"/>
      <c r="P684" s="10" t="n"/>
      <c r="Q684" s="10" t="n"/>
      <c r="R684" s="10" t="n"/>
      <c r="S684" s="10" t="n"/>
    </row>
    <row r="685" ht="409.6" customHeight="1">
      <c r="A685" s="6">
        <f>IFERROR(__xludf.DUMMYFUNCTION("""COMPUTED_VALUE"""),"UV light: friend or foe?")</f>
        <v/>
      </c>
      <c r="B685" s="6">
        <f>IFERROR(__xludf.DUMMYFUNCTION("""COMPUTED_VALUE"""),"Application")</f>
        <v/>
      </c>
      <c r="C685" s="6">
        <f>IFERROR(__xludf.DUMMYFUNCTION("""COMPUTED_VALUE"""),"Table Tool")</f>
        <v/>
      </c>
      <c r="D685" s="7">
        <f>IFERROR(__xludf.DUMMYFUNCTION("""COMPUTED_VALUE"""),"No task description")</f>
        <v/>
      </c>
      <c r="E68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85" s="7" t="inlineStr">
        <is>
          <t>Students are given tasks and tools, including Golabz apps for data visualization and table creation, with some tasks lacking descriptions.</t>
        </is>
      </c>
      <c r="G685" s="8" t="n"/>
      <c r="H685" s="8" t="n"/>
      <c r="I685" s="8" t="n"/>
      <c r="J685" s="8" t="n"/>
      <c r="K685" s="9" t="n"/>
      <c r="L685" s="9" t="n"/>
      <c r="M685" s="9" t="n"/>
      <c r="N685" s="9" t="n"/>
      <c r="O685" s="10" t="n"/>
      <c r="P685" s="10" t="n"/>
      <c r="Q685" s="10" t="n"/>
      <c r="R685" s="10" t="n"/>
      <c r="S685" s="10" t="n"/>
    </row>
    <row r="686" ht="217" customHeight="1">
      <c r="A686" s="6">
        <f>IFERROR(__xludf.DUMMYFUNCTION("""COMPUTED_VALUE"""),"UV light: friend or foe?")</f>
        <v/>
      </c>
      <c r="B686" s="6">
        <f>IFERROR(__xludf.DUMMYFUNCTION("""COMPUTED_VALUE"""),"Resource")</f>
        <v/>
      </c>
      <c r="C686" s="6">
        <f>IFERROR(__xludf.DUMMYFUNCTION("""COMPUTED_VALUE"""),"1.graasp")</f>
        <v/>
      </c>
      <c r="D686" s="7">
        <f>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
      </c>
      <c r="E686" s="7">
        <f>IFERROR(__xludf.DUMMYFUNCTION("""COMPUTED_VALUE"""),"No artifact embedded")</f>
        <v/>
      </c>
      <c r="F686" s="7" t="inlineStr">
        <is>
          <t>Students write lists of UV protection methods and draw conclusions from experiment results. Embedded artifacts include a table tool in the Golabz app/lab.</t>
        </is>
      </c>
      <c r="G686" s="8" t="n"/>
      <c r="H686" s="8" t="n"/>
      <c r="I686" s="8" t="n"/>
      <c r="J686" s="8" t="n"/>
      <c r="K686" s="9" t="n"/>
      <c r="L686" s="9" t="n"/>
      <c r="M686" s="9" t="n"/>
      <c r="N686" s="9" t="n"/>
      <c r="O686" s="10" t="n"/>
      <c r="P686" s="10" t="n"/>
      <c r="Q686" s="10" t="n"/>
      <c r="R686" s="10" t="n"/>
      <c r="S686" s="10" t="n"/>
    </row>
    <row r="687" ht="318" customHeight="1">
      <c r="A687" s="6">
        <f>IFERROR(__xludf.DUMMYFUNCTION("""COMPUTED_VALUE"""),"UV light: friend or foe?")</f>
        <v/>
      </c>
      <c r="B687" s="6">
        <f>IFERROR(__xludf.DUMMYFUNCTION("""COMPUTED_VALUE"""),"Application")</f>
        <v/>
      </c>
      <c r="C687" s="6">
        <f>IFERROR(__xludf.DUMMYFUNCTION("""COMPUTED_VALUE"""),"Input Box")</f>
        <v/>
      </c>
      <c r="D687" s="7">
        <f>IFERROR(__xludf.DUMMYFUNCTION("""COMPUTED_VALUE"""),"No task description")</f>
        <v/>
      </c>
      <c r="E68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87" s="7" t="inlineStr">
        <is>
          <t>Students are given tasks with specific apps/tools, such as Table tool and Input box, with instructions on usage and collaboration modes.</t>
        </is>
      </c>
      <c r="G687" s="8" t="n"/>
      <c r="H687" s="8" t="n"/>
      <c r="I687" s="8" t="n"/>
      <c r="J687" s="8" t="n"/>
      <c r="K687" s="9" t="n"/>
      <c r="L687" s="9" t="n"/>
      <c r="M687" s="9" t="n"/>
      <c r="N687" s="9" t="n"/>
      <c r="O687" s="10" t="n"/>
      <c r="P687" s="10" t="n"/>
      <c r="Q687" s="10" t="n"/>
      <c r="R687" s="10" t="n"/>
      <c r="S687" s="10" t="n"/>
    </row>
    <row r="688" ht="145" customHeight="1">
      <c r="A688" s="6">
        <f>IFERROR(__xludf.DUMMYFUNCTION("""COMPUTED_VALUE"""),"UV light: friend or foe?")</f>
        <v/>
      </c>
      <c r="B688" s="6">
        <f>IFERROR(__xludf.DUMMYFUNCTION("""COMPUTED_VALUE"""),"Space")</f>
        <v/>
      </c>
      <c r="C688" s="6">
        <f>IFERROR(__xludf.DUMMYFUNCTION("""COMPUTED_VALUE"""),"Discussion")</f>
        <v/>
      </c>
      <c r="D688" s="7">
        <f>IFERROR(__xludf.DUMMYFUNCTION("""COMPUTED_VALUE"""),"No task description")</f>
        <v/>
      </c>
      <c r="E688" s="7">
        <f>IFERROR(__xludf.DUMMYFUNCTION("""COMPUTED_VALUE"""),"No artifact embedded")</f>
        <v/>
      </c>
      <c r="F688" s="7" t="inlineStr">
        <is>
          <t>Students compare tables, draw conclusions, and write arguments based on results. Embedded artifacts include a note-taking app with optional collaboration mode.</t>
        </is>
      </c>
      <c r="G688" s="8" t="n"/>
      <c r="H688" s="8" t="n"/>
      <c r="I688" s="8" t="n"/>
      <c r="J688" s="8" t="n"/>
      <c r="K688" s="9" t="n"/>
      <c r="L688" s="9" t="n"/>
      <c r="M688" s="9" t="n"/>
      <c r="N688" s="9" t="n"/>
      <c r="O688" s="10" t="n"/>
      <c r="P688" s="10" t="n"/>
      <c r="Q688" s="10" t="n"/>
      <c r="R688" s="10" t="n"/>
      <c r="S688" s="10" t="n"/>
    </row>
    <row r="689" ht="362" customHeight="1">
      <c r="A689" s="6">
        <f>IFERROR(__xludf.DUMMYFUNCTION("""COMPUTED_VALUE"""),"UV light: friend or foe?")</f>
        <v/>
      </c>
      <c r="B689" s="6">
        <f>IFERROR(__xludf.DUMMYFUNCTION("""COMPUTED_VALUE"""),"Resource")</f>
        <v/>
      </c>
      <c r="C689" s="6">
        <f>IFERROR(__xludf.DUMMYFUNCTION("""COMPUTED_VALUE"""),"2.graasp")</f>
        <v/>
      </c>
      <c r="D689" s="7">
        <f>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
      </c>
      <c r="E689" s="7">
        <f>IFERROR(__xludf.DUMMYFUNCTION("""COMPUTED_VALUE"""),"No artifact embedded")</f>
        <v/>
      </c>
      <c r="F689" s="7" t="inlineStr">
        <is>
          <t>Students received tasks with no descriptions, except Item3. Embedded artifacts include Golabz app/lab for note-taking and collaboration (Item1) and none in Items 2 and 3.</t>
        </is>
      </c>
      <c r="G689" s="8" t="n"/>
      <c r="H689" s="8" t="n"/>
      <c r="I689" s="8" t="n"/>
      <c r="J689" s="8" t="n"/>
      <c r="K689" s="9" t="n"/>
      <c r="L689" s="9" t="n"/>
      <c r="M689" s="9" t="n"/>
      <c r="N689" s="9" t="n"/>
      <c r="O689" s="10" t="n"/>
      <c r="P689" s="10" t="n"/>
      <c r="Q689" s="10" t="n"/>
      <c r="R689" s="10" t="n"/>
      <c r="S689" s="10" t="n"/>
    </row>
    <row r="690" ht="109" customHeight="1">
      <c r="A690" s="6">
        <f>IFERROR(__xludf.DUMMYFUNCTION("""COMPUTED_VALUE"""),"UV light: friend or foe?")</f>
        <v/>
      </c>
      <c r="B690" s="6">
        <f>IFERROR(__xludf.DUMMYFUNCTION("""COMPUTED_VALUE"""),"Resource")</f>
        <v/>
      </c>
      <c r="C690" s="6">
        <f>IFERROR(__xludf.DUMMYFUNCTION("""COMPUTED_VALUE"""),"hands-2847508_640.jpg")</f>
        <v/>
      </c>
      <c r="D690" s="7">
        <f>IFERROR(__xludf.DUMMYFUNCTION("""COMPUTED_VALUE"""),"No task description")</f>
        <v/>
      </c>
      <c r="E690" s="7">
        <f>IFERROR(__xludf.DUMMYFUNCTION("""COMPUTED_VALUE"""),"image/jpeg – A digital photograph or web image stored in a compressed format, often used for photography and web graphics.")</f>
        <v/>
      </c>
      <c r="F690" s="7" t="inlineStr">
        <is>
          <t>Students received tasks on UV rays, with one item having a detailed description and no artifacts, while another had an embedded JPEG image.</t>
        </is>
      </c>
      <c r="G690" s="8" t="n"/>
      <c r="H690" s="8" t="n"/>
      <c r="I690" s="8" t="n"/>
      <c r="J690" s="8" t="n"/>
      <c r="K690" s="9" t="n"/>
      <c r="L690" s="9" t="n"/>
      <c r="M690" s="9" t="n"/>
      <c r="N690" s="9" t="n"/>
      <c r="O690" s="10" t="n"/>
      <c r="P690" s="10" t="n"/>
      <c r="Q690" s="10" t="n"/>
      <c r="R690" s="10" t="n"/>
      <c r="S690" s="10" t="n"/>
    </row>
    <row r="691" ht="362" customHeight="1">
      <c r="A691" s="6">
        <f>IFERROR(__xludf.DUMMYFUNCTION("""COMPUTED_VALUE"""),"UV light: friend or foe?")</f>
        <v/>
      </c>
      <c r="B691" s="6">
        <f>IFERROR(__xludf.DUMMYFUNCTION("""COMPUTED_VALUE"""),"Resource")</f>
        <v/>
      </c>
      <c r="C691" s="6">
        <f>IFERROR(__xludf.DUMMYFUNCTION("""COMPUTED_VALUE"""),"1.graasp")</f>
        <v/>
      </c>
      <c r="D691" s="7">
        <f>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
      </c>
      <c r="E691" s="7">
        <f>IFERROR(__xludf.DUMMYFUNCTION("""COMPUTED_VALUE"""),"No artifact embedded")</f>
        <v/>
      </c>
      <c r="F691" s="7" t="inlineStr">
        <is>
          <t>Students learn about UV rays, evaluate community awareness, and create an awareness campaign. Embedded artifacts include a digital photograph/image.</t>
        </is>
      </c>
      <c r="G691" s="8" t="n"/>
      <c r="H691" s="8" t="n"/>
      <c r="I691" s="8" t="n"/>
      <c r="J691" s="8" t="n"/>
      <c r="K691" s="9" t="n"/>
      <c r="L691" s="9" t="n"/>
      <c r="M691" s="9" t="n"/>
      <c r="N691" s="9" t="n"/>
      <c r="O691" s="10" t="n"/>
      <c r="P691" s="10" t="n"/>
      <c r="Q691" s="10" t="n"/>
      <c r="R691" s="10" t="n"/>
      <c r="S691" s="10" t="n"/>
    </row>
    <row r="692" ht="384" customHeight="1">
      <c r="A692" s="6">
        <f>IFERROR(__xludf.DUMMYFUNCTION("""COMPUTED_VALUE"""),"Why I don't prefer vinegar on my fries")</f>
        <v/>
      </c>
      <c r="B692" s="6">
        <f>IFERROR(__xludf.DUMMYFUNCTION("""COMPUTED_VALUE"""),"Space")</f>
        <v/>
      </c>
      <c r="C692" s="6">
        <f>IFERROR(__xludf.DUMMYFUNCTION("""COMPUTED_VALUE"""),"Orientation")</f>
        <v/>
      </c>
      <c r="D692" s="7">
        <f>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
      </c>
      <c r="E692" s="7">
        <f>IFERROR(__xludf.DUMMYFUNCTION("""COMPUTED_VALUE"""),"No artifact embedded")</f>
        <v/>
      </c>
      <c r="F692" s="7" t="inlineStr">
        <is>
          <t>Students are given tasks: no description (Item1), create awareness campaign (Item2), and analyze a statue photograph (Item3). Embedded artifacts include a JPEG image (Item1) and none in Items 2-3.</t>
        </is>
      </c>
      <c r="G692" s="8" t="n"/>
      <c r="H692" s="8" t="n"/>
      <c r="I692" s="8" t="n"/>
      <c r="J692" s="8" t="n"/>
      <c r="K692" s="9" t="n"/>
      <c r="L692" s="9" t="n"/>
      <c r="M692" s="9" t="n"/>
      <c r="N692" s="9" t="n"/>
      <c r="O692" s="10" t="n"/>
      <c r="P692" s="10" t="n"/>
      <c r="Q692" s="10" t="n"/>
      <c r="R692" s="10" t="n"/>
      <c r="S692" s="10" t="n"/>
    </row>
    <row r="693" ht="133" customHeight="1">
      <c r="A693" s="6">
        <f>IFERROR(__xludf.DUMMYFUNCTION("""COMPUTED_VALUE"""),"Why I don't prefer vinegar on my fries")</f>
        <v/>
      </c>
      <c r="B693" s="6">
        <f>IFERROR(__xludf.DUMMYFUNCTION("""COMPUTED_VALUE"""),"Resource")</f>
        <v/>
      </c>
      <c r="C693" s="6">
        <f>IFERROR(__xludf.DUMMYFUNCTION("""COMPUTED_VALUE"""),"effect of acid rain on monuments.jpg")</f>
        <v/>
      </c>
      <c r="D693" s="7">
        <f>IFERROR(__xludf.DUMMYFUNCTION("""COMPUTED_VALUE"""),"No task description")</f>
        <v/>
      </c>
      <c r="E693" s="7">
        <f>IFERROR(__xludf.DUMMYFUNCTION("""COMPUTED_VALUE"""),"image/jpeg – A digital photograph or web image stored in a compressed format, often used for photography and web graphics.")</f>
        <v/>
      </c>
      <c r="F693" s="7" t="inlineStr">
        <is>
          <t>Students collaborate on awareness campaigns and discuss strategies. Items 1 and 2 have no embedded artifacts, while Item 3 has a JPEG image.</t>
        </is>
      </c>
      <c r="G693" s="8" t="n"/>
      <c r="H693" s="8" t="n"/>
      <c r="I693" s="8" t="n"/>
      <c r="J693" s="8" t="n"/>
      <c r="K693" s="9" t="n"/>
      <c r="L693" s="9" t="n"/>
      <c r="M693" s="9" t="n"/>
      <c r="N693" s="9" t="n"/>
      <c r="O693" s="10" t="n"/>
      <c r="P693" s="10" t="n"/>
      <c r="Q693" s="10" t="n"/>
      <c r="R693" s="10" t="n"/>
      <c r="S693" s="10" t="n"/>
    </row>
    <row r="694" ht="193" customHeight="1">
      <c r="A694" s="6">
        <f>IFERROR(__xludf.DUMMYFUNCTION("""COMPUTED_VALUE"""),"Why I don't prefer vinegar on my fries")</f>
        <v/>
      </c>
      <c r="B694" s="6">
        <f>IFERROR(__xludf.DUMMYFUNCTION("""COMPUTED_VALUE"""),"Application")</f>
        <v/>
      </c>
      <c r="C694" s="6">
        <f>IFERROR(__xludf.DUMMYFUNCTION("""COMPUTED_VALUE"""),"Shared Wiki")</f>
        <v/>
      </c>
      <c r="D694" s="7">
        <f>IFERROR(__xludf.DUMMYFUNCTION("""COMPUTED_VALUE"""),"No task description")</f>
        <v/>
      </c>
      <c r="E694"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94" s="7" t="inlineStr">
        <is>
          <t>Students consider a statue's deterioration, then discuss Earth as a system. Embedded artifacts include a JPEG image and a collaborative wiki app.</t>
        </is>
      </c>
      <c r="G694" s="8" t="n"/>
      <c r="H694" s="8" t="n"/>
      <c r="I694" s="8" t="n"/>
      <c r="J694" s="8" t="n"/>
      <c r="K694" s="9" t="n"/>
      <c r="L694" s="9" t="n"/>
      <c r="M694" s="9" t="n"/>
      <c r="N694" s="9" t="n"/>
      <c r="O694" s="10" t="n"/>
      <c r="P694" s="10" t="n"/>
      <c r="Q694" s="10" t="n"/>
      <c r="R694" s="10" t="n"/>
      <c r="S694" s="10" t="n"/>
    </row>
    <row r="695" ht="181" customHeight="1">
      <c r="A695" s="6">
        <f>IFERROR(__xludf.DUMMYFUNCTION("""COMPUTED_VALUE"""),"Why I don't prefer vinegar on my fries")</f>
        <v/>
      </c>
      <c r="B695" s="6">
        <f>IFERROR(__xludf.DUMMYFUNCTION("""COMPUTED_VALUE"""),"Space")</f>
        <v/>
      </c>
      <c r="C695" s="6">
        <f>IFERROR(__xludf.DUMMYFUNCTION("""COMPUTED_VALUE"""),"Conceptualisation")</f>
        <v/>
      </c>
      <c r="D695" s="7">
        <f>IFERROR(__xludf.DUMMYFUNCTION("""COMPUTED_VALUE"""),"&lt;p&gt;Take a look at the video and explore the interactive picture before you and your team use the hypothesis scratchpad to develop an hypothesis ""educated guess"" as to why the statue changed. &lt;/p&gt;&lt;p&gt;&lt;br&gt;&lt;/p&gt;")</f>
        <v/>
      </c>
      <c r="E695" s="7">
        <f>IFERROR(__xludf.DUMMYFUNCTION("""COMPUTED_VALUE"""),"No artifact embedded")</f>
        <v/>
      </c>
      <c r="F695" s="7" t="inlineStr">
        <is>
          <t>Students received tasks with embedded artifacts, including images and collaborative wiki apps, to complete activities such as developing hypotheses.</t>
        </is>
      </c>
      <c r="G695" s="8" t="n"/>
      <c r="H695" s="8" t="n"/>
      <c r="I695" s="8" t="n"/>
      <c r="J695" s="8" t="n"/>
      <c r="K695" s="9" t="n"/>
      <c r="L695" s="9" t="n"/>
      <c r="M695" s="9" t="n"/>
      <c r="N695" s="9" t="n"/>
      <c r="O695" s="10" t="n"/>
      <c r="P695" s="10" t="n"/>
      <c r="Q695" s="10" t="n"/>
      <c r="R695" s="10" t="n"/>
      <c r="S695" s="10" t="n"/>
    </row>
    <row r="696" ht="121" customHeight="1">
      <c r="A696" s="6">
        <f>IFERROR(__xludf.DUMMYFUNCTION("""COMPUTED_VALUE"""),"Why I don't prefer vinegar on my fries")</f>
        <v/>
      </c>
      <c r="B696" s="6">
        <f>IFERROR(__xludf.DUMMYFUNCTION("""COMPUTED_VALUE"""),"Resource")</f>
        <v/>
      </c>
      <c r="C696" s="6">
        <f>IFERROR(__xludf.DUMMYFUNCTION("""COMPUTED_VALUE"""),"acid rain effects on buildings")</f>
        <v/>
      </c>
      <c r="D696" s="7">
        <f>IFERROR(__xludf.DUMMYFUNCTION("""COMPUTED_VALUE"""),"No task description")</f>
        <v/>
      </c>
      <c r="E696" s="7">
        <f>IFERROR(__xludf.DUMMYFUNCTION("""COMPUTED_VALUE"""),"youtube.com: A widely known video-sharing platform where users can watch videos on a vast array of topics, including educational content.")</f>
        <v/>
      </c>
      <c r="F696" s="7" t="inlineStr">
        <is>
          <t>Students were given tasks and tools like Golabz app and YouTube to collaborate and develop hypotheses.</t>
        </is>
      </c>
      <c r="G696" s="8" t="n"/>
      <c r="H696" s="8" t="n"/>
      <c r="I696" s="8" t="n"/>
      <c r="J696" s="8" t="n"/>
      <c r="K696" s="9" t="n"/>
      <c r="L696" s="9" t="n"/>
      <c r="M696" s="9" t="n"/>
      <c r="N696" s="9" t="n"/>
      <c r="O696" s="10" t="n"/>
      <c r="P696" s="10" t="n"/>
      <c r="Q696" s="10" t="n"/>
      <c r="R696" s="10" t="n"/>
      <c r="S696" s="10" t="n"/>
    </row>
    <row r="697" ht="109" customHeight="1">
      <c r="A697" s="6">
        <f>IFERROR(__xludf.DUMMYFUNCTION("""COMPUTED_VALUE"""),"Why I don't prefer vinegar on my fries")</f>
        <v/>
      </c>
      <c r="B697" s="6">
        <f>IFERROR(__xludf.DUMMYFUNCTION("""COMPUTED_VALUE"""),"Resource")</f>
        <v/>
      </c>
      <c r="C697" s="6">
        <f>IFERROR(__xludf.DUMMYFUNCTION("""COMPUTED_VALUE"""),"pH Scale")</f>
        <v/>
      </c>
      <c r="D697" s="7">
        <f>IFERROR(__xludf.DUMMYFUNCTION("""COMPUTED_VALUE"""),"View the interactive image by Mark Rocha.")</f>
        <v/>
      </c>
      <c r="E697" s="7">
        <f>IFERROR(__xludf.DUMMYFUNCTION("""COMPUTED_VALUE"""),"thinglink.com: Allows users to create interactive images and videos by adding links and annotations.")</f>
        <v/>
      </c>
      <c r="F697" s="7" t="inlineStr">
        <is>
          <t>Students develop hypotheses using video, interactive picture, and scratchpad. Embedded artifacts include YouTube and Thinglink.</t>
        </is>
      </c>
      <c r="G697" s="8" t="n"/>
      <c r="H697" s="8" t="n"/>
      <c r="I697" s="8" t="n"/>
      <c r="J697" s="8" t="n"/>
      <c r="K697" s="9" t="n"/>
      <c r="L697" s="9" t="n"/>
      <c r="M697" s="9" t="n"/>
      <c r="N697" s="9" t="n"/>
      <c r="O697" s="10" t="n"/>
      <c r="P697" s="10" t="n"/>
      <c r="Q697" s="10" t="n"/>
      <c r="R697" s="10" t="n"/>
      <c r="S697" s="10" t="n"/>
    </row>
    <row r="698" ht="409.6" customHeight="1">
      <c r="A698" s="6">
        <f>IFERROR(__xludf.DUMMYFUNCTION("""COMPUTED_VALUE"""),"Why I don't prefer vinegar on my fries")</f>
        <v/>
      </c>
      <c r="B698" s="6">
        <f>IFERROR(__xludf.DUMMYFUNCTION("""COMPUTED_VALUE"""),"Application")</f>
        <v/>
      </c>
      <c r="C698" s="6">
        <f>IFERROR(__xludf.DUMMYFUNCTION("""COMPUTED_VALUE"""),"Hypothesis Scratchpad")</f>
        <v/>
      </c>
      <c r="D698" s="7">
        <f>IFERROR(__xludf.DUMMYFUNCTION("""COMPUTED_VALUE"""),"No task description")</f>
        <v/>
      </c>
      <c r="E69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98" s="7" t="inlineStr">
        <is>
          <t>Students were given tasks with interactive tools: YouTube, Thinglink, and Golabz app/lab, with varying levels of guidance.</t>
        </is>
      </c>
      <c r="G698" s="8" t="n"/>
      <c r="H698" s="8" t="n"/>
      <c r="I698" s="8" t="n"/>
      <c r="J698" s="8" t="n"/>
      <c r="K698" s="9" t="n"/>
      <c r="L698" s="9" t="n"/>
      <c r="M698" s="9" t="n"/>
      <c r="N698" s="9" t="n"/>
      <c r="O698" s="10" t="n"/>
      <c r="P698" s="10" t="n"/>
      <c r="Q698" s="10" t="n"/>
      <c r="R698" s="10" t="n"/>
      <c r="S698" s="10" t="n"/>
    </row>
    <row r="699" ht="145" customHeight="1">
      <c r="A699" s="6">
        <f>IFERROR(__xludf.DUMMYFUNCTION("""COMPUTED_VALUE"""),"Why I don't prefer vinegar on my fries")</f>
        <v/>
      </c>
      <c r="B699" s="6">
        <f>IFERROR(__xludf.DUMMYFUNCTION("""COMPUTED_VALUE"""),"Space")</f>
        <v/>
      </c>
      <c r="C699" s="6">
        <f>IFERROR(__xludf.DUMMYFUNCTION("""COMPUTED_VALUE"""),"Investigation")</f>
        <v/>
      </c>
      <c r="D699" s="7">
        <f>IFERROR(__xludf.DUMMYFUNCTION("""COMPUTED_VALUE"""),"&lt;p&gt;Acids and Bases can be dangerous so look over the video below . &lt;/p&gt;")</f>
        <v/>
      </c>
      <c r="E699" s="7">
        <f>IFERROR(__xludf.DUMMYFUNCTION("""COMPUTED_VALUE"""),"No artifact embedded")</f>
        <v/>
      </c>
      <c r="F699" s="7" t="inlineStr">
        <is>
          <t>Students are given tasks with interactive images, videos, and apps to create hypotheses and explore concepts like acids and bases, using tools like Thinglink and Golabz.</t>
        </is>
      </c>
      <c r="G699" s="8" t="n"/>
      <c r="H699" s="8" t="n"/>
      <c r="I699" s="8" t="n"/>
      <c r="J699" s="8" t="n"/>
      <c r="K699" s="9" t="n"/>
      <c r="L699" s="9" t="n"/>
      <c r="M699" s="9" t="n"/>
      <c r="N699" s="9" t="n"/>
      <c r="O699" s="10" t="n"/>
      <c r="P699" s="10" t="n"/>
      <c r="Q699" s="10" t="n"/>
      <c r="R699" s="10" t="n"/>
      <c r="S699" s="10" t="n"/>
    </row>
    <row r="700" ht="121" customHeight="1">
      <c r="A700" s="6">
        <f>IFERROR(__xludf.DUMMYFUNCTION("""COMPUTED_VALUE"""),"Why I don't prefer vinegar on my fries")</f>
        <v/>
      </c>
      <c r="B700" s="6">
        <f>IFERROR(__xludf.DUMMYFUNCTION("""COMPUTED_VALUE"""),"Resource")</f>
        <v/>
      </c>
      <c r="C700" s="6">
        <f>IFERROR(__xludf.DUMMYFUNCTION("""COMPUTED_VALUE"""),"Tim &amp; Moby Acids and Bases")</f>
        <v/>
      </c>
      <c r="D700" s="7">
        <f>IFERROR(__xludf.DUMMYFUNCTION("""COMPUTED_VALUE"""),"No task description")</f>
        <v/>
      </c>
      <c r="E700" s="7">
        <f>IFERROR(__xludf.DUMMYFUNCTION("""COMPUTED_VALUE"""),"youtube.com: A widely known video-sharing platform where users can watch videos on a vast array of topics, including educational content.")</f>
        <v/>
      </c>
      <c r="F700" s="7" t="inlineStr">
        <is>
          <t>Students received tasks and used tools like the Hypothesis Scratchpad and YouTube for learning.</t>
        </is>
      </c>
      <c r="G700" s="8" t="n"/>
      <c r="H700" s="8" t="n"/>
      <c r="I700" s="8" t="n"/>
      <c r="J700" s="8" t="n"/>
      <c r="K700" s="9" t="n"/>
      <c r="L700" s="9" t="n"/>
      <c r="M700" s="9" t="n"/>
      <c r="N700" s="9" t="n"/>
      <c r="O700" s="10" t="n"/>
      <c r="P700" s="10" t="n"/>
      <c r="Q700" s="10" t="n"/>
      <c r="R700" s="10" t="n"/>
      <c r="S700" s="10" t="n"/>
    </row>
    <row r="701" ht="97" customHeight="1">
      <c r="A701" s="6">
        <f>IFERROR(__xludf.DUMMYFUNCTION("""COMPUTED_VALUE"""),"Why I don't prefer vinegar on my fries")</f>
        <v/>
      </c>
      <c r="B701" s="6">
        <f>IFERROR(__xludf.DUMMYFUNCTION("""COMPUTED_VALUE"""),"Resource")</f>
        <v/>
      </c>
      <c r="C701" s="6">
        <f>IFERROR(__xludf.DUMMYFUNCTION("""COMPUTED_VALUE"""),"1st.graasp")</f>
        <v/>
      </c>
      <c r="D701" s="7">
        <f>IFERROR(__xludf.DUMMYFUNCTION("""COMPUTED_VALUE"""),"&lt;p&gt; Complete the short multiple choice quiz.&lt;/p&gt;")</f>
        <v/>
      </c>
      <c r="E701" s="7">
        <f>IFERROR(__xludf.DUMMYFUNCTION("""COMPUTED_VALUE"""),"No artifact embedded")</f>
        <v/>
      </c>
      <c r="F701" s="7" t="inlineStr">
        <is>
          <t>Students were instructed to review a video and complete a quiz. Embedded artifacts include a YouTube video link.</t>
        </is>
      </c>
      <c r="G701" s="8" t="n"/>
      <c r="H701" s="8" t="n"/>
      <c r="I701" s="8" t="n"/>
      <c r="J701" s="8" t="n"/>
      <c r="K701" s="9" t="n"/>
      <c r="L701" s="9" t="n"/>
      <c r="M701" s="9" t="n"/>
      <c r="N701" s="9" t="n"/>
      <c r="O701" s="10" t="n"/>
      <c r="P701" s="10" t="n"/>
      <c r="Q701" s="10" t="n"/>
      <c r="R701" s="10" t="n"/>
      <c r="S701" s="10" t="n"/>
    </row>
    <row r="702" ht="274" customHeight="1">
      <c r="A702" s="6">
        <f>IFERROR(__xludf.DUMMYFUNCTION("""COMPUTED_VALUE"""),"Why I don't prefer vinegar on my fries")</f>
        <v/>
      </c>
      <c r="B702" s="6">
        <f>IFERROR(__xludf.DUMMYFUNCTION("""COMPUTED_VALUE"""),"Application")</f>
        <v/>
      </c>
      <c r="C702" s="6">
        <f>IFERROR(__xludf.DUMMYFUNCTION("""COMPUTED_VALUE"""),"Quiz 1")</f>
        <v/>
      </c>
      <c r="D702" s="7">
        <f>IFERROR(__xludf.DUMMYFUNCTION("""COMPUTED_VALUE"""),"&lt;p&gt;You must complete the quiz before you can attempt the investigation&lt;/p&gt;")</f>
        <v/>
      </c>
      <c r="E702"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2" s="7" t="inlineStr">
        <is>
          <t>Students complete tasks with varying instructions and embedded artifacts, including a video platform and quiz apps.</t>
        </is>
      </c>
      <c r="G702" s="8" t="n"/>
      <c r="H702" s="8" t="n"/>
      <c r="I702" s="8" t="n"/>
      <c r="J702" s="8" t="n"/>
      <c r="K702" s="9" t="n"/>
      <c r="L702" s="9" t="n"/>
      <c r="M702" s="9" t="n"/>
      <c r="N702" s="9" t="n"/>
      <c r="O702" s="10" t="n"/>
      <c r="P702" s="10" t="n"/>
      <c r="Q702" s="10" t="n"/>
      <c r="R702" s="10" t="n"/>
      <c r="S702" s="10" t="n"/>
    </row>
    <row r="703" ht="274" customHeight="1">
      <c r="A703" s="6">
        <f>IFERROR(__xludf.DUMMYFUNCTION("""COMPUTED_VALUE"""),"Why I don't prefer vinegar on my fries")</f>
        <v/>
      </c>
      <c r="B703" s="6">
        <f>IFERROR(__xludf.DUMMYFUNCTION("""COMPUTED_VALUE"""),"Application")</f>
        <v/>
      </c>
      <c r="C703" s="6">
        <f>IFERROR(__xludf.DUMMYFUNCTION("""COMPUTED_VALUE"""),"Quiz 2")</f>
        <v/>
      </c>
      <c r="D703" s="7">
        <f>IFERROR(__xludf.DUMMYFUNCTION("""COMPUTED_VALUE"""),"No task description")</f>
        <v/>
      </c>
      <c r="E70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3" s="7" t="inlineStr">
        <is>
          <t>Students complete a short multiple choice quiz using the Golabz app, with interactive question editing.</t>
        </is>
      </c>
      <c r="G703" s="8" t="n"/>
      <c r="H703" s="8" t="n"/>
      <c r="I703" s="8" t="n"/>
      <c r="J703" s="8" t="n"/>
      <c r="K703" s="9" t="n"/>
      <c r="L703" s="9" t="n"/>
      <c r="M703" s="9" t="n"/>
      <c r="N703" s="9" t="n"/>
      <c r="O703" s="10" t="n"/>
      <c r="P703" s="10" t="n"/>
      <c r="Q703" s="10" t="n"/>
      <c r="R703" s="10" t="n"/>
      <c r="S703" s="10" t="n"/>
    </row>
    <row r="704" ht="274" customHeight="1">
      <c r="A704" s="6">
        <f>IFERROR(__xludf.DUMMYFUNCTION("""COMPUTED_VALUE"""),"Why I don't prefer vinegar on my fries")</f>
        <v/>
      </c>
      <c r="B704" s="6">
        <f>IFERROR(__xludf.DUMMYFUNCTION("""COMPUTED_VALUE"""),"Application")</f>
        <v/>
      </c>
      <c r="C704" s="6">
        <f>IFERROR(__xludf.DUMMYFUNCTION("""COMPUTED_VALUE"""),"Quiz Hypothesis")</f>
        <v/>
      </c>
      <c r="D704" s="7">
        <f>IFERROR(__xludf.DUMMYFUNCTION("""COMPUTED_VALUE"""),"No task description")</f>
        <v/>
      </c>
      <c r="E7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4" s="7" t="inlineStr">
        <is>
          <t>Students must complete a quiz. Embedded artifact: Golabz quiz app with interactive question editing.</t>
        </is>
      </c>
      <c r="G704" s="8" t="n"/>
      <c r="H704" s="8" t="n"/>
      <c r="I704" s="8" t="n"/>
      <c r="J704" s="8" t="n"/>
      <c r="K704" s="9" t="n"/>
      <c r="L704" s="9" t="n"/>
      <c r="M704" s="9" t="n"/>
      <c r="N704" s="9" t="n"/>
      <c r="O704" s="10" t="n"/>
      <c r="P704" s="10" t="n"/>
      <c r="Q704" s="10" t="n"/>
      <c r="R704" s="10" t="n"/>
      <c r="S704" s="10" t="n"/>
    </row>
    <row r="705" ht="97" customHeight="1">
      <c r="A705" s="6">
        <f>IFERROR(__xludf.DUMMYFUNCTION("""COMPUTED_VALUE"""),"Why I don't prefer vinegar on my fries")</f>
        <v/>
      </c>
      <c r="B705" s="6">
        <f>IFERROR(__xludf.DUMMYFUNCTION("""COMPUTED_VALUE"""),"Resource")</f>
        <v/>
      </c>
      <c r="C705" s="6">
        <f>IFERROR(__xludf.DUMMYFUNCTION("""COMPUTED_VALUE"""),"2nd.graasp")</f>
        <v/>
      </c>
      <c r="D705" s="7">
        <f>IFERROR(__xludf.DUMMYFUNCTION("""COMPUTED_VALUE"""),"&lt;p&gt;Use the app to investigate some substances to see whether they are acidic or basic...enjoy.&lt;/p&gt;")</f>
        <v/>
      </c>
      <c r="E705" s="7">
        <f>IFERROR(__xludf.DUMMYFUNCTION("""COMPUTED_VALUE"""),"No artifact embedded")</f>
        <v/>
      </c>
      <c r="F705" s="7" t="inlineStr">
        <is>
          <t>Students were given tasks with Golabz app descriptions, except for Item 3, which instructed investigating substances.</t>
        </is>
      </c>
      <c r="G705" s="8" t="n"/>
      <c r="H705" s="8" t="n"/>
      <c r="I705" s="8" t="n"/>
      <c r="J705" s="8" t="n"/>
      <c r="K705" s="9" t="n"/>
      <c r="L705" s="9" t="n"/>
      <c r="M705" s="9" t="n"/>
      <c r="N705" s="9" t="n"/>
      <c r="O705" s="10" t="n"/>
      <c r="P705" s="10" t="n"/>
      <c r="Q705" s="10" t="n"/>
      <c r="R705" s="10" t="n"/>
      <c r="S705" s="10" t="n"/>
    </row>
    <row r="706" ht="121" customHeight="1">
      <c r="A706" s="6">
        <f>IFERROR(__xludf.DUMMYFUNCTION("""COMPUTED_VALUE"""),"Why I don't prefer vinegar on my fries")</f>
        <v/>
      </c>
      <c r="B706" s="6">
        <f>IFERROR(__xludf.DUMMYFUNCTION("""COMPUTED_VALUE"""),"Resource")</f>
        <v/>
      </c>
      <c r="C706" s="6">
        <f>IFERROR(__xludf.DUMMYFUNCTION("""COMPUTED_VALUE"""),"‪pH Scale: Basics‬ 1.2.10")</f>
        <v/>
      </c>
      <c r="D706" s="7">
        <f>IFERROR(__xludf.DUMMYFUNCTION("""COMPUTED_VALUE"""),"No task description")</f>
        <v/>
      </c>
      <c r="E706" s="7">
        <f>IFERROR(__xludf.DUMMYFUNCTION("""COMPUTED_VALUE"""),"Artifact from phet.colorado.edu: Provides interactive science and math simulations, such as those on greenhouse effects and natural selection.")</f>
        <v/>
      </c>
      <c r="F706" s="7" t="inlineStr">
        <is>
          <t>Students were given tasks with descriptions and used interactive artifacts like Golabz app and PhET simulations to complete them.</t>
        </is>
      </c>
      <c r="G706" s="8" t="n"/>
      <c r="H706" s="8" t="n"/>
      <c r="I706" s="8" t="n"/>
      <c r="J706" s="8" t="n"/>
      <c r="K706" s="9" t="n"/>
      <c r="L706" s="9" t="n"/>
      <c r="M706" s="9" t="n"/>
      <c r="N706" s="9" t="n"/>
      <c r="O706" s="10" t="n"/>
      <c r="P706" s="10" t="n"/>
      <c r="Q706" s="10" t="n"/>
      <c r="R706" s="10" t="n"/>
      <c r="S706" s="10" t="n"/>
    </row>
    <row r="707" ht="274" customHeight="1">
      <c r="A707" s="6">
        <f>IFERROR(__xludf.DUMMYFUNCTION("""COMPUTED_VALUE"""),"Why I don't prefer vinegar on my fries")</f>
        <v/>
      </c>
      <c r="B707" s="6">
        <f>IFERROR(__xludf.DUMMYFUNCTION("""COMPUTED_VALUE"""),"Application")</f>
        <v/>
      </c>
      <c r="C707" s="6">
        <f>IFERROR(__xludf.DUMMYFUNCTION("""COMPUTED_VALUE"""),"Quiz 3")</f>
        <v/>
      </c>
      <c r="D707" s="7">
        <f>IFERROR(__xludf.DUMMYFUNCTION("""COMPUTED_VALUE"""),"No task description")</f>
        <v/>
      </c>
      <c r="E7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7" s="7" t="inlineStr">
        <is>
          <t>Students investigate substances using an app. Embedded artifacts include PhET simulations and Golabz quiz app with interactive question types.</t>
        </is>
      </c>
      <c r="G707" s="8" t="n"/>
      <c r="H707" s="8" t="n"/>
      <c r="I707" s="8" t="n"/>
      <c r="J707" s="8" t="n"/>
      <c r="K707" s="9" t="n"/>
      <c r="L707" s="9" t="n"/>
      <c r="M707" s="9" t="n"/>
      <c r="N707" s="9" t="n"/>
      <c r="O707" s="10" t="n"/>
      <c r="P707" s="10" t="n"/>
      <c r="Q707" s="10" t="n"/>
      <c r="R707" s="10" t="n"/>
      <c r="S707" s="10" t="n"/>
    </row>
    <row r="708" ht="274" customHeight="1">
      <c r="A708" s="6">
        <f>IFERROR(__xludf.DUMMYFUNCTION("""COMPUTED_VALUE"""),"Why I don't prefer vinegar on my fries")</f>
        <v/>
      </c>
      <c r="B708" s="6">
        <f>IFERROR(__xludf.DUMMYFUNCTION("""COMPUTED_VALUE"""),"Application")</f>
        <v/>
      </c>
      <c r="C708" s="6">
        <f>IFERROR(__xludf.DUMMYFUNCTION("""COMPUTED_VALUE"""),"Quiz 4")</f>
        <v/>
      </c>
      <c r="D708" s="7">
        <f>IFERROR(__xludf.DUMMYFUNCTION("""COMPUTED_VALUE"""),"No task description")</f>
        <v/>
      </c>
      <c r="E70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8" s="7" t="inlineStr">
        <is>
          <t>No task descriptions are provided. Embedded artifacts include PhET simulations and Golabz quiz apps with interactive question types.</t>
        </is>
      </c>
      <c r="G708" s="8" t="n"/>
      <c r="H708" s="8" t="n"/>
      <c r="I708" s="8" t="n"/>
      <c r="J708" s="8" t="n"/>
      <c r="K708" s="9" t="n"/>
      <c r="L708" s="9" t="n"/>
      <c r="M708" s="9" t="n"/>
      <c r="N708" s="9" t="n"/>
      <c r="O708" s="10" t="n"/>
      <c r="P708" s="10" t="n"/>
      <c r="Q708" s="10" t="n"/>
      <c r="R708" s="10" t="n"/>
      <c r="S708" s="10" t="n"/>
    </row>
    <row r="709" ht="274" customHeight="1">
      <c r="A709" s="6">
        <f>IFERROR(__xludf.DUMMYFUNCTION("""COMPUTED_VALUE"""),"Why I don't prefer vinegar on my fries")</f>
        <v/>
      </c>
      <c r="B709" s="6">
        <f>IFERROR(__xludf.DUMMYFUNCTION("""COMPUTED_VALUE"""),"Application")</f>
        <v/>
      </c>
      <c r="C709" s="6">
        <f>IFERROR(__xludf.DUMMYFUNCTION("""COMPUTED_VALUE"""),"Quiz 5")</f>
        <v/>
      </c>
      <c r="D709" s="7">
        <f>IFERROR(__xludf.DUMMYFUNCTION("""COMPUTED_VALUE"""),"No task description")</f>
        <v/>
      </c>
      <c r="E70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9" s="7" t="inlineStr">
        <is>
          <t>No task descriptions are provided, but all items have an embedded Golabz app/lab for creating quizzes with various question types.</t>
        </is>
      </c>
      <c r="G709" s="8" t="n"/>
      <c r="H709" s="8" t="n"/>
      <c r="I709" s="8" t="n"/>
      <c r="J709" s="8" t="n"/>
      <c r="K709" s="9" t="n"/>
      <c r="L709" s="9" t="n"/>
      <c r="M709" s="9" t="n"/>
      <c r="N709" s="9" t="n"/>
      <c r="O709" s="10" t="n"/>
      <c r="P709" s="10" t="n"/>
      <c r="Q709" s="10" t="n"/>
      <c r="R709" s="10" t="n"/>
      <c r="S709" s="10" t="n"/>
    </row>
    <row r="710" ht="274" customHeight="1">
      <c r="A710" s="6">
        <f>IFERROR(__xludf.DUMMYFUNCTION("""COMPUTED_VALUE"""),"Why I don't prefer vinegar on my fries")</f>
        <v/>
      </c>
      <c r="B710" s="6">
        <f>IFERROR(__xludf.DUMMYFUNCTION("""COMPUTED_VALUE"""),"Application")</f>
        <v/>
      </c>
      <c r="C710" s="6">
        <f>IFERROR(__xludf.DUMMYFUNCTION("""COMPUTED_VALUE"""),"Quiz 6")</f>
        <v/>
      </c>
      <c r="D710" s="7">
        <f>IFERROR(__xludf.DUMMYFUNCTION("""COMPUTED_VALUE"""),"No task description")</f>
        <v/>
      </c>
      <c r="E71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10" s="7" t="inlineStr">
        <is>
          <t>No task descriptions are provided; Golabz app/lab allows teachers to create interactive quizzes with various question types.</t>
        </is>
      </c>
      <c r="G710" s="8" t="n"/>
      <c r="H710" s="8" t="n"/>
      <c r="I710" s="8" t="n"/>
      <c r="J710" s="8" t="n"/>
      <c r="K710" s="9" t="n"/>
      <c r="L710" s="9" t="n"/>
      <c r="M710" s="9" t="n"/>
      <c r="N710" s="9" t="n"/>
      <c r="O710" s="10" t="n"/>
      <c r="P710" s="10" t="n"/>
      <c r="Q710" s="10" t="n"/>
      <c r="R710" s="10" t="n"/>
      <c r="S710" s="10" t="n"/>
    </row>
    <row r="711" ht="133" customHeight="1">
      <c r="A711" s="6">
        <f>IFERROR(__xludf.DUMMYFUNCTION("""COMPUTED_VALUE"""),"Why I don't prefer vinegar on my fries")</f>
        <v/>
      </c>
      <c r="B711" s="6">
        <f>IFERROR(__xludf.DUMMYFUNCTION("""COMPUTED_VALUE"""),"Resource")</f>
        <v/>
      </c>
      <c r="C711" s="6">
        <f>IFERROR(__xludf.DUMMYFUNCTION("""COMPUTED_VALUE"""),"3rd.graasp")</f>
        <v/>
      </c>
      <c r="D711" s="7">
        <f>IFERROR(__xludf.DUMMYFUNCTION("""COMPUTED_VALUE"""),"&lt;p&gt;When you understand what an acid or a base is,  review the video on the chemical reaction of HCl on CaCO3.&lt;/p&gt;")</f>
        <v/>
      </c>
      <c r="E711" s="7">
        <f>IFERROR(__xludf.DUMMYFUNCTION("""COMPUTED_VALUE"""),"No artifact embedded")</f>
        <v/>
      </c>
      <c r="F711" s="7" t="inlineStr">
        <is>
          <t>No task descriptions for Items 1 and 2. Item 3 instructs reviewing a video on HCl and CaCO3 reaction. Embedded artifacts are Golabz quiz apps in Items 1 and 2.</t>
        </is>
      </c>
      <c r="G711" s="8" t="n"/>
      <c r="H711" s="8" t="n"/>
      <c r="I711" s="8" t="n"/>
      <c r="J711" s="8" t="n"/>
      <c r="K711" s="9" t="n"/>
      <c r="L711" s="9" t="n"/>
      <c r="M711" s="9" t="n"/>
      <c r="N711" s="9" t="n"/>
      <c r="O711" s="10" t="n"/>
      <c r="P711" s="10" t="n"/>
      <c r="Q711" s="10" t="n"/>
      <c r="R711" s="10" t="n"/>
      <c r="S711" s="10" t="n"/>
    </row>
    <row r="712" ht="133" customHeight="1">
      <c r="A712" s="6">
        <f>IFERROR(__xludf.DUMMYFUNCTION("""COMPUTED_VALUE"""),"Why I don't prefer vinegar on my fries")</f>
        <v/>
      </c>
      <c r="B712" s="6">
        <f>IFERROR(__xludf.DUMMYFUNCTION("""COMPUTED_VALUE"""),"Resource")</f>
        <v/>
      </c>
      <c r="C712" s="6">
        <f>IFERROR(__xludf.DUMMYFUNCTION("""COMPUTED_VALUE"""),"Chemical reaction of marble to acid")</f>
        <v/>
      </c>
      <c r="D712" s="7">
        <f>IFERROR(__xludf.DUMMYFUNCTION("""COMPUTED_VALUE"""),"&lt;p&gt;Most marble is composed of Calcium Carbonate, CaCO3, a mineral that reacts with cold, dilute, hydrochloric acid.  &lt;/p&gt;&lt;p&gt;&lt;br&gt;&lt;/p&gt;")</f>
        <v/>
      </c>
      <c r="E712" s="7">
        <f>IFERROR(__xludf.DUMMYFUNCTION("""COMPUTED_VALUE"""),"youtube.com: A widely known video-sharing platform where users can watch videos on a vast array of topics, including educational content.")</f>
        <v/>
      </c>
      <c r="F712" s="7" t="inlineStr">
        <is>
          <t>Students were given tasks and access to artifacts like the Golabz quiz app and YouTube for learning about acids, bases, and chemical reactions.</t>
        </is>
      </c>
      <c r="G712" s="8" t="n"/>
      <c r="H712" s="8" t="n"/>
      <c r="I712" s="8" t="n"/>
      <c r="J712" s="8" t="n"/>
      <c r="K712" s="9" t="n"/>
      <c r="L712" s="9" t="n"/>
      <c r="M712" s="9" t="n"/>
      <c r="N712" s="9" t="n"/>
      <c r="O712" s="10" t="n"/>
      <c r="P712" s="10" t="n"/>
      <c r="Q712" s="10" t="n"/>
      <c r="R712" s="10" t="n"/>
      <c r="S712" s="10" t="n"/>
    </row>
    <row r="713" ht="409.6" customHeight="1">
      <c r="A713" s="6">
        <f>IFERROR(__xludf.DUMMYFUNCTION("""COMPUTED_VALUE"""),"Why I don't prefer vinegar on my fries")</f>
        <v/>
      </c>
      <c r="B713" s="6">
        <f>IFERROR(__xludf.DUMMYFUNCTION("""COMPUTED_VALUE"""),"Resource")</f>
        <v/>
      </c>
      <c r="C713" s="6">
        <f>IFERROR(__xludf.DUMMYFUNCTION("""COMPUTED_VALUE"""),"4th.graasp")</f>
        <v/>
      </c>
      <c r="D713" s="7">
        <f>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
      </c>
      <c r="E713" s="7">
        <f>IFERROR(__xludf.DUMMYFUNCTION("""COMPUTED_VALUE"""),"No artifact embedded")</f>
        <v/>
      </c>
      <c r="F713" s="7" t="inlineStr">
        <is>
          <t>Students review acid-base concepts, watch a video on HCl and CaCO3 reactions, and design an experiment to measure the effect of HCl on CaCO3 mass, with provided equipment.</t>
        </is>
      </c>
      <c r="G713" s="8" t="n"/>
      <c r="H713" s="8" t="n"/>
      <c r="I713" s="8" t="n"/>
      <c r="J713" s="8" t="n"/>
      <c r="K713" s="9" t="n"/>
      <c r="L713" s="9" t="n"/>
      <c r="M713" s="9" t="n"/>
      <c r="N713" s="9" t="n"/>
      <c r="O713" s="10" t="n"/>
      <c r="P713" s="10" t="n"/>
      <c r="Q713" s="10" t="n"/>
      <c r="R713" s="10" t="n"/>
      <c r="S713" s="10" t="n"/>
    </row>
    <row r="714" ht="318" customHeight="1">
      <c r="A714" s="6">
        <f>IFERROR(__xludf.DUMMYFUNCTION("""COMPUTED_VALUE"""),"Why I don't prefer vinegar on my fries")</f>
        <v/>
      </c>
      <c r="B714" s="6">
        <f>IFERROR(__xludf.DUMMYFUNCTION("""COMPUTED_VALUE"""),"Application")</f>
        <v/>
      </c>
      <c r="C714" s="6">
        <f>IFERROR(__xludf.DUMMYFUNCTION("""COMPUTED_VALUE"""),"Input Box")</f>
        <v/>
      </c>
      <c r="D714" s="7">
        <f>IFERROR(__xludf.DUMMYFUNCTION("""COMPUTED_VALUE"""),"No task description")</f>
        <v/>
      </c>
      <c r="E71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4" s="7" t="inlineStr">
        <is>
          <t>Students are instructed to design and conduct experiments on CaCO3 reaction with HCl. Embedded artifacts include a YouTube video and the Golabz app/lab for note-taking and collaboration.</t>
        </is>
      </c>
      <c r="G714" s="8" t="n"/>
      <c r="H714" s="8" t="n"/>
      <c r="I714" s="8" t="n"/>
      <c r="J714" s="8" t="n"/>
      <c r="K714" s="9" t="n"/>
      <c r="L714" s="9" t="n"/>
      <c r="M714" s="9" t="n"/>
      <c r="N714" s="9" t="n"/>
      <c r="O714" s="10" t="n"/>
      <c r="P714" s="10" t="n"/>
      <c r="Q714" s="10" t="n"/>
      <c r="R714" s="10" t="n"/>
      <c r="S714" s="10" t="n"/>
    </row>
    <row r="715" ht="169" customHeight="1">
      <c r="A715" s="6">
        <f>IFERROR(__xludf.DUMMYFUNCTION("""COMPUTED_VALUE"""),"Why I don't prefer vinegar on my fries")</f>
        <v/>
      </c>
      <c r="B715" s="6">
        <f>IFERROR(__xludf.DUMMYFUNCTION("""COMPUTED_VALUE"""),"Resource")</f>
        <v/>
      </c>
      <c r="C715" s="6">
        <f>IFERROR(__xludf.DUMMYFUNCTION("""COMPUTED_VALUE"""),"5th.graasp")</f>
        <v/>
      </c>
      <c r="D715" s="7">
        <f>IFERROR(__xludf.DUMMYFUNCTION("""COMPUTED_VALUE"""),"&lt;p&gt;Complete your experiment and record it as a video lasting no more than 2 minutes. Upload your video below&lt;/p&gt;")</f>
        <v/>
      </c>
      <c r="E715" s="7">
        <f>IFERROR(__xludf.DUMMYFUNCTION("""COMPUTED_VALUE"""),"No artifact embedded")</f>
        <v/>
      </c>
      <c r="F715" s="7" t="inlineStr">
        <is>
          <t>Students design an experiment to measure HCl's effect on CaCO3, submit their procedure, conduct the experiment, and record a 2-minute video. Embedded artifacts include the Golabz app/lab for note-taking.</t>
        </is>
      </c>
      <c r="G715" s="8" t="n"/>
      <c r="H715" s="8" t="n"/>
      <c r="I715" s="8" t="n"/>
      <c r="J715" s="8" t="n"/>
      <c r="K715" s="9" t="n"/>
      <c r="L715" s="9" t="n"/>
      <c r="M715" s="9" t="n"/>
      <c r="N715" s="9" t="n"/>
      <c r="O715" s="10" t="n"/>
      <c r="P715" s="10" t="n"/>
      <c r="Q715" s="10" t="n"/>
      <c r="R715" s="10" t="n"/>
      <c r="S715" s="10" t="n"/>
    </row>
    <row r="716" ht="157" customHeight="1">
      <c r="A716" s="6">
        <f>IFERROR(__xludf.DUMMYFUNCTION("""COMPUTED_VALUE"""),"Why I don't prefer vinegar on my fries")</f>
        <v/>
      </c>
      <c r="B716" s="6">
        <f>IFERROR(__xludf.DUMMYFUNCTION("""COMPUTED_VALUE"""),"Application")</f>
        <v/>
      </c>
      <c r="C716" s="6">
        <f>IFERROR(__xludf.DUMMYFUNCTION("""COMPUTED_VALUE"""),"File Drop")</f>
        <v/>
      </c>
      <c r="D716" s="7">
        <f>IFERROR(__xludf.DUMMYFUNCTION("""COMPUTED_VALUE"""),"No task description")</f>
        <v/>
      </c>
      <c r="E716" s="7">
        <f>IFERROR(__xludf.DUMMYFUNCTION("""COMPUTED_VALUE"""),"Golabz app/lab: ""&lt;p&gt;This app allows students to upload files, e.g., assignment and reports, to the Inquiry learning Space. The app also allows teachers to download the uploaded files.&lt;/p&gt;\r\n""")</f>
        <v/>
      </c>
      <c r="F716" s="7" t="inlineStr">
        <is>
          <t>Students were given tasks with varying instructions and tools, including note-taking apps and video uploads, with some tasks lacking descriptions.</t>
        </is>
      </c>
      <c r="G716" s="8" t="n"/>
      <c r="H716" s="8" t="n"/>
      <c r="I716" s="8" t="n"/>
      <c r="J716" s="8" t="n"/>
      <c r="K716" s="9" t="n"/>
      <c r="L716" s="9" t="n"/>
      <c r="M716" s="9" t="n"/>
      <c r="N716" s="9" t="n"/>
      <c r="O716" s="10" t="n"/>
      <c r="P716" s="10" t="n"/>
      <c r="Q716" s="10" t="n"/>
      <c r="R716" s="10" t="n"/>
      <c r="S716" s="10" t="n"/>
    </row>
    <row r="717" ht="121" customHeight="1">
      <c r="A717" s="6">
        <f>IFERROR(__xludf.DUMMYFUNCTION("""COMPUTED_VALUE"""),"Why I don't prefer vinegar on my fries")</f>
        <v/>
      </c>
      <c r="B717" s="6">
        <f>IFERROR(__xludf.DUMMYFUNCTION("""COMPUTED_VALUE"""),"Resource")</f>
        <v/>
      </c>
      <c r="C717" s="6">
        <f>IFERROR(__xludf.DUMMYFUNCTION("""COMPUTED_VALUE"""),"6th.graasp")</f>
        <v/>
      </c>
      <c r="D717" s="7">
        <f>IFERROR(__xludf.DUMMYFUNCTION("""COMPUTED_VALUE"""),"&lt;p&gt;Record your data into the table and then capture the screen and post it into Padlet along with your conclusion&lt;/p&gt;")</f>
        <v/>
      </c>
      <c r="E717" s="7">
        <f>IFERROR(__xludf.DUMMYFUNCTION("""COMPUTED_VALUE"""),"No artifact embedded")</f>
        <v/>
      </c>
      <c r="F717" s="7" t="inlineStr">
        <is>
          <t>Students were instructed to complete experiments, record videos, and upload files. Embedded artifacts include the Golabz app for file uploads.</t>
        </is>
      </c>
      <c r="G717" s="8" t="n"/>
      <c r="H717" s="8" t="n"/>
      <c r="I717" s="8" t="n"/>
      <c r="J717" s="8" t="n"/>
      <c r="K717" s="9" t="n"/>
      <c r="L717" s="9" t="n"/>
      <c r="M717" s="9" t="n"/>
      <c r="N717" s="9" t="n"/>
      <c r="O717" s="10" t="n"/>
      <c r="P717" s="10" t="n"/>
      <c r="Q717" s="10" t="n"/>
      <c r="R717" s="10" t="n"/>
      <c r="S717" s="10" t="n"/>
    </row>
    <row r="718" ht="409.6" customHeight="1">
      <c r="A718" s="6">
        <f>IFERROR(__xludf.DUMMYFUNCTION("""COMPUTED_VALUE"""),"Why I don't prefer vinegar on my fries")</f>
        <v/>
      </c>
      <c r="B718" s="6">
        <f>IFERROR(__xludf.DUMMYFUNCTION("""COMPUTED_VALUE"""),"Application")</f>
        <v/>
      </c>
      <c r="C718" s="6">
        <f>IFERROR(__xludf.DUMMYFUNCTION("""COMPUTED_VALUE"""),"Table tool")</f>
        <v/>
      </c>
      <c r="D718" s="7">
        <f>IFERROR(__xludf.DUMMYFUNCTION("""COMPUTED_VALUE"""),"No task description")</f>
        <v/>
      </c>
      <c r="E71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718" s="7" t="inlineStr">
        <is>
          <t>Students received task descriptions and used Golabz app/lab with various tools for data entry, tables, and file uploads.</t>
        </is>
      </c>
      <c r="G718" s="8" t="n"/>
      <c r="H718" s="8" t="n"/>
      <c r="I718" s="8" t="n"/>
      <c r="J718" s="8" t="n"/>
      <c r="K718" s="9" t="n"/>
      <c r="L718" s="9" t="n"/>
      <c r="M718" s="9" t="n"/>
      <c r="N718" s="9" t="n"/>
      <c r="O718" s="10" t="n"/>
      <c r="P718" s="10" t="n"/>
      <c r="Q718" s="10" t="n"/>
      <c r="R718" s="10" t="n"/>
      <c r="S718" s="10" t="n"/>
    </row>
    <row r="719" ht="318" customHeight="1">
      <c r="A719" s="6">
        <f>IFERROR(__xludf.DUMMYFUNCTION("""COMPUTED_VALUE"""),"Why I don't prefer vinegar on my fries")</f>
        <v/>
      </c>
      <c r="B719" s="6">
        <f>IFERROR(__xludf.DUMMYFUNCTION("""COMPUTED_VALUE"""),"Application")</f>
        <v/>
      </c>
      <c r="C719" s="6">
        <f>IFERROR(__xludf.DUMMYFUNCTION("""COMPUTED_VALUE"""),"Input Box (1)")</f>
        <v/>
      </c>
      <c r="D719" s="7">
        <f>IFERROR(__xludf.DUMMYFUNCTION("""COMPUTED_VALUE"""),"&lt;p&gt;Review your video and write down your observations. &lt;/p&gt;&lt;p&gt;&lt;br&gt;&lt;/p&gt;")</f>
        <v/>
      </c>
      <c r="E71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9" s="7" t="inlineStr">
        <is>
          <t>Students record data, capture screens, and post conclusions. Embedded artifacts include Golabz table and input box tools for data entry and note-taking.</t>
        </is>
      </c>
      <c r="G719" s="8" t="n"/>
      <c r="H719" s="8" t="n"/>
      <c r="I719" s="8" t="n"/>
      <c r="J719" s="8" t="n"/>
      <c r="K719" s="9" t="n"/>
      <c r="L719" s="9" t="n"/>
      <c r="M719" s="9" t="n"/>
      <c r="N719" s="9" t="n"/>
      <c r="O719" s="10" t="n"/>
      <c r="P719" s="10" t="n"/>
      <c r="Q719" s="10" t="n"/>
      <c r="R719" s="10" t="n"/>
      <c r="S719" s="10" t="n"/>
    </row>
    <row r="720" ht="121" customHeight="1">
      <c r="A720" s="6">
        <f>IFERROR(__xludf.DUMMYFUNCTION("""COMPUTED_VALUE"""),"Why I don't prefer vinegar on my fries")</f>
        <v/>
      </c>
      <c r="B720" s="6">
        <f>IFERROR(__xludf.DUMMYFUNCTION("""COMPUTED_VALUE"""),"Space")</f>
        <v/>
      </c>
      <c r="C720" s="6">
        <f>IFERROR(__xludf.DUMMYFUNCTION("""COMPUTED_VALUE"""),"Conclusion")</f>
        <v/>
      </c>
      <c r="D720" s="7">
        <f>IFERROR(__xludf.DUMMYFUNCTION("""COMPUTED_VALUE"""),"&lt;p&gt;Use the conclusion App to to share your conclusions and data with the class. Your conclusion should take into account your original hypothesis. &lt;/p&gt;")</f>
        <v/>
      </c>
      <c r="E720" s="7">
        <f>IFERROR(__xludf.DUMMYFUNCTION("""COMPUTED_VALUE"""),"No artifact embedded")</f>
        <v/>
      </c>
      <c r="F720" s="7" t="inlineStr">
        <is>
          <t>Students received task descriptions and used Golabz apps, such as Table tool and Input box, with optional collaboration mode.</t>
        </is>
      </c>
      <c r="G720" s="8" t="n"/>
      <c r="H720" s="8" t="n"/>
      <c r="I720" s="8" t="n"/>
      <c r="J720" s="8" t="n"/>
      <c r="K720" s="9" t="n"/>
      <c r="L720" s="9" t="n"/>
      <c r="M720" s="9" t="n"/>
      <c r="N720" s="9" t="n"/>
      <c r="O720" s="10" t="n"/>
      <c r="P720" s="10" t="n"/>
      <c r="Q720" s="10" t="n"/>
      <c r="R720" s="10" t="n"/>
      <c r="S720" s="10" t="n"/>
    </row>
    <row r="721" ht="409.6" customHeight="1">
      <c r="A721" s="6">
        <f>IFERROR(__xludf.DUMMYFUNCTION("""COMPUTED_VALUE"""),"Why I don't prefer vinegar on my fries")</f>
        <v/>
      </c>
      <c r="B721" s="6">
        <f>IFERROR(__xludf.DUMMYFUNCTION("""COMPUTED_VALUE"""),"Application")</f>
        <v/>
      </c>
      <c r="C721" s="6">
        <f>IFERROR(__xludf.DUMMYFUNCTION("""COMPUTED_VALUE"""),"Conclusion Tool")</f>
        <v/>
      </c>
      <c r="D721" s="7">
        <f>IFERROR(__xludf.DUMMYFUNCTION("""COMPUTED_VALUE"""),"No task description")</f>
        <v/>
      </c>
      <c r="E72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21" s="7" t="inlineStr">
        <is>
          <t>Students review a video, write observations, and share conclusions. Embedded artifacts include note-taking and conclusion tools in Golabz app/lab.</t>
        </is>
      </c>
      <c r="G721" s="8" t="n"/>
      <c r="H721" s="8" t="n"/>
      <c r="I721" s="8" t="n"/>
      <c r="J721" s="8" t="n"/>
      <c r="K721" s="9" t="n"/>
      <c r="L721" s="9" t="n"/>
      <c r="M721" s="9" t="n"/>
      <c r="N721" s="9" t="n"/>
      <c r="O721" s="10" t="n"/>
      <c r="P721" s="10" t="n"/>
      <c r="Q721" s="10" t="n"/>
      <c r="R721" s="10" t="n"/>
      <c r="S721" s="10" t="n"/>
    </row>
    <row r="722" ht="409.6" customHeight="1">
      <c r="A722" s="6">
        <f>IFERROR(__xludf.DUMMYFUNCTION("""COMPUTED_VALUE"""),"Why I don't prefer vinegar on my fries")</f>
        <v/>
      </c>
      <c r="B722" s="6">
        <f>IFERROR(__xludf.DUMMYFUNCTION("""COMPUTED_VALUE"""),"Space")</f>
        <v/>
      </c>
      <c r="C722" s="6">
        <f>IFERROR(__xludf.DUMMYFUNCTION("""COMPUTED_VALUE"""),"Discussion")</f>
        <v/>
      </c>
      <c r="D722" s="7">
        <f>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
      </c>
      <c r="E722" s="7">
        <f>IFERROR(__xludf.DUMMYFUNCTION("""COMPUTED_VALUE"""),"No artifact embedded")</f>
        <v/>
      </c>
      <c r="F722" s="7" t="inlineStr">
        <is>
          <t>Students share conclusions using apps, considering original hypotheses and data, with optional configuration and discussion on Padlet.</t>
        </is>
      </c>
      <c r="G722" s="8" t="n"/>
      <c r="H722" s="8" t="n"/>
      <c r="I722" s="8" t="n"/>
      <c r="J722" s="8" t="n"/>
      <c r="K722" s="9" t="n"/>
      <c r="L722" s="9" t="n"/>
      <c r="M722" s="9" t="n"/>
      <c r="N722" s="9" t="n"/>
      <c r="O722" s="10" t="n"/>
      <c r="P722" s="10" t="n"/>
      <c r="Q722" s="10" t="n"/>
      <c r="R722" s="10" t="n"/>
      <c r="S722" s="10" t="n"/>
    </row>
    <row r="723" ht="109" customHeight="1">
      <c r="A723" s="6">
        <f>IFERROR(__xludf.DUMMYFUNCTION("""COMPUTED_VALUE"""),"Why I don't prefer vinegar on my fries")</f>
        <v/>
      </c>
      <c r="B723" s="6">
        <f>IFERROR(__xludf.DUMMYFUNCTION("""COMPUTED_VALUE"""),"Application")</f>
        <v/>
      </c>
      <c r="C723" s="6">
        <f>IFERROR(__xludf.DUMMYFUNCTION("""COMPUTED_VALUE"""),"Padlet")</f>
        <v/>
      </c>
      <c r="D723" s="7">
        <f>IFERROR(__xludf.DUMMYFUNCTION("""COMPUTED_VALUE"""),"No task description")</f>
        <v/>
      </c>
      <c r="E723" s="7">
        <f>IFERROR(__xludf.DUMMYFUNCTION("""COMPUTED_VALUE"""),"Golabz app/lab: Wrong URL. Impossible to access it")</f>
        <v/>
      </c>
      <c r="F723" s="7" t="inlineStr">
        <is>
          <t>Students received tasks and used tools like Golabz and Padlet to analyze data, discuss investigations, and validate hypotheses.</t>
        </is>
      </c>
      <c r="G723" s="8" t="n"/>
      <c r="H723" s="8" t="n"/>
      <c r="I723" s="8" t="n"/>
      <c r="J723" s="8" t="n"/>
      <c r="K723" s="9" t="n"/>
      <c r="L723" s="9" t="n"/>
      <c r="M723" s="9" t="n"/>
      <c r="N723" s="9" t="n"/>
      <c r="O723" s="10" t="n"/>
      <c r="P723" s="10" t="n"/>
      <c r="Q723" s="10" t="n"/>
      <c r="R723" s="10" t="n"/>
      <c r="S723" s="10" t="n"/>
    </row>
    <row r="724" ht="296" customHeight="1">
      <c r="A724" s="6">
        <f>IFERROR(__xludf.DUMMYFUNCTION("""COMPUTED_VALUE"""),"Electrical Circuits (Cooperative Jigsaw Scenario)")</f>
        <v/>
      </c>
      <c r="B724" s="6">
        <f>IFERROR(__xludf.DUMMYFUNCTION("""COMPUTED_VALUE"""),"Space")</f>
        <v/>
      </c>
      <c r="C724" s="6">
        <f>IFERROR(__xludf.DUMMYFUNCTION("""COMPUTED_VALUE"""),"Orientation")</f>
        <v/>
      </c>
      <c r="D724" s="7">
        <f>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
      </c>
      <c r="E724" s="7">
        <f>IFERROR(__xludf.DUMMYFUNCTION("""COMPUTED_VALUE"""),"No artifact embedded")</f>
        <v/>
      </c>
      <c r="F724" s="7" t="inlineStr">
        <is>
          <t>Students discuss investigation results, modify hypotheses, and research the Earth's systems. Embedded artifacts include Padlet discussions, videos, and images, but no other items have accessible links or embedded content.</t>
        </is>
      </c>
      <c r="G724" s="8" t="n"/>
      <c r="H724" s="8" t="n"/>
      <c r="I724" s="8" t="n"/>
      <c r="J724" s="8" t="n"/>
      <c r="K724" s="9" t="n"/>
      <c r="L724" s="9" t="n"/>
      <c r="M724" s="9" t="n"/>
      <c r="N724" s="9" t="n"/>
      <c r="O724" s="10" t="n"/>
      <c r="P724" s="10" t="n"/>
      <c r="Q724" s="10" t="n"/>
      <c r="R724" s="10" t="n"/>
      <c r="S724" s="10" t="n"/>
    </row>
    <row r="725" ht="263" customHeight="1">
      <c r="A725" s="6">
        <f>IFERROR(__xludf.DUMMYFUNCTION("""COMPUTED_VALUE"""),"Electrical Circuits (Cooperative Jigsaw Scenario)")</f>
        <v/>
      </c>
      <c r="B725" s="6">
        <f>IFERROR(__xludf.DUMMYFUNCTION("""COMPUTED_VALUE"""),"Resource")</f>
        <v/>
      </c>
      <c r="C725" s="6">
        <f>IFERROR(__xludf.DUMMYFUNCTION("""COMPUTED_VALUE"""),"Battery-wire-bulb.png")</f>
        <v/>
      </c>
      <c r="D725" s="7">
        <f>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
      </c>
      <c r="E725" s="7">
        <f>IFERROR(__xludf.DUMMYFUNCTION("""COMPUTED_VALUE"""),"image/png – A high-quality image with support for transparency, often used in design and web applications.")</f>
        <v/>
      </c>
      <c r="F725" s="7" t="inlineStr">
        <is>
          <t>Students work in groups on electrical circuits, following instructions and seeking teacher support. Embedded artifacts include a problematic URL, no artifact, and a PNG image.</t>
        </is>
      </c>
      <c r="G725" s="8" t="n"/>
      <c r="H725" s="8" t="n"/>
      <c r="I725" s="8" t="n"/>
      <c r="J725" s="8" t="n"/>
      <c r="K725" s="9" t="n"/>
      <c r="L725" s="9" t="n"/>
      <c r="M725" s="9" t="n"/>
      <c r="N725" s="9" t="n"/>
      <c r="O725" s="10" t="n"/>
      <c r="P725" s="10" t="n"/>
      <c r="Q725" s="10" t="n"/>
      <c r="R725" s="10" t="n"/>
      <c r="S725" s="10" t="n"/>
    </row>
    <row r="726" ht="318" customHeight="1">
      <c r="A726" s="6">
        <f>IFERROR(__xludf.DUMMYFUNCTION("""COMPUTED_VALUE"""),"Electrical Circuits (Cooperative Jigsaw Scenario)")</f>
        <v/>
      </c>
      <c r="B726" s="6">
        <f>IFERROR(__xludf.DUMMYFUNCTION("""COMPUTED_VALUE"""),"Application")</f>
        <v/>
      </c>
      <c r="C726" s="6">
        <f>IFERROR(__xludf.DUMMYFUNCTION("""COMPUTED_VALUE"""),"Input Box")</f>
        <v/>
      </c>
      <c r="D726" s="7">
        <f>IFERROR(__xludf.DUMMYFUNCTION("""COMPUTED_VALUE"""),"&lt;p&gt;Our group definition of the electrical circuit: &lt;/p&gt;")</f>
        <v/>
      </c>
      <c r="E7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6" s="7" t="inlineStr">
        <is>
          <t>Students work in groups to learn about electrical circuits, following instructions and asking teachers for support when needed, with embedded artifacts including images and interactive apps like Golabz.</t>
        </is>
      </c>
      <c r="G726" s="8" t="n"/>
      <c r="H726" s="8" t="n"/>
      <c r="I726" s="8" t="n"/>
      <c r="J726" s="8" t="n"/>
      <c r="K726" s="9" t="n"/>
      <c r="L726" s="9" t="n"/>
      <c r="M726" s="9" t="n"/>
      <c r="N726" s="9" t="n"/>
      <c r="O726" s="10" t="n"/>
      <c r="P726" s="10" t="n"/>
      <c r="Q726" s="10" t="n"/>
      <c r="R726" s="10" t="n"/>
      <c r="S726" s="10" t="n"/>
    </row>
    <row r="727" ht="409.6" customHeight="1">
      <c r="A727" s="6">
        <f>IFERROR(__xludf.DUMMYFUNCTION("""COMPUTED_VALUE"""),"Electrical Circuits (Cooperative Jigsaw Scenario)")</f>
        <v/>
      </c>
      <c r="B727" s="6">
        <f>IFERROR(__xludf.DUMMYFUNCTION("""COMPUTED_VALUE"""),"Resource")</f>
        <v/>
      </c>
      <c r="C727" s="6">
        <f>IFERROR(__xludf.DUMMYFUNCTION("""COMPUTED_VALUE"""),"Read the following text to check if your definition is in line with the scientific definition of the electrical circuit.graasp")</f>
        <v/>
      </c>
      <c r="D727" s="7">
        <f>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
      </c>
      <c r="E727" s="7">
        <f>IFERROR(__xludf.DUMMYFUNCTION("""COMPUTED_VALUE"""),"No artifact embedded")</f>
        <v/>
      </c>
      <c r="F727" s="7" t="inlineStr">
        <is>
          <t>Students create and test simple electrical circuits, then write operational definitions. Embedded artifacts include images and interactive apps for note-taking and collaboration.</t>
        </is>
      </c>
      <c r="G727" s="8" t="n"/>
      <c r="H727" s="8" t="n"/>
      <c r="I727" s="8" t="n"/>
      <c r="J727" s="8" t="n"/>
      <c r="K727" s="9" t="n"/>
      <c r="L727" s="9" t="n"/>
      <c r="M727" s="9" t="n"/>
      <c r="N727" s="9" t="n"/>
      <c r="O727" s="10" t="n"/>
      <c r="P727" s="10" t="n"/>
      <c r="Q727" s="10" t="n"/>
      <c r="R727" s="10" t="n"/>
      <c r="S727" s="10" t="n"/>
    </row>
    <row r="728" ht="121" customHeight="1">
      <c r="A728" s="6">
        <f>IFERROR(__xludf.DUMMYFUNCTION("""COMPUTED_VALUE"""),"Electrical Circuits (Cooperative Jigsaw Scenario)")</f>
        <v/>
      </c>
      <c r="B728" s="6">
        <f>IFERROR(__xludf.DUMMYFUNCTION("""COMPUTED_VALUE"""),"Resource")</f>
        <v/>
      </c>
      <c r="C728" s="6">
        <f>IFERROR(__xludf.DUMMYFUNCTION("""COMPUTED_VALUE"""),"Types of Electrical Circuits")</f>
        <v/>
      </c>
      <c r="D728" s="7">
        <f>IFERROR(__xludf.DUMMYFUNCTION("""COMPUTED_VALUE"""),"&lt;p&gt;&lt;strong&gt;Step 2&lt;/strong&gt;&lt;/p&gt;&lt;p&gt;Watch the following video to learn more about the type of electrical circuits.&lt;/p&gt;")</f>
        <v/>
      </c>
      <c r="E728" s="7">
        <f>IFERROR(__xludf.DUMMYFUNCTION("""COMPUTED_VALUE"""),"youtube.com: A widely known video-sharing platform where users can watch videos on a vast array of topics, including educational content.")</f>
        <v/>
      </c>
      <c r="F728" s="7" t="inlineStr">
        <is>
          <t>Students were instructed on simple electrical circuits and used embedded artifacts like Golabz app and YouTube for learning.</t>
        </is>
      </c>
      <c r="G728" s="8" t="n"/>
      <c r="H728" s="8" t="n"/>
      <c r="I728" s="8" t="n"/>
      <c r="J728" s="8" t="n"/>
      <c r="K728" s="9" t="n"/>
      <c r="L728" s="9" t="n"/>
      <c r="M728" s="9" t="n"/>
      <c r="N728" s="9" t="n"/>
      <c r="O728" s="10" t="n"/>
      <c r="P728" s="10" t="n"/>
      <c r="Q728" s="10" t="n"/>
      <c r="R728" s="10" t="n"/>
      <c r="S728" s="10" t="n"/>
    </row>
    <row r="729" ht="409.6" customHeight="1">
      <c r="A729" s="6">
        <f>IFERROR(__xludf.DUMMYFUNCTION("""COMPUTED_VALUE"""),"Electrical Circuits (Cooperative Jigsaw Scenario)")</f>
        <v/>
      </c>
      <c r="B729" s="6">
        <f>IFERROR(__xludf.DUMMYFUNCTION("""COMPUTED_VALUE"""),"Application")</f>
        <v/>
      </c>
      <c r="C729" s="6">
        <f>IFERROR(__xludf.DUMMYFUNCTION("""COMPUTED_VALUE"""),"Electrical Circuit Lab")</f>
        <v/>
      </c>
      <c r="D729" s="7">
        <f>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
      </c>
      <c r="E729"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29" s="7" t="inlineStr">
        <is>
          <t>Instructions: Create simple electrical circuits. Artifacts: video, virtual lab (Golabz app).</t>
        </is>
      </c>
      <c r="G729" s="8" t="n"/>
      <c r="H729" s="8" t="n"/>
      <c r="I729" s="8" t="n"/>
      <c r="J729" s="8" t="n"/>
      <c r="K729" s="9" t="n"/>
      <c r="L729" s="9" t="n"/>
      <c r="M729" s="9" t="n"/>
      <c r="N729" s="9" t="n"/>
      <c r="O729" s="10" t="n"/>
      <c r="P729" s="10" t="n"/>
      <c r="Q729" s="10" t="n"/>
      <c r="R729" s="10" t="n"/>
      <c r="S729" s="10" t="n"/>
    </row>
    <row r="730" ht="133" customHeight="1">
      <c r="A730" s="6">
        <f>IFERROR(__xludf.DUMMYFUNCTION("""COMPUTED_VALUE"""),"Electrical Circuits (Cooperative Jigsaw Scenario)")</f>
        <v/>
      </c>
      <c r="B730" s="6">
        <f>IFERROR(__xludf.DUMMYFUNCTION("""COMPUTED_VALUE"""),"Resource")</f>
        <v/>
      </c>
      <c r="C730" s="6">
        <f>IFERROR(__xludf.DUMMYFUNCTION("""COMPUTED_VALUE"""),"End of the phase.graasp")</f>
        <v/>
      </c>
      <c r="D730" s="7">
        <f>IFERROR(__xludf.DUMMYFUNCTION("""COMPUTED_VALUE"""),"&lt;p style=""text-align: center;""&gt;&lt;strong&gt;If all the members of your group are familiar with the Electrical circuit lab then move to the next phase.&lt;/strong&gt;&lt;/p&gt;")</f>
        <v/>
      </c>
      <c r="E730" s="7">
        <f>IFERROR(__xludf.DUMMYFUNCTION("""COMPUTED_VALUE"""),"No artifact embedded")</f>
        <v/>
      </c>
      <c r="F730" s="7" t="inlineStr">
        <is>
          <t>Students watch a video, conduct experiments on electrical circuits using Golabz app/lab, and create circuits in collaboration with peers.</t>
        </is>
      </c>
      <c r="G730" s="8" t="n"/>
      <c r="H730" s="8" t="n"/>
      <c r="I730" s="8" t="n"/>
      <c r="J730" s="8" t="n"/>
      <c r="K730" s="9" t="n"/>
      <c r="L730" s="9" t="n"/>
      <c r="M730" s="9" t="n"/>
      <c r="N730" s="9" t="n"/>
      <c r="O730" s="10" t="n"/>
      <c r="P730" s="10" t="n"/>
      <c r="Q730" s="10" t="n"/>
      <c r="R730" s="10" t="n"/>
      <c r="S730" s="10" t="n"/>
    </row>
    <row r="731" ht="409.6" customHeight="1">
      <c r="A731" s="6">
        <f>IFERROR(__xludf.DUMMYFUNCTION("""COMPUTED_VALUE"""),"Electrical Circuits (Cooperative Jigsaw Scenario)")</f>
        <v/>
      </c>
      <c r="B731" s="6">
        <f>IFERROR(__xludf.DUMMYFUNCTION("""COMPUTED_VALUE"""),"Space")</f>
        <v/>
      </c>
      <c r="C731" s="6">
        <f>IFERROR(__xludf.DUMMYFUNCTION("""COMPUTED_VALUE"""),"Hypothesis")</f>
        <v/>
      </c>
      <c r="D731" s="7">
        <f>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
      </c>
      <c r="E731" s="7">
        <f>IFERROR(__xludf.DUMMYFUNCTION("""COMPUTED_VALUE"""),"No artifact embedded")</f>
        <v/>
      </c>
      <c r="F731" s="7" t="inlineStr">
        <is>
          <t>Students create circuits, conduct experiments, and formulate hypotheses in collaboration with peers using the Golabz app's Electrical Circuit Lab.</t>
        </is>
      </c>
      <c r="G731" s="8" t="n"/>
      <c r="H731" s="8" t="n"/>
      <c r="I731" s="8" t="n"/>
      <c r="J731" s="8" t="n"/>
      <c r="K731" s="9" t="n"/>
      <c r="L731" s="9" t="n"/>
      <c r="M731" s="9" t="n"/>
      <c r="N731" s="9" t="n"/>
      <c r="O731" s="10" t="n"/>
      <c r="P731" s="10" t="n"/>
      <c r="Q731" s="10" t="n"/>
      <c r="R731" s="10" t="n"/>
      <c r="S731" s="10" t="n"/>
    </row>
    <row r="732" ht="340" customHeight="1">
      <c r="A732" s="6">
        <f>IFERROR(__xludf.DUMMYFUNCTION("""COMPUTED_VALUE"""),"Electrical Circuits (Cooperative Jigsaw Scenario)")</f>
        <v/>
      </c>
      <c r="B732" s="6">
        <f>IFERROR(__xludf.DUMMYFUNCTION("""COMPUTED_VALUE"""),"Application")</f>
        <v/>
      </c>
      <c r="C732" s="6">
        <f>IFERROR(__xludf.DUMMYFUNCTION("""COMPUTED_VALUE"""),"Input Box")</f>
        <v/>
      </c>
      <c r="D732" s="7">
        <f>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
      </c>
      <c r="E7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32" s="7" t="inlineStr">
        <is>
          <t>Students discuss electrical circuits, formulate hypotheses, and take notes using the Golabz app/lab, with no embedded artifacts in Items 1 and 2.</t>
        </is>
      </c>
      <c r="G732" s="8" t="n"/>
      <c r="H732" s="8" t="n"/>
      <c r="I732" s="8" t="n"/>
      <c r="J732" s="8" t="n"/>
      <c r="K732" s="9" t="n"/>
      <c r="L732" s="9" t="n"/>
      <c r="M732" s="9" t="n"/>
      <c r="N732" s="9" t="n"/>
      <c r="O732" s="10" t="n"/>
      <c r="P732" s="10" t="n"/>
      <c r="Q732" s="10" t="n"/>
      <c r="R732" s="10" t="n"/>
      <c r="S732" s="10" t="n"/>
    </row>
    <row r="733" ht="409.6" customHeight="1">
      <c r="A733" s="6">
        <f>IFERROR(__xludf.DUMMYFUNCTION("""COMPUTED_VALUE"""),"Electrical Circuits (Cooperative Jigsaw Scenario)")</f>
        <v/>
      </c>
      <c r="B733" s="6">
        <f>IFERROR(__xludf.DUMMYFUNCTION("""COMPUTED_VALUE"""),"Resource")</f>
        <v/>
      </c>
      <c r="C733" s="6">
        <f>IFERROR(__xludf.DUMMYFUNCTION("""COMPUTED_VALUE"""),"Table.graasp")</f>
        <v/>
      </c>
      <c r="D733" s="7">
        <f>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
      </c>
      <c r="E733" s="7">
        <f>IFERROR(__xludf.DUMMYFUNCTION("""COMPUTED_VALUE"""),"No artifact embedded")</f>
        <v/>
      </c>
      <c r="F733" s="7" t="inlineStr">
        <is>
          <t>Students discuss circuit-related questions, write down main concepts, and split tasks among group members, using tools like the Golabz app/lab for note-taking and collaboration.</t>
        </is>
      </c>
      <c r="G733" s="8" t="n"/>
      <c r="H733" s="8" t="n"/>
      <c r="I733" s="8" t="n"/>
      <c r="J733" s="8" t="n"/>
      <c r="K733" s="9" t="n"/>
      <c r="L733" s="9" t="n"/>
      <c r="M733" s="9" t="n"/>
      <c r="N733" s="9" t="n"/>
      <c r="O733" s="10" t="n"/>
      <c r="P733" s="10" t="n"/>
      <c r="Q733" s="10" t="n"/>
      <c r="R733" s="10" t="n"/>
      <c r="S733" s="10" t="n"/>
    </row>
    <row r="734" ht="409.6" customHeight="1">
      <c r="A734" s="6">
        <f>IFERROR(__xludf.DUMMYFUNCTION("""COMPUTED_VALUE"""),"Electrical Circuits (Cooperative Jigsaw Scenario)")</f>
        <v/>
      </c>
      <c r="B734" s="6">
        <f>IFERROR(__xludf.DUMMYFUNCTION("""COMPUTED_VALUE"""),"Resource")</f>
        <v/>
      </c>
      <c r="C734" s="6">
        <f>IFERROR(__xludf.DUMMYFUNCTION("""COMPUTED_VALUE"""),"Step 4.graasp")</f>
        <v/>
      </c>
      <c r="D734" s="7">
        <f>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
      </c>
      <c r="E734" s="7">
        <f>IFERROR(__xludf.DUMMYFUNCTION("""COMPUTED_VALUE"""),"No artifact embedded")</f>
        <v/>
      </c>
      <c r="F734" s="7" t="inlineStr">
        <is>
          <t>Students write main concepts related to electrical circuits and collaborate in groups to discuss tasks, formulate hypotheses, and communicate through online chat rooms and tools.</t>
        </is>
      </c>
      <c r="G734" s="8" t="n"/>
      <c r="H734" s="8" t="n"/>
      <c r="I734" s="8" t="n"/>
      <c r="J734" s="8" t="n"/>
      <c r="K734" s="9" t="n"/>
      <c r="L734" s="9" t="n"/>
      <c r="M734" s="9" t="n"/>
      <c r="N734" s="9" t="n"/>
      <c r="O734" s="10" t="n"/>
      <c r="P734" s="10" t="n"/>
      <c r="Q734" s="10" t="n"/>
      <c r="R734" s="10" t="n"/>
      <c r="S734" s="10" t="n"/>
    </row>
    <row r="735" ht="409.6" customHeight="1">
      <c r="A735" s="6">
        <f>IFERROR(__xludf.DUMMYFUNCTION("""COMPUTED_VALUE"""),"Electrical Circuits (Cooperative Jigsaw Scenario)")</f>
        <v/>
      </c>
      <c r="B735" s="6">
        <f>IFERROR(__xludf.DUMMYFUNCTION("""COMPUTED_VALUE"""),"Resource")</f>
        <v/>
      </c>
      <c r="C735" s="6">
        <f>IFERROR(__xludf.DUMMYFUNCTION("""COMPUTED_VALUE"""),"Help.graasp")</f>
        <v/>
      </c>
      <c r="D735" s="7">
        <f>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
      </c>
      <c r="E735" s="7">
        <f>IFERROR(__xludf.DUMMYFUNCTION("""COMPUTED_VALUE"""),"No artifact embedded")</f>
        <v/>
      </c>
      <c r="F735" s="7" t="inlineStr">
        <is>
          <t>Students are instructed to split tasks, collaborate online, and formulate hypotheses in expert groups using given tools, with no artifacts embedded.</t>
        </is>
      </c>
      <c r="G735" s="8" t="n"/>
      <c r="H735" s="8" t="n"/>
      <c r="I735" s="8" t="n"/>
      <c r="J735" s="8" t="n"/>
      <c r="K735" s="9" t="n"/>
      <c r="L735" s="9" t="n"/>
      <c r="M735" s="9" t="n"/>
      <c r="N735" s="9" t="n"/>
      <c r="O735" s="10" t="n"/>
      <c r="P735" s="10" t="n"/>
      <c r="Q735" s="10" t="n"/>
      <c r="R735" s="10" t="n"/>
      <c r="S735" s="10" t="n"/>
    </row>
    <row r="736" ht="409.6" customHeight="1">
      <c r="A736" s="6">
        <f>IFERROR(__xludf.DUMMYFUNCTION("""COMPUTED_VALUE"""),"Electrical Circuits (Cooperative Jigsaw Scenario)")</f>
        <v/>
      </c>
      <c r="B736" s="6">
        <f>IFERROR(__xludf.DUMMYFUNCTION("""COMPUTED_VALUE"""),"Application")</f>
        <v/>
      </c>
      <c r="C736" s="6">
        <f>IFERROR(__xludf.DUMMYFUNCTION("""COMPUTED_VALUE"""),"Hypothesis Scratchpad")</f>
        <v/>
      </c>
      <c r="D736" s="7">
        <f>IFERROR(__xludf.DUMMYFUNCTION("""COMPUTED_VALUE"""),"No task description")</f>
        <v/>
      </c>
      <c r="E73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36" s="7" t="inlineStr">
        <is>
          <t>Students discuss and formulate a hypothesis with group members using the Hypothesis tool, with help available. No artifacts are embedded in Items 1 and 2, but Item 3 has the Golabz app/lab's Hypothesis Scratchpad.</t>
        </is>
      </c>
      <c r="G736" s="8" t="n"/>
      <c r="H736" s="8" t="n"/>
      <c r="I736" s="8" t="n"/>
      <c r="J736" s="8" t="n"/>
      <c r="K736" s="9" t="n"/>
      <c r="L736" s="9" t="n"/>
      <c r="M736" s="9" t="n"/>
      <c r="N736" s="9" t="n"/>
      <c r="O736" s="10" t="n"/>
      <c r="P736" s="10" t="n"/>
      <c r="Q736" s="10" t="n"/>
      <c r="R736" s="10" t="n"/>
      <c r="S736" s="10" t="n"/>
    </row>
    <row r="737" ht="145" customHeight="1">
      <c r="A737" s="6">
        <f>IFERROR(__xludf.DUMMYFUNCTION("""COMPUTED_VALUE"""),"Electrical Circuits (Cooperative Jigsaw Scenario)")</f>
        <v/>
      </c>
      <c r="B737" s="6">
        <f>IFERROR(__xludf.DUMMYFUNCTION("""COMPUTED_VALUE"""),"Resource")</f>
        <v/>
      </c>
      <c r="C737" s="6">
        <f>IFERROR(__xludf.DUMMYFUNCTION("""COMPUTED_VALUE"""),"End of the phase.graasp")</f>
        <v/>
      </c>
      <c r="D737" s="7">
        <f>IFERROR(__xludf.DUMMYFUNCTION("""COMPUTED_VALUE"""),"&lt;p style=""text-align: center;""&gt;&lt;strong&gt;If you formulated your expert group hypothesis, move to the next phase to continue your expert group work.&lt;/strong&gt;&lt;/p&gt;")</f>
        <v/>
      </c>
      <c r="E737" s="7">
        <f>IFERROR(__xludf.DUMMYFUNCTION("""COMPUTED_VALUE"""),"No artifact embedded")</f>
        <v/>
      </c>
      <c r="F737" s="7" t="inlineStr">
        <is>
          <t>Students are instructed to formulate hypotheses using "If...then" statements and independent/dependent variables, with optional use of the Hypothesis Scratchpad tool.</t>
        </is>
      </c>
      <c r="G737" s="8" t="n"/>
      <c r="H737" s="8" t="n"/>
      <c r="I737" s="8" t="n"/>
      <c r="J737" s="8" t="n"/>
      <c r="K737" s="9" t="n"/>
      <c r="L737" s="9" t="n"/>
      <c r="M737" s="9" t="n"/>
      <c r="N737" s="9" t="n"/>
      <c r="O737" s="10" t="n"/>
      <c r="P737" s="10" t="n"/>
      <c r="Q737" s="10" t="n"/>
      <c r="R737" s="10" t="n"/>
      <c r="S737" s="10" t="n"/>
    </row>
    <row r="738" ht="252" customHeight="1">
      <c r="A738" s="6">
        <f>IFERROR(__xludf.DUMMYFUNCTION("""COMPUTED_VALUE"""),"Electrical Circuits (Cooperative Jigsaw Scenario)")</f>
        <v/>
      </c>
      <c r="B738" s="6">
        <f>IFERROR(__xludf.DUMMYFUNCTION("""COMPUTED_VALUE"""),"Space")</f>
        <v/>
      </c>
      <c r="C738" s="6">
        <f>IFERROR(__xludf.DUMMYFUNCTION("""COMPUTED_VALUE"""),"Experimentation")</f>
        <v/>
      </c>
      <c r="D738" s="7">
        <f>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
      </c>
      <c r="E738" s="7">
        <f>IFERROR(__xludf.DUMMYFUNCTION("""COMPUTED_VALUE"""),"No artifact embedded")</f>
        <v/>
      </c>
      <c r="F738" s="7" t="inlineStr">
        <is>
          <t>Students are guided through phases with minimal descriptions and artifacts, including a hypothesis-forming tool in Item1.</t>
        </is>
      </c>
      <c r="G738" s="8" t="n"/>
      <c r="H738" s="8" t="n"/>
      <c r="I738" s="8" t="n"/>
      <c r="J738" s="8" t="n"/>
      <c r="K738" s="9" t="n"/>
      <c r="L738" s="9" t="n"/>
      <c r="M738" s="9" t="n"/>
      <c r="N738" s="9" t="n"/>
      <c r="O738" s="10" t="n"/>
      <c r="P738" s="10" t="n"/>
      <c r="Q738" s="10" t="n"/>
      <c r="R738" s="10" t="n"/>
      <c r="S738" s="10" t="n"/>
    </row>
    <row r="739" ht="318" customHeight="1">
      <c r="A739" s="6">
        <f>IFERROR(__xludf.DUMMYFUNCTION("""COMPUTED_VALUE"""),"Electrical Circuits (Cooperative Jigsaw Scenario)")</f>
        <v/>
      </c>
      <c r="B739" s="6">
        <f>IFERROR(__xludf.DUMMYFUNCTION("""COMPUTED_VALUE"""),"Application")</f>
        <v/>
      </c>
      <c r="C739" s="6">
        <f>IFERROR(__xludf.DUMMYFUNCTION("""COMPUTED_VALUE"""),"Viewer")</f>
        <v/>
      </c>
      <c r="D739" s="7">
        <f>IFERROR(__xludf.DUMMYFUNCTION("""COMPUTED_VALUE"""),"&lt;p&gt;&lt;strong&gt;Step 1&lt;/strong&gt;&lt;/p&gt;&lt;p&gt;Below you can see your expert group hypothesis. Discuss with the members of your expert group about the experiment you need to carry out in order to test your hypothesis.&lt;/p&gt;")</f>
        <v/>
      </c>
      <c r="E739"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739" s="7" t="inlineStr">
        <is>
          <t>Students proceed with expert group work, testing hypotheses in a virtual lab, and discussing experiments. Embedded artifacts include a Golabz app/lab viewer.</t>
        </is>
      </c>
      <c r="G739" s="8" t="n"/>
      <c r="H739" s="8" t="n"/>
      <c r="I739" s="8" t="n"/>
      <c r="J739" s="8" t="n"/>
      <c r="K739" s="9" t="n"/>
      <c r="L739" s="9" t="n"/>
      <c r="M739" s="9" t="n"/>
      <c r="N739" s="9" t="n"/>
      <c r="O739" s="10" t="n"/>
      <c r="P739" s="10" t="n"/>
      <c r="Q739" s="10" t="n"/>
      <c r="R739" s="10" t="n"/>
      <c r="S739" s="10" t="n"/>
    </row>
    <row r="740" ht="409.6" customHeight="1">
      <c r="A740" s="6">
        <f>IFERROR(__xludf.DUMMYFUNCTION("""COMPUTED_VALUE"""),"Electrical Circuits (Cooperative Jigsaw Scenario)")</f>
        <v/>
      </c>
      <c r="B740" s="6">
        <f>IFERROR(__xludf.DUMMYFUNCTION("""COMPUTED_VALUE"""),"Application")</f>
        <v/>
      </c>
      <c r="C740" s="6">
        <f>IFERROR(__xludf.DUMMYFUNCTION("""COMPUTED_VALUE"""),"Experiment Design Tool")</f>
        <v/>
      </c>
      <c r="D740" s="7">
        <f>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
      </c>
      <c r="E740"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740" s="7" t="inlineStr">
        <is>
          <t>Students test their hypothesis in a virtual lab, collaborating with group members and using online communication tools. Embedded artifacts include Golabz apps for experiment design and data analysis.</t>
        </is>
      </c>
      <c r="G740" s="8" t="n"/>
      <c r="H740" s="8" t="n"/>
      <c r="I740" s="8" t="n"/>
      <c r="J740" s="8" t="n"/>
      <c r="K740" s="9" t="n"/>
      <c r="L740" s="9" t="n"/>
      <c r="M740" s="9" t="n"/>
      <c r="N740" s="9" t="n"/>
      <c r="O740" s="10" t="n"/>
      <c r="P740" s="10" t="n"/>
      <c r="Q740" s="10" t="n"/>
      <c r="R740" s="10" t="n"/>
      <c r="S740" s="10" t="n"/>
    </row>
    <row r="741" ht="409.6" customHeight="1">
      <c r="A741" s="6">
        <f>IFERROR(__xludf.DUMMYFUNCTION("""COMPUTED_VALUE"""),"Electrical Circuits (Cooperative Jigsaw Scenario)")</f>
        <v/>
      </c>
      <c r="B741" s="6">
        <f>IFERROR(__xludf.DUMMYFUNCTION("""COMPUTED_VALUE"""),"Application")</f>
        <v/>
      </c>
      <c r="C741" s="6">
        <f>IFERROR(__xludf.DUMMYFUNCTION("""COMPUTED_VALUE"""),"Electrical Circuit Lab")</f>
        <v/>
      </c>
      <c r="D741" s="7">
        <f>IFERROR(__xludf.DUMMYFUNCTION("""COMPUTED_VALUE"""),"&lt;p&gt;&lt;strong&gt;Step 3&lt;/strong&gt;&lt;/p&gt;&lt;p&gt;Once you complete the design of your experiment use the virtual lab. Meanwhile, discuss with the experts about your observations and measurements.&lt;/p&gt;")</f>
        <v/>
      </c>
      <c r="E741"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41" s="7" t="inlineStr">
        <is>
          <t>Students discuss and design experiments using tools like concept mapper, experiment design tool, and virtual lab, with embedded artifacts from Golabz app/lab.</t>
        </is>
      </c>
      <c r="G741" s="8" t="n"/>
      <c r="H741" s="8" t="n"/>
      <c r="I741" s="8" t="n"/>
      <c r="J741" s="8" t="n"/>
      <c r="K741" s="9" t="n"/>
      <c r="L741" s="9" t="n"/>
      <c r="M741" s="9" t="n"/>
      <c r="N741" s="9" t="n"/>
      <c r="O741" s="10" t="n"/>
      <c r="P741" s="10" t="n"/>
      <c r="Q741" s="10" t="n"/>
      <c r="R741" s="10" t="n"/>
      <c r="S741" s="10" t="n"/>
    </row>
    <row r="742" ht="229" customHeight="1">
      <c r="A742" s="6">
        <f>IFERROR(__xludf.DUMMYFUNCTION("""COMPUTED_VALUE"""),"Electrical Circuits (Cooperative Jigsaw Scenario)")</f>
        <v/>
      </c>
      <c r="B742" s="6">
        <f>IFERROR(__xludf.DUMMYFUNCTION("""COMPUTED_VALUE"""),"Resource")</f>
        <v/>
      </c>
      <c r="C742" s="6">
        <f>IFERROR(__xludf.DUMMYFUNCTION("""COMPUTED_VALUE"""),"End of phase.graasp")</f>
        <v/>
      </c>
      <c r="D742" s="7">
        <f>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
      </c>
      <c r="E742" s="7">
        <f>IFERROR(__xludf.DUMMYFUNCTION("""COMPUTED_VALUE"""),"No artifact embedded")</f>
        <v/>
      </c>
      <c r="F742" s="7" t="inlineStr">
        <is>
          <t>Students design experiments, record values, and analyze results using tools like Experiment Design Tool and Electrical Circuit Lab, following step-by-step instructions and expert collaboration.</t>
        </is>
      </c>
      <c r="G742" s="8" t="n"/>
      <c r="H742" s="8" t="n"/>
      <c r="I742" s="8" t="n"/>
      <c r="J742" s="8" t="n"/>
      <c r="K742" s="9" t="n"/>
      <c r="L742" s="9" t="n"/>
      <c r="M742" s="9" t="n"/>
      <c r="N742" s="9" t="n"/>
      <c r="O742" s="10" t="n"/>
      <c r="P742" s="10" t="n"/>
      <c r="Q742" s="10" t="n"/>
      <c r="R742" s="10" t="n"/>
      <c r="S742" s="10" t="n"/>
    </row>
    <row r="743" ht="205" customHeight="1">
      <c r="A743" s="6">
        <f>IFERROR(__xludf.DUMMYFUNCTION("""COMPUTED_VALUE"""),"Electrical Circuits (Cooperative Jigsaw Scenario)")</f>
        <v/>
      </c>
      <c r="B743" s="6">
        <f>IFERROR(__xludf.DUMMYFUNCTION("""COMPUTED_VALUE"""),"Space")</f>
        <v/>
      </c>
      <c r="C743" s="6">
        <f>IFERROR(__xludf.DUMMYFUNCTION("""COMPUTED_VALUE"""),"Data Interpretation")</f>
        <v/>
      </c>
      <c r="D743" s="7">
        <f>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
      </c>
      <c r="E743" s="7">
        <f>IFERROR(__xludf.DUMMYFUNCTION("""COMPUTED_VALUE"""),"No artifact embedded")</f>
        <v/>
      </c>
      <c r="F743" s="7" t="inlineStr">
        <is>
          <t>Students design experiments, use virtual labs (Golabz app), collect data, analyze results, and discuss findings with experts, following a structured process with specific tasks and tools.</t>
        </is>
      </c>
      <c r="G743" s="8" t="n"/>
      <c r="H743" s="8" t="n"/>
      <c r="I743" s="8" t="n"/>
      <c r="J743" s="8" t="n"/>
      <c r="K743" s="9" t="n"/>
      <c r="L743" s="9" t="n"/>
      <c r="M743" s="9" t="n"/>
      <c r="N743" s="9" t="n"/>
      <c r="O743" s="10" t="n"/>
      <c r="P743" s="10" t="n"/>
      <c r="Q743" s="10" t="n"/>
      <c r="R743" s="10" t="n"/>
      <c r="S743" s="10" t="n"/>
    </row>
    <row r="744" ht="409.6" customHeight="1">
      <c r="A744" s="6">
        <f>IFERROR(__xludf.DUMMYFUNCTION("""COMPUTED_VALUE"""),"Electrical Circuits (Cooperative Jigsaw Scenario)")</f>
        <v/>
      </c>
      <c r="B744" s="6">
        <f>IFERROR(__xludf.DUMMYFUNCTION("""COMPUTED_VALUE"""),"Application")</f>
        <v/>
      </c>
      <c r="C744" s="6">
        <f>IFERROR(__xludf.DUMMYFUNCTION("""COMPUTED_VALUE"""),"Data Viewer")</f>
        <v/>
      </c>
      <c r="D744" s="7">
        <f>IFERROR(__xludf.DUMMYFUNCTION("""COMPUTED_VALUE"""),"&lt;p&gt;&lt;strong&gt;Step 1&lt;/strong&gt;&lt;/p&gt;&lt;p&gt;Load your data in the tool below and drag and drop the dependent variable in the vertical axis and the independent variable in the horizontal axis to create a line chart.&lt;/p&gt;")</f>
        <v/>
      </c>
      <c r="E744"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744" s="7" t="inlineStr">
        <is>
          <t>Students follow 3 tasks: data collection, graph creation, and data visualization using Golabz app. No artifacts are embedded in items 1 and 2.</t>
        </is>
      </c>
      <c r="G744" s="8" t="n"/>
      <c r="H744" s="8" t="n"/>
      <c r="I744" s="8" t="n"/>
      <c r="J744" s="8" t="n"/>
      <c r="K744" s="9" t="n"/>
      <c r="L744" s="9" t="n"/>
      <c r="M744" s="9" t="n"/>
      <c r="N744" s="9" t="n"/>
      <c r="O744" s="10" t="n"/>
      <c r="P744" s="10" t="n"/>
      <c r="Q744" s="10" t="n"/>
      <c r="R744" s="10" t="n"/>
      <c r="S744" s="10" t="n"/>
    </row>
    <row r="745" ht="181" customHeight="1">
      <c r="A745" s="6">
        <f>IFERROR(__xludf.DUMMYFUNCTION("""COMPUTED_VALUE"""),"Electrical Circuits (Cooperative Jigsaw Scenario)")</f>
        <v/>
      </c>
      <c r="B745" s="6">
        <f>IFERROR(__xludf.DUMMYFUNCTION("""COMPUTED_VALUE"""),"Resource")</f>
        <v/>
      </c>
      <c r="C745" s="6">
        <f>IFERROR(__xludf.DUMMYFUNCTION("""COMPUTED_VALUE"""),"Step 2.graasp")</f>
        <v/>
      </c>
      <c r="D745" s="7">
        <f>IFERROR(__xludf.DUMMYFUNCTION("""COMPUTED_VALUE"""),"&lt;p&gt;&lt;strong&gt;Step 2&lt;/strong&gt;&lt;/p&gt;&lt;p&gt;Use the communication tool to discuss about the relation between the two variables, the dependent and the independent. What will happen if the independent variable continues to increase?&lt;/p&gt;")</f>
        <v/>
      </c>
      <c r="E745" s="7">
        <f>IFERROR(__xludf.DUMMYFUNCTION("""COMPUTED_VALUE"""),"No artifact embedded")</f>
        <v/>
      </c>
      <c r="F745" s="7" t="inlineStr">
        <is>
          <t>Students create a graph, discuss relations between variables, and use tools like Golabz app/lab for data visualization and collaboration.</t>
        </is>
      </c>
      <c r="G745" s="8" t="n"/>
      <c r="H745" s="8" t="n"/>
      <c r="I745" s="8" t="n"/>
      <c r="J745" s="8" t="n"/>
      <c r="K745" s="9" t="n"/>
      <c r="L745" s="9" t="n"/>
      <c r="M745" s="9" t="n"/>
      <c r="N745" s="9" t="n"/>
      <c r="O745" s="10" t="n"/>
      <c r="P745" s="10" t="n"/>
      <c r="Q745" s="10" t="n"/>
      <c r="R745" s="10" t="n"/>
      <c r="S745" s="10" t="n"/>
    </row>
    <row r="746" ht="133" customHeight="1">
      <c r="A746" s="6">
        <f>IFERROR(__xludf.DUMMYFUNCTION("""COMPUTED_VALUE"""),"Electrical Circuits (Cooperative Jigsaw Scenario)")</f>
        <v/>
      </c>
      <c r="B746" s="6">
        <f>IFERROR(__xludf.DUMMYFUNCTION("""COMPUTED_VALUE"""),"Resource")</f>
        <v/>
      </c>
      <c r="C746" s="6">
        <f>IFERROR(__xludf.DUMMYFUNCTION("""COMPUTED_VALUE"""),"End.graasp")</f>
        <v/>
      </c>
      <c r="D746" s="7">
        <f>IFERROR(__xludf.DUMMYFUNCTION("""COMPUTED_VALUE"""),"&lt;p style=""text-align: center;""&gt;&lt;strong&gt;If the relation between the variables that you have investigated is clear, you can move to the next phase.&lt;/strong&gt;&lt;/p&gt;")</f>
        <v/>
      </c>
      <c r="E746" s="7">
        <f>IFERROR(__xludf.DUMMYFUNCTION("""COMPUTED_VALUE"""),"No artifact embedded")</f>
        <v/>
      </c>
      <c r="F746" s="7" t="inlineStr">
        <is>
          <t>Students load data, create a line chart, and discuss variable relationships using tools like Golabz app/lab and a communication tool.</t>
        </is>
      </c>
      <c r="G746" s="8" t="n"/>
      <c r="H746" s="8" t="n"/>
      <c r="I746" s="8" t="n"/>
      <c r="J746" s="8" t="n"/>
      <c r="K746" s="9" t="n"/>
      <c r="L746" s="9" t="n"/>
      <c r="M746" s="9" t="n"/>
      <c r="N746" s="9" t="n"/>
      <c r="O746" s="10" t="n"/>
      <c r="P746" s="10" t="n"/>
      <c r="Q746" s="10" t="n"/>
      <c r="R746" s="10" t="n"/>
      <c r="S746" s="10" t="n"/>
    </row>
    <row r="747" ht="133" customHeight="1">
      <c r="A747" s="6">
        <f>IFERROR(__xludf.DUMMYFUNCTION("""COMPUTED_VALUE"""),"Electrical Circuits (Cooperative Jigsaw Scenario)")</f>
        <v/>
      </c>
      <c r="B747" s="6">
        <f>IFERROR(__xludf.DUMMYFUNCTION("""COMPUTED_VALUE"""),"Space")</f>
        <v/>
      </c>
      <c r="C747" s="6">
        <f>IFERROR(__xludf.DUMMYFUNCTION("""COMPUTED_VALUE"""),"Conclusion")</f>
        <v/>
      </c>
      <c r="D747" s="7">
        <f>IFERROR(__xludf.DUMMYFUNCTION("""COMPUTED_VALUE"""),"&lt;p&gt;Dear students, your expert group task is coming to the end. The last thing that you have to prepare is your &lt;strong&gt;expert’s conclusion&lt;/strong&gt;.&lt;/p&gt;")</f>
        <v/>
      </c>
      <c r="E747" s="7">
        <f>IFERROR(__xludf.DUMMYFUNCTION("""COMPUTED_VALUE"""),"No artifact embedded")</f>
        <v/>
      </c>
      <c r="F747" s="7" t="inlineStr">
        <is>
          <t>Students discuss variable relationships and create a conclusion with no embedded artifacts provided.</t>
        </is>
      </c>
      <c r="G747" s="8" t="n"/>
      <c r="H747" s="8" t="n"/>
      <c r="I747" s="8" t="n"/>
      <c r="J747" s="8" t="n"/>
      <c r="K747" s="9" t="n"/>
      <c r="L747" s="9" t="n"/>
      <c r="M747" s="9" t="n"/>
      <c r="N747" s="9" t="n"/>
      <c r="O747" s="10" t="n"/>
      <c r="P747" s="10" t="n"/>
      <c r="Q747" s="10" t="n"/>
      <c r="R747" s="10" t="n"/>
      <c r="S747" s="10" t="n"/>
    </row>
    <row r="748" ht="409.6" customHeight="1">
      <c r="A748" s="6">
        <f>IFERROR(__xludf.DUMMYFUNCTION("""COMPUTED_VALUE"""),"Electrical Circuits (Cooperative Jigsaw Scenario)")</f>
        <v/>
      </c>
      <c r="B748" s="6">
        <f>IFERROR(__xludf.DUMMYFUNCTION("""COMPUTED_VALUE"""),"Application")</f>
        <v/>
      </c>
      <c r="C748" s="6">
        <f>IFERROR(__xludf.DUMMYFUNCTION("""COMPUTED_VALUE"""),"Conclusion Tool")</f>
        <v/>
      </c>
      <c r="D748" s="7">
        <f>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
      </c>
      <c r="E748"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48" s="7" t="inlineStr">
        <is>
          <t>Students are instructed to review their work, elaborate on findings, and draw conclusions. Embedded artifacts include the Golabz app/lab for conclusion tool and hypothesis scratchpad.</t>
        </is>
      </c>
      <c r="G748" s="8" t="n"/>
      <c r="H748" s="8" t="n"/>
      <c r="I748" s="8" t="n"/>
      <c r="J748" s="8" t="n"/>
      <c r="K748" s="9" t="n"/>
      <c r="L748" s="9" t="n"/>
      <c r="M748" s="9" t="n"/>
      <c r="N748" s="9" t="n"/>
      <c r="O748" s="10" t="n"/>
      <c r="P748" s="10" t="n"/>
      <c r="Q748" s="10" t="n"/>
      <c r="R748" s="10" t="n"/>
      <c r="S748" s="10" t="n"/>
    </row>
    <row r="749" ht="181" customHeight="1">
      <c r="A749" s="6">
        <f>IFERROR(__xludf.DUMMYFUNCTION("""COMPUTED_VALUE"""),"Electrical Circuits (Cooperative Jigsaw Scenario)")</f>
        <v/>
      </c>
      <c r="B749" s="6">
        <f>IFERROR(__xludf.DUMMYFUNCTION("""COMPUTED_VALUE"""),"Resource")</f>
        <v/>
      </c>
      <c r="C749" s="6">
        <f>IFERROR(__xludf.DUMMYFUNCTION("""COMPUTED_VALUE"""),"Step 2.graasp")</f>
        <v/>
      </c>
      <c r="D749" s="7">
        <f>IFERROR(__xludf.DUMMYFUNCTION("""COMPUTED_VALUE"""),"&lt;p&gt;&lt;strong&gt;Step 2 &lt;/strong&gt;&lt;/p&gt;&lt;p&gt;It is time to thank your peers for your expert work! Moreover, if any of you have any doubt about the work done, this is the perfect time to discuss it in the communication tool. &lt;/p&gt;")</f>
        <v/>
      </c>
      <c r="E749" s="7">
        <f>IFERROR(__xludf.DUMMYFUNCTION("""COMPUTED_VALUE"""),"No artifact embedded")</f>
        <v/>
      </c>
      <c r="F749" s="7" t="inlineStr">
        <is>
          <t>Students complete expert tasks, using tools like Golabz app/lab to elaborate conclusions and discussing results with peers.</t>
        </is>
      </c>
      <c r="G749" s="8" t="n"/>
      <c r="H749" s="8" t="n"/>
      <c r="I749" s="8" t="n"/>
      <c r="J749" s="8" t="n"/>
      <c r="K749" s="9" t="n"/>
      <c r="L749" s="9" t="n"/>
      <c r="M749" s="9" t="n"/>
      <c r="N749" s="9" t="n"/>
      <c r="O749" s="10" t="n"/>
      <c r="P749" s="10" t="n"/>
      <c r="Q749" s="10" t="n"/>
      <c r="R749" s="10" t="n"/>
      <c r="S749" s="10" t="n"/>
    </row>
    <row r="750" ht="193" customHeight="1">
      <c r="A750" s="6">
        <f>IFERROR(__xludf.DUMMYFUNCTION("""COMPUTED_VALUE"""),"Electrical Circuits (Cooperative Jigsaw Scenario)")</f>
        <v/>
      </c>
      <c r="B750" s="6">
        <f>IFERROR(__xludf.DUMMYFUNCTION("""COMPUTED_VALUE"""),"Resource")</f>
        <v/>
      </c>
      <c r="C750" s="6">
        <f>IFERROR(__xludf.DUMMYFUNCTION("""COMPUTED_VALUE"""),"End of phase.graasp")</f>
        <v/>
      </c>
      <c r="D750" s="7">
        <f>IFERROR(__xludf.DUMMYFUNCTION("""COMPUTED_VALUE"""),"&lt;p style=""text-align: center;""&gt;&lt;strong&gt;This is the end of your expert investigation. Now you are ready to share what you have learned with the members of your initial group. To do so, move to next phase.&lt;/strong&gt;&lt;/p&gt;")</f>
        <v/>
      </c>
      <c r="E750" s="7">
        <f>IFERROR(__xludf.DUMMYFUNCTION("""COMPUTED_VALUE"""),"No artifact embedded")</f>
        <v/>
      </c>
      <c r="F750" s="7" t="inlineStr">
        <is>
          <t>Students use tools to review previous work, discuss conclusions, and thank peers, with embedded artifacts including the Golabz app/lab for hypothesis validation.</t>
        </is>
      </c>
      <c r="G750" s="8" t="n"/>
      <c r="H750" s="8" t="n"/>
      <c r="I750" s="8" t="n"/>
      <c r="J750" s="8" t="n"/>
      <c r="K750" s="9" t="n"/>
      <c r="L750" s="9" t="n"/>
      <c r="M750" s="9" t="n"/>
      <c r="N750" s="9" t="n"/>
      <c r="O750" s="10" t="n"/>
      <c r="P750" s="10" t="n"/>
      <c r="Q750" s="10" t="n"/>
      <c r="R750" s="10" t="n"/>
      <c r="S750" s="10" t="n"/>
    </row>
    <row r="751" ht="406" customHeight="1">
      <c r="A751" s="6">
        <f>IFERROR(__xludf.DUMMYFUNCTION("""COMPUTED_VALUE"""),"Electrical Circuits (Cooperative Jigsaw Scenario)")</f>
        <v/>
      </c>
      <c r="B751" s="6">
        <f>IFERROR(__xludf.DUMMYFUNCTION("""COMPUTED_VALUE"""),"Space")</f>
        <v/>
      </c>
      <c r="C751" s="6">
        <f>IFERROR(__xludf.DUMMYFUNCTION("""COMPUTED_VALUE"""),"Communication")</f>
        <v/>
      </c>
      <c r="D751" s="7">
        <f>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
      </c>
      <c r="E751" s="7">
        <f>IFERROR(__xludf.DUMMYFUNCTION("""COMPUTED_VALUE"""),"No artifact embedded")</f>
        <v/>
      </c>
      <c r="F751" s="7" t="inlineStr">
        <is>
          <t>Students are instructed to discuss and share findings with peers, with no artifacts embedded in items 1-3.</t>
        </is>
      </c>
      <c r="G751" s="8" t="n"/>
      <c r="H751" s="8" t="n"/>
      <c r="I751" s="8" t="n"/>
      <c r="J751" s="8" t="n"/>
      <c r="K751" s="9" t="n"/>
      <c r="L751" s="9" t="n"/>
      <c r="M751" s="9" t="n"/>
      <c r="N751" s="9" t="n"/>
      <c r="O751" s="10" t="n"/>
      <c r="P751" s="10" t="n"/>
      <c r="Q751" s="10" t="n"/>
      <c r="R751" s="10" t="n"/>
      <c r="S751" s="10" t="n"/>
    </row>
    <row r="752" ht="395" customHeight="1">
      <c r="A752" s="6">
        <f>IFERROR(__xludf.DUMMYFUNCTION("""COMPUTED_VALUE"""),"Electrical Circuits (Cooperative Jigsaw Scenario)")</f>
        <v/>
      </c>
      <c r="B752" s="6">
        <f>IFERROR(__xludf.DUMMYFUNCTION("""COMPUTED_VALUE"""),"Resource")</f>
        <v/>
      </c>
      <c r="C752" s="6">
        <f>IFERROR(__xludf.DUMMYFUNCTION("""COMPUTED_VALUE"""),"Step 1.graasp")</f>
        <v/>
      </c>
      <c r="D752" s="7">
        <f>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
      </c>
      <c r="E752" s="7">
        <f>IFERROR(__xludf.DUMMYFUNCTION("""COMPUTED_VALUE"""),"No artifact embedded")</f>
        <v/>
      </c>
      <c r="F752" s="7" t="inlineStr">
        <is>
          <t>Students share expert investigation findings with their group, discussing conclusions, procedures, and results, answering specific questions about hypotheses, variables, and data. No artifacts are embedded.</t>
        </is>
      </c>
      <c r="G752" s="8" t="n"/>
      <c r="H752" s="8" t="n"/>
      <c r="I752" s="8" t="n"/>
      <c r="J752" s="8" t="n"/>
      <c r="K752" s="9" t="n"/>
      <c r="L752" s="9" t="n"/>
      <c r="M752" s="9" t="n"/>
      <c r="N752" s="9" t="n"/>
      <c r="O752" s="10" t="n"/>
      <c r="P752" s="10" t="n"/>
      <c r="Q752" s="10" t="n"/>
      <c r="R752" s="10" t="n"/>
      <c r="S752" s="10" t="n"/>
    </row>
    <row r="753" ht="362" customHeight="1">
      <c r="A753" s="6">
        <f>IFERROR(__xludf.DUMMYFUNCTION("""COMPUTED_VALUE"""),"Electrical Circuits (Cooperative Jigsaw Scenario)")</f>
        <v/>
      </c>
      <c r="B753" s="6">
        <f>IFERROR(__xludf.DUMMYFUNCTION("""COMPUTED_VALUE"""),"Application")</f>
        <v/>
      </c>
      <c r="C753" s="6">
        <f>IFERROR(__xludf.DUMMYFUNCTION("""COMPUTED_VALUE"""),"Shared Wiki")</f>
        <v/>
      </c>
      <c r="D753" s="7">
        <f>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
      </c>
      <c r="E753"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753" s="7" t="inlineStr">
        <is>
          <t>Students discuss expert investigations, share conclusions, and create a group report using a collaborative tool (Golabz app). No artifacts are embedded in Items 1 and 2, but Item 3 uses the Golabz app.</t>
        </is>
      </c>
      <c r="G753" s="8" t="n"/>
      <c r="H753" s="8" t="n"/>
      <c r="I753" s="8" t="n"/>
      <c r="J753" s="8" t="n"/>
      <c r="K753" s="9" t="n"/>
      <c r="L753" s="9" t="n"/>
      <c r="M753" s="9" t="n"/>
      <c r="N753" s="9" t="n"/>
      <c r="O753" s="10" t="n"/>
      <c r="P753" s="10" t="n"/>
      <c r="Q753" s="10" t="n"/>
      <c r="R753" s="10" t="n"/>
      <c r="S753" s="10" t="n"/>
    </row>
    <row r="754" ht="145" customHeight="1">
      <c r="A754" s="6">
        <f>IFERROR(__xludf.DUMMYFUNCTION("""COMPUTED_VALUE"""),"Electrical Circuits (Cooperative Jigsaw Scenario)")</f>
        <v/>
      </c>
      <c r="B754" s="6">
        <f>IFERROR(__xludf.DUMMYFUNCTION("""COMPUTED_VALUE"""),"Resource")</f>
        <v/>
      </c>
      <c r="C754" s="6">
        <f>IFERROR(__xludf.DUMMYFUNCTION("""COMPUTED_VALUE"""),"End of the phase.graasp")</f>
        <v/>
      </c>
      <c r="D754" s="7">
        <f>IFERROR(__xludf.DUMMYFUNCTION("""COMPUTED_VALUE"""),"&lt;p style=""text-align: center;""&gt;&lt;strong&gt;Discuss with your teacher about your group report and then move to the last phase!&lt;/strong&gt;&lt;/p&gt;")</f>
        <v/>
      </c>
      <c r="E754" s="7">
        <f>IFERROR(__xludf.DUMMYFUNCTION("""COMPUTED_VALUE"""),"No artifact embedded")</f>
        <v/>
      </c>
      <c r="F754" s="7" t="inlineStr">
        <is>
          <t>Students were instructed to describe experiments, collaborate on reports, and discuss results. Embedded artifacts include a shared wiki app for collaborative editing.</t>
        </is>
      </c>
      <c r="G754" s="8" t="n"/>
      <c r="H754" s="8" t="n"/>
      <c r="I754" s="8" t="n"/>
      <c r="J754" s="8" t="n"/>
      <c r="K754" s="9" t="n"/>
      <c r="L754" s="9" t="n"/>
      <c r="M754" s="9" t="n"/>
      <c r="N754" s="9" t="n"/>
      <c r="O754" s="10" t="n"/>
      <c r="P754" s="10" t="n"/>
      <c r="Q754" s="10" t="n"/>
      <c r="R754" s="10" t="n"/>
      <c r="S754" s="10" t="n"/>
    </row>
    <row r="755" ht="409.6" customHeight="1">
      <c r="A755" s="6">
        <f>IFERROR(__xludf.DUMMYFUNCTION("""COMPUTED_VALUE"""),"Electrical Circuits (Cooperative Jigsaw Scenario)")</f>
        <v/>
      </c>
      <c r="B755" s="6">
        <f>IFERROR(__xludf.DUMMYFUNCTION("""COMPUTED_VALUE"""),"Space")</f>
        <v/>
      </c>
      <c r="C755" s="6">
        <f>IFERROR(__xludf.DUMMYFUNCTION("""COMPUTED_VALUE"""),"Reflection")</f>
        <v/>
      </c>
      <c r="D755" s="7">
        <f>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
      </c>
      <c r="E755" s="7">
        <f>IFERROR(__xludf.DUMMYFUNCTION("""COMPUTED_VALUE"""),"No artifact embedded")</f>
        <v/>
      </c>
      <c r="F755" s="7" t="inlineStr">
        <is>
          <t>Students collaborate on a report using Golabz app, then discuss with teacher, and finally reflect on group members' contributions.</t>
        </is>
      </c>
      <c r="G755" s="8" t="n"/>
      <c r="H755" s="8" t="n"/>
      <c r="I755" s="8" t="n"/>
      <c r="J755" s="8" t="n"/>
      <c r="K755" s="9" t="n"/>
      <c r="L755" s="9" t="n"/>
      <c r="M755" s="9" t="n"/>
      <c r="N755" s="9" t="n"/>
      <c r="O755" s="10" t="n"/>
      <c r="P755" s="10" t="n"/>
      <c r="Q755" s="10" t="n"/>
      <c r="R755" s="10" t="n"/>
      <c r="S755" s="10" t="n"/>
    </row>
    <row r="756" ht="307" customHeight="1">
      <c r="A756" s="6">
        <f>IFERROR(__xludf.DUMMYFUNCTION("""COMPUTED_VALUE"""),"Electrical Circuits (Cooperative Jigsaw Scenario)")</f>
        <v/>
      </c>
      <c r="B756" s="6">
        <f>IFERROR(__xludf.DUMMYFUNCTION("""COMPUTED_VALUE"""),"Application")</f>
        <v/>
      </c>
      <c r="C756" s="6">
        <f>IFERROR(__xludf.DUMMYFUNCTION("""COMPUTED_VALUE"""),"Activity Plot")</f>
        <v/>
      </c>
      <c r="D756" s="7">
        <f>IFERROR(__xludf.DUMMYFUNCTION("""COMPUTED_VALUE"""),"No task description")</f>
        <v/>
      </c>
      <c r="E756" s="7">
        <f>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
      </c>
      <c r="F756" s="7" t="inlineStr">
        <is>
          <t>Students discuss group reports, reflect on members' contributions, and analyze effort using an embedded tool showing action summaries.</t>
        </is>
      </c>
      <c r="G756" s="8" t="n"/>
      <c r="H756" s="8" t="n"/>
      <c r="I756" s="8" t="n"/>
      <c r="J756" s="8" t="n"/>
      <c r="K756" s="9" t="n"/>
      <c r="L756" s="9" t="n"/>
      <c r="M756" s="9" t="n"/>
      <c r="N756" s="9" t="n"/>
      <c r="O756" s="10" t="n"/>
      <c r="P756" s="10" t="n"/>
      <c r="Q756" s="10" t="n"/>
      <c r="R756" s="10" t="n"/>
      <c r="S756" s="10" t="n"/>
    </row>
    <row r="757" ht="241" customHeight="1">
      <c r="A757" s="6">
        <f>IFERROR(__xludf.DUMMYFUNCTION("""COMPUTED_VALUE"""),"Electrical Circuits (Cooperative Jigsaw Scenario)")</f>
        <v/>
      </c>
      <c r="B757" s="6">
        <f>IFERROR(__xludf.DUMMYFUNCTION("""COMPUTED_VALUE"""),"Application")</f>
        <v/>
      </c>
      <c r="C757" s="6">
        <f>IFERROR(__xludf.DUMMYFUNCTION("""COMPUTED_VALUE"""),"Quest")</f>
        <v/>
      </c>
      <c r="D757" s="7">
        <f>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
      </c>
      <c r="E757"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757" s="7" t="inlineStr">
        <is>
          <t>Students reflect on group members' contributions, analyzing actions performed in tools, and complete a questionnaire individually. Embedded artifacts include Golabz app/lab and Quest for data analysis and surveys.</t>
        </is>
      </c>
      <c r="G757" s="8" t="n"/>
      <c r="H757" s="8" t="n"/>
      <c r="I757" s="8" t="n"/>
      <c r="J757" s="8" t="n"/>
      <c r="K757" s="9" t="n"/>
      <c r="L757" s="9" t="n"/>
      <c r="M757" s="9" t="n"/>
      <c r="N757" s="9" t="n"/>
      <c r="O757" s="10" t="n"/>
      <c r="P757" s="10" t="n"/>
      <c r="Q757" s="10" t="n"/>
      <c r="R757" s="10" t="n"/>
      <c r="S757" s="10" t="n"/>
    </row>
    <row r="758" ht="145" customHeight="1">
      <c r="A758" s="6">
        <f>IFERROR(__xludf.DUMMYFUNCTION("""COMPUTED_VALUE"""),"Electrical Circuits (Cooperative Jigsaw Scenario)")</f>
        <v/>
      </c>
      <c r="B758" s="6">
        <f>IFERROR(__xludf.DUMMYFUNCTION("""COMPUTED_VALUE"""),"Resource")</f>
        <v/>
      </c>
      <c r="C758" s="6">
        <f>IFERROR(__xludf.DUMMYFUNCTION("""COMPUTED_VALUE"""),"End of phase.graasp")</f>
        <v/>
      </c>
      <c r="D758" s="7">
        <f>IFERROR(__xludf.DUMMYFUNCTION("""COMPUTED_VALUE"""),"&lt;p style=""text-align: center;""&gt;&lt;strong&gt;This is the end of our lesson! Congratulations for completing all the activities. &lt;/strong&gt;&lt;/p&gt;")</f>
        <v/>
      </c>
      <c r="E758" s="7">
        <f>IFERROR(__xludf.DUMMYFUNCTION("""COMPUTED_VALUE"""),"No artifact embedded")</f>
        <v/>
      </c>
      <c r="F758" s="7" t="inlineStr">
        <is>
          <t>No task descriptions or artifacts are provided for Item1, a questionnaire is completed individually in Item2, and no tasks or artifacts are given in Item3.</t>
        </is>
      </c>
      <c r="G758" s="8" t="n"/>
      <c r="H758" s="8" t="n"/>
      <c r="I758" s="8" t="n"/>
      <c r="J758" s="8" t="n"/>
      <c r="K758" s="9" t="n"/>
      <c r="L758" s="9" t="n"/>
      <c r="M758" s="9" t="n"/>
      <c r="N758" s="9" t="n"/>
      <c r="O758" s="10" t="n"/>
      <c r="P758" s="10" t="n"/>
      <c r="Q758" s="10" t="n"/>
      <c r="R758" s="10" t="n"/>
      <c r="S758" s="10" t="n"/>
    </row>
    <row r="759" ht="133" customHeight="1">
      <c r="A759" s="6">
        <f>IFERROR(__xludf.DUMMYFUNCTION("""COMPUTED_VALUE"""),"Electrical Circuits (Cooperative Jigsaw Scenario)")</f>
        <v/>
      </c>
      <c r="B759" s="6">
        <f>IFERROR(__xludf.DUMMYFUNCTION("""COMPUTED_VALUE"""),"Application")</f>
        <v/>
      </c>
      <c r="C759" s="6">
        <f>IFERROR(__xludf.DUMMYFUNCTION("""COMPUTED_VALUE"""),"SpeakUp (1)")</f>
        <v/>
      </c>
      <c r="D759" s="7">
        <f>IFERROR(__xludf.DUMMYFUNCTION("""COMPUTED_VALUE"""),"No task description")</f>
        <v/>
      </c>
      <c r="E759" s="7">
        <f>IFERROR(__xludf.DUMMYFUNCTION("""COMPUTED_VALUE"""),"No artifact embedded")</f>
        <v/>
      </c>
      <c r="F759" s="7" t="inlineStr">
        <is>
          <t>Students complete a questionnaire individually using Golabz app/lab after group discussion, with various question types and features available.</t>
        </is>
      </c>
      <c r="G759" s="8" t="n"/>
      <c r="H759" s="8" t="n"/>
      <c r="I759" s="8" t="n"/>
      <c r="J759" s="8" t="n"/>
      <c r="K759" s="9" t="n"/>
      <c r="L759" s="9" t="n"/>
      <c r="M759" s="9" t="n"/>
      <c r="N759" s="9" t="n"/>
      <c r="O759" s="10" t="n"/>
      <c r="P759" s="10" t="n"/>
      <c r="Q759" s="10" t="n"/>
      <c r="R759" s="10" t="n"/>
      <c r="S759" s="10" t="n"/>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MOHAMED SABAN</dc:creator>
  <dcterms:created xmlns:dcterms="http://purl.org/dc/terms/" xmlns:xsi="http://www.w3.org/2001/XMLSchema-instance" xsi:type="dcterms:W3CDTF">2025-03-21T08:44:23Z</dcterms:created>
  <dcterms:modified xmlns:dcterms="http://purl.org/dc/terms/" xmlns:xsi="http://www.w3.org/2001/XMLSchema-instance" xsi:type="dcterms:W3CDTF">2025-04-18T11:09:10+00:00Z</dcterms:modified>
  <cp:lastModifiedBy>MOHAMED SABAN</cp:lastModifiedBy>
</cp:coreProperties>
</file>