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900" windowWidth="25600" windowHeight="13900" tabRatio="600" firstSheet="0" activeTab="2" autoFilterDateGrouping="1"/>
  </bookViews>
  <sheets>
    <sheet xmlns:r="http://schemas.openxmlformats.org/officeDocument/2006/relationships" name="Codes" sheetId="1" state="visible" r:id="rId1"/>
    <sheet xmlns:r="http://schemas.openxmlformats.org/officeDocument/2006/relationships" name="Human" sheetId="2" state="visible" r:id="rId2"/>
    <sheet xmlns:r="http://schemas.openxmlformats.org/officeDocument/2006/relationships" name="Codification" sheetId="3" state="visible" r:id="rId3"/>
  </sheets>
  <definedNames/>
  <calcPr calcId="191029" fullCalcOnLoad="1"/>
</workbook>
</file>

<file path=xl/styles.xml><?xml version="1.0" encoding="utf-8"?>
<styleSheet xmlns="http://schemas.openxmlformats.org/spreadsheetml/2006/main">
  <numFmts count="0"/>
  <fonts count="9">
    <font>
      <name val="Aptos Narrow"/>
      <family val="2"/>
      <color theme="1"/>
      <sz val="12"/>
      <scheme val="minor"/>
    </font>
    <font>
      <name val="Arial"/>
      <family val="2"/>
      <b val="1"/>
      <color theme="1"/>
      <sz val="8"/>
    </font>
    <font>
      <name val="Arial"/>
      <family val="2"/>
      <color theme="1"/>
      <sz val="8"/>
    </font>
    <font>
      <name val="Aptos Narrow"/>
      <color indexed="8"/>
      <sz val="12"/>
    </font>
    <font>
      <name val="Arial"/>
      <family val="2"/>
      <b val="1"/>
      <color indexed="8"/>
      <sz val="9"/>
    </font>
    <font>
      <name val="Arial"/>
      <family val="2"/>
      <b val="1"/>
      <color indexed="11"/>
      <sz val="9"/>
    </font>
    <font>
      <name val="Arial"/>
      <family val="2"/>
      <color indexed="11"/>
      <sz val="9"/>
    </font>
    <font>
      <name val="Arial"/>
      <family val="2"/>
      <b val="1"/>
      <color indexed="8"/>
      <sz val="8"/>
    </font>
    <font>
      <name val="Arial"/>
      <family val="2"/>
      <color indexed="8"/>
      <sz val="12"/>
    </font>
  </fonts>
  <fills count="9">
    <fill>
      <patternFill/>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2"/>
        <bgColor indexed="64"/>
      </patternFill>
    </fill>
    <fill>
      <patternFill patternType="solid">
        <fgColor theme="5" tint="0.7999816888943144"/>
        <bgColor indexed="64"/>
      </patternFill>
    </fill>
    <fill>
      <patternFill patternType="solid">
        <fgColor theme="9" tint="0.7999816888943144"/>
        <bgColor indexed="64"/>
      </patternFill>
    </fill>
  </fills>
  <borders count="1">
    <border>
      <left/>
      <right/>
      <top/>
      <bottom/>
      <diagonal/>
    </border>
  </borders>
  <cellStyleXfs count="2">
    <xf numFmtId="0" fontId="0" fillId="0" borderId="0"/>
    <xf numFmtId="0" fontId="3" fillId="0" borderId="0"/>
  </cellStyleXfs>
  <cellXfs count="25">
    <xf numFmtId="0" fontId="0" fillId="0" borderId="0" pivotButton="0" quotePrefix="0" xfId="0"/>
    <xf numFmtId="0" fontId="1" fillId="0" borderId="0" pivotButton="0" quotePrefix="0" xfId="0"/>
    <xf numFmtId="0" fontId="1" fillId="0" borderId="0" applyAlignment="1" pivotButton="0" quotePrefix="0" xfId="0">
      <alignment wrapText="1"/>
    </xf>
    <xf numFmtId="0" fontId="1" fillId="2" borderId="0" applyAlignment="1" pivotButton="0" quotePrefix="0" xfId="0">
      <alignment textRotation="90"/>
    </xf>
    <xf numFmtId="0" fontId="1" fillId="3" borderId="0" applyAlignment="1" pivotButton="0" quotePrefix="0" xfId="0">
      <alignment textRotation="90"/>
    </xf>
    <xf numFmtId="0" fontId="1" fillId="4" borderId="0" applyAlignment="1" pivotButton="0" quotePrefix="0" xfId="0">
      <alignment textRotation="90"/>
    </xf>
    <xf numFmtId="0" fontId="2" fillId="0" borderId="0" pivotButton="0" quotePrefix="0" xfId="0"/>
    <xf numFmtId="0" fontId="2" fillId="0" borderId="0" applyAlignment="1" pivotButton="0" quotePrefix="0" xfId="0">
      <alignment wrapText="1"/>
    </xf>
    <xf numFmtId="9" fontId="2" fillId="2" borderId="0" pivotButton="0" quotePrefix="0" xfId="0"/>
    <xf numFmtId="9" fontId="2" fillId="3" borderId="0" pivotButton="0" quotePrefix="0" xfId="0"/>
    <xf numFmtId="9" fontId="2" fillId="4" borderId="0" pivotButton="0" quotePrefix="0" xfId="0"/>
    <xf numFmtId="49" fontId="4" fillId="5" borderId="0" pivotButton="0" quotePrefix="0" xfId="1"/>
    <xf numFmtId="0" fontId="3" fillId="5" borderId="0" pivotButton="0" quotePrefix="0" xfId="1"/>
    <xf numFmtId="0" fontId="3" fillId="0" borderId="0" pivotButton="0" quotePrefix="0" xfId="1"/>
    <xf numFmtId="0" fontId="5" fillId="5" borderId="0" applyAlignment="1" pivotButton="0" quotePrefix="0" xfId="1">
      <alignment vertical="center" wrapText="1"/>
    </xf>
    <xf numFmtId="0" fontId="6" fillId="5" borderId="0" applyAlignment="1" pivotButton="0" quotePrefix="0" xfId="1">
      <alignment vertical="center" wrapText="1"/>
    </xf>
    <xf numFmtId="0" fontId="3" fillId="5" borderId="0" applyAlignment="1" pivotButton="0" quotePrefix="0" xfId="1">
      <alignment vertical="center" wrapText="1"/>
    </xf>
    <xf numFmtId="0" fontId="3" fillId="5" borderId="0" applyAlignment="1" pivotButton="0" quotePrefix="0" xfId="1">
      <alignment wrapText="1"/>
    </xf>
    <xf numFmtId="49" fontId="3" fillId="6" borderId="0" applyAlignment="1" pivotButton="0" quotePrefix="0" xfId="1">
      <alignment wrapText="1"/>
    </xf>
    <xf numFmtId="0" fontId="5" fillId="5" borderId="0" applyAlignment="1" pivotButton="0" quotePrefix="0" xfId="1">
      <alignment wrapText="1"/>
    </xf>
    <xf numFmtId="0" fontId="6" fillId="5" borderId="0" pivotButton="0" quotePrefix="0" xfId="1"/>
    <xf numFmtId="49" fontId="7" fillId="6" borderId="0" applyAlignment="1" pivotButton="0" quotePrefix="0" xfId="1">
      <alignment wrapText="1"/>
    </xf>
    <xf numFmtId="49" fontId="3" fillId="7" borderId="0" applyAlignment="1" pivotButton="0" quotePrefix="0" xfId="1">
      <alignment wrapText="1"/>
    </xf>
    <xf numFmtId="49" fontId="3" fillId="8" borderId="0" applyAlignment="1" pivotButton="0" quotePrefix="0" xfId="1">
      <alignment wrapText="1"/>
    </xf>
    <xf numFmtId="49" fontId="8" fillId="8" borderId="0" applyAlignment="1" pivotButton="0" quotePrefix="0" xfId="1">
      <alignment wrapText="1" readingOrder="1"/>
    </xf>
  </cellXfs>
  <cellStyles count="2">
    <cellStyle name="Normal" xfId="0" builtinId="0"/>
    <cellStyle name="Normal 2"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A1:G37"/>
  <sheetViews>
    <sheetView showGridLines="0" topLeftCell="A6" zoomScale="76" zoomScaleNormal="76" workbookViewId="0">
      <selection activeCell="C3" sqref="C3"/>
    </sheetView>
  </sheetViews>
  <sheetFormatPr baseColWidth="10" defaultColWidth="10.83203125" defaultRowHeight="16" customHeight="1" outlineLevelCol="0"/>
  <cols>
    <col width="31.6640625" customWidth="1" style="13" min="1" max="1"/>
    <col width="87.1640625" customWidth="1" style="13" min="2" max="2"/>
    <col width="225.6640625" customWidth="1" style="13" min="3" max="3"/>
    <col width="10.83203125" customWidth="1" style="13" min="4" max="6"/>
    <col width="30" customWidth="1" style="13" min="7" max="7"/>
    <col width="10.83203125" customWidth="1" style="13" min="8" max="15"/>
    <col width="10.83203125" customWidth="1" style="13" min="16" max="16384"/>
  </cols>
  <sheetData>
    <row r="1" ht="17" customHeight="1">
      <c r="A1" s="11" t="inlineStr">
        <is>
          <t>Code name</t>
        </is>
      </c>
      <c r="B1" s="11" t="inlineStr">
        <is>
          <t>Code description</t>
        </is>
      </c>
      <c r="C1" s="11" t="inlineStr">
        <is>
          <t>Code examples</t>
        </is>
      </c>
      <c r="D1" s="12" t="n"/>
      <c r="E1" s="12" t="n"/>
      <c r="F1" s="12" t="n"/>
      <c r="G1" s="12" t="n"/>
    </row>
    <row r="2" ht="255" customHeight="1">
      <c r="A2" s="14" t="n"/>
      <c r="B2" s="15" t="n"/>
      <c r="C2" s="16" t="n"/>
      <c r="D2" s="17" t="n"/>
      <c r="E2" s="17" t="n"/>
      <c r="F2" s="12" t="n"/>
      <c r="G2" s="12" t="n"/>
    </row>
    <row r="3" ht="323" customHeight="1">
      <c r="A3" s="18" t="inlineStr">
        <is>
          <t>passive learning</t>
        </is>
      </c>
      <c r="B3" s="18" t="inlineStr">
        <is>
          <t>Learners being oriented toward and receiving information from the instructional materials without overtly doing anything else related to learning.</t>
        </is>
      </c>
      <c r="C3" s="18" t="inlineStr">
        <is>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is>
      </c>
      <c r="D3" s="17" t="n"/>
      <c r="E3" s="19" t="n"/>
      <c r="F3" s="20" t="n"/>
      <c r="G3" s="17" t="n"/>
    </row>
    <row r="4" ht="409.5" customHeight="1">
      <c r="A4" s="18" t="inlineStr">
        <is>
          <t>active learning</t>
        </is>
      </c>
      <c r="B4" s="18" t="inlineStr">
        <is>
          <t>Learners do some form of overt motoric action or physical manipulation without necessarily entailubf the production of an artifact.</t>
        </is>
      </c>
      <c r="C4" s="18" t="inlineStr">
        <is>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is>
      </c>
      <c r="D4" s="17" t="n"/>
      <c r="E4" s="17" t="n"/>
      <c r="F4" s="17" t="n"/>
      <c r="G4" s="17" t="n"/>
    </row>
    <row r="5" ht="255" customHeight="1">
      <c r="A5" s="18" t="inlineStr">
        <is>
          <t>constructive learning</t>
        </is>
      </c>
      <c r="B5" s="18" t="inlineStr">
        <is>
          <t>Learners generate or produce additional externalized outputs or products beyond what was provided in the learning materials.</t>
        </is>
      </c>
      <c r="C5" s="18" t="inlineStr">
        <is>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5" s="17" t="n"/>
      <c r="E5" s="14" t="n"/>
      <c r="F5" s="15" t="n"/>
      <c r="G5" s="16" t="n"/>
    </row>
    <row r="6" ht="136" customHeight="1">
      <c r="A6" s="21" t="inlineStr">
        <is>
          <t>interactive learning</t>
        </is>
      </c>
      <c r="B6" s="18" t="inlineStr">
        <is>
          <t>Learners dialogue with another person, device, learning environment, or system (e.g., a chatbot). Also, if a learning environment or computer-based system expects a response from the user, and provides feedback to that response. It does not necessarily entail the creation of an artifact.</t>
        </is>
      </c>
      <c r="C6" s="18" t="inlineStr">
        <is>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is>
      </c>
      <c r="D6" s="17" t="n"/>
      <c r="E6" s="17" t="n"/>
      <c r="F6" s="12" t="n"/>
      <c r="G6" s="12" t="n"/>
    </row>
    <row r="7" ht="68" customHeight="1">
      <c r="A7" s="22" t="inlineStr">
        <is>
          <t>individual activity</t>
        </is>
      </c>
      <c r="B7" s="22" t="inlineStr">
        <is>
          <t>Learners are asked to accomplish certain activities individually, not involving the creation of an artifact</t>
        </is>
      </c>
      <c r="C7" s="22" t="inlineStr">
        <is>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is>
      </c>
      <c r="D7" s="17" t="n"/>
      <c r="E7" s="17" t="n"/>
      <c r="F7" s="12" t="n"/>
      <c r="G7" s="12" t="n"/>
    </row>
    <row r="8" ht="68" customHeight="1">
      <c r="A8" s="22" t="inlineStr">
        <is>
          <t>individual product</t>
        </is>
      </c>
      <c r="B8" s="22" t="inlineStr">
        <is>
          <t>The participating students were asked to produce an individual artifact</t>
        </is>
      </c>
      <c r="C8" s="22" t="inlineStr">
        <is>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8" s="17" t="n"/>
      <c r="E8" s="17" t="n"/>
      <c r="F8" s="12" t="n"/>
      <c r="G8" s="12" t="n"/>
    </row>
    <row r="9" ht="85" customHeight="1">
      <c r="A9" s="22" t="inlineStr">
        <is>
          <t>collective activity</t>
        </is>
      </c>
      <c r="B9" s="22" t="inlineStr">
        <is>
          <t>Learners are asked to only accomplish certain activities with other people (e.g., other peers, teacher, parents, external people) not involving the creation of an artifact</t>
        </is>
      </c>
      <c r="C9" s="22" t="inlineStr">
        <is>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is>
      </c>
      <c r="D9" s="17" t="n"/>
      <c r="E9" s="17" t="n"/>
      <c r="F9" s="12" t="n"/>
      <c r="G9" s="12" t="n"/>
    </row>
    <row r="10" ht="85" customHeight="1">
      <c r="A10" s="22" t="inlineStr">
        <is>
          <t>collective product</t>
        </is>
      </c>
      <c r="B10" s="22" t="inlineStr">
        <is>
          <t>Learners are asked to produce an artifact with other people (e.g., other peers, teacher, parents, external people)</t>
        </is>
      </c>
      <c r="C10" s="22" t="inlineStr">
        <is>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is>
      </c>
      <c r="D10" s="17" t="n"/>
      <c r="E10" s="17" t="n"/>
      <c r="F10" s="12" t="n"/>
      <c r="G10" s="12" t="n"/>
    </row>
    <row r="11" ht="238" customHeight="1">
      <c r="A11" s="23" t="inlineStr">
        <is>
          <t>orientation</t>
        </is>
      </c>
      <c r="B11" s="23" t="inlineStr">
        <is>
          <t>The process of stimulating curiosity about a topic and addressing a learning challenge through a problem statement.</t>
        </is>
      </c>
      <c r="C11" s="24" t="inlineStr">
        <is>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is>
      </c>
      <c r="D11" s="17" t="n"/>
      <c r="E11" s="17" t="n"/>
      <c r="F11" s="12" t="n"/>
      <c r="G11" s="12" t="n"/>
    </row>
    <row r="12" ht="85" customHeight="1">
      <c r="A12" s="23" t="inlineStr">
        <is>
          <t>conceptualisation</t>
        </is>
      </c>
      <c r="B12" s="23" t="inlineStr">
        <is>
          <t>The process of generating research questions and/or hypotheses regarding a stated problem.</t>
        </is>
      </c>
      <c r="C12" s="23" t="inlineStr">
        <is>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is>
      </c>
      <c r="D12" s="17" t="n"/>
      <c r="E12" s="17" t="n"/>
      <c r="F12" s="12" t="n"/>
      <c r="G12" s="12" t="n"/>
    </row>
    <row r="13" ht="170" customHeight="1">
      <c r="A13" s="23" t="inlineStr">
        <is>
          <t>investigation</t>
        </is>
      </c>
      <c r="B13" s="23" t="inlineStr">
        <is>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is>
      </c>
      <c r="C13" s="23" t="inlineStr">
        <is>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is>
      </c>
      <c r="D13" s="17" t="n"/>
      <c r="E13" s="17" t="n"/>
      <c r="F13" s="12" t="n"/>
      <c r="G13" s="12" t="n"/>
    </row>
    <row r="14" ht="85" customHeight="1">
      <c r="A14" s="23" t="inlineStr">
        <is>
          <t>conclusion</t>
        </is>
      </c>
      <c r="B14" s="23" t="inlineStr">
        <is>
          <t>The process of drawing conclusions from the data. Comparing inferences made based on data with hypotheses or research questions.</t>
        </is>
      </c>
      <c r="C14" s="23" t="inlineStr">
        <is>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is>
      </c>
      <c r="D14" s="17" t="n"/>
      <c r="E14" s="17" t="n"/>
      <c r="F14" s="12" t="n"/>
      <c r="G14" s="12" t="n"/>
    </row>
    <row r="15" ht="187" customHeight="1">
      <c r="A15" s="23" t="inlineStr">
        <is>
          <t>discussion</t>
        </is>
      </c>
      <c r="B15" s="23" t="inlineStr">
        <is>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is>
      </c>
      <c r="C15" s="23" t="inlineStr">
        <is>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is>
      </c>
      <c r="D15" s="17" t="n"/>
      <c r="E15" s="17" t="n"/>
      <c r="F15" s="12" t="n"/>
      <c r="G15" s="12" t="n"/>
    </row>
    <row r="16" ht="17" customHeight="1">
      <c r="A16" s="17" t="n"/>
      <c r="B16" s="17" t="n"/>
      <c r="C16" s="17" t="n"/>
      <c r="D16" s="17" t="n"/>
      <c r="E16" s="17" t="n"/>
      <c r="F16" s="12" t="n"/>
      <c r="G16" s="12" t="n"/>
    </row>
    <row r="17" ht="17" customHeight="1">
      <c r="A17" s="17" t="n"/>
      <c r="B17" s="17" t="n"/>
      <c r="C17" s="17" t="n"/>
      <c r="D17" s="17" t="n"/>
      <c r="E17" s="17" t="n"/>
      <c r="F17" s="12" t="n"/>
      <c r="G17" s="12" t="n"/>
    </row>
    <row r="18" ht="17" customHeight="1">
      <c r="A18" s="17" t="n"/>
      <c r="B18" s="17" t="n"/>
      <c r="C18" s="17" t="n"/>
      <c r="D18" s="17" t="n"/>
      <c r="E18" s="17" t="n"/>
      <c r="F18" s="12" t="n"/>
      <c r="G18" s="12" t="n"/>
    </row>
    <row r="19" ht="17" customHeight="1">
      <c r="A19" s="17" t="n"/>
      <c r="B19" s="17" t="n"/>
      <c r="C19" s="17" t="n"/>
      <c r="D19" s="17" t="n"/>
      <c r="E19" s="17" t="n"/>
      <c r="F19" s="12" t="n"/>
      <c r="G19" s="12" t="n"/>
    </row>
    <row r="20" ht="17" customHeight="1">
      <c r="A20" s="17" t="n"/>
      <c r="B20" s="17" t="n"/>
      <c r="C20" s="17" t="n"/>
      <c r="D20" s="17" t="n"/>
      <c r="E20" s="17" t="n"/>
      <c r="F20" s="12" t="n"/>
      <c r="G20" s="12" t="n"/>
    </row>
    <row r="21" ht="17" customHeight="1">
      <c r="A21" s="17" t="n"/>
      <c r="B21" s="17" t="n"/>
      <c r="C21" s="17" t="n"/>
      <c r="D21" s="17" t="n"/>
      <c r="E21" s="17" t="n"/>
      <c r="F21" s="12" t="n"/>
      <c r="G21" s="12" t="n"/>
    </row>
    <row r="22" ht="17" customHeight="1">
      <c r="A22" s="17" t="n"/>
      <c r="B22" s="17" t="n"/>
      <c r="C22" s="17" t="n"/>
      <c r="D22" s="17" t="n"/>
      <c r="E22" s="17" t="n"/>
      <c r="F22" s="12" t="n"/>
      <c r="G22" s="12" t="n"/>
    </row>
    <row r="23" ht="17" customHeight="1">
      <c r="A23" s="17" t="n"/>
      <c r="B23" s="17" t="n"/>
      <c r="C23" s="17" t="n"/>
      <c r="D23" s="17" t="n"/>
      <c r="E23" s="17" t="n"/>
      <c r="F23" s="12" t="n"/>
      <c r="G23" s="12" t="n"/>
    </row>
    <row r="24" ht="17" customHeight="1">
      <c r="A24" s="17" t="n"/>
      <c r="B24" s="17" t="n"/>
      <c r="C24" s="17" t="n"/>
      <c r="D24" s="17" t="n"/>
      <c r="E24" s="17" t="n"/>
      <c r="F24" s="12" t="n"/>
      <c r="G24" s="12" t="n"/>
    </row>
    <row r="25" ht="17" customHeight="1">
      <c r="A25" s="17" t="n"/>
      <c r="B25" s="17" t="n"/>
      <c r="C25" s="17" t="n"/>
      <c r="D25" s="17" t="n"/>
      <c r="E25" s="17" t="n"/>
      <c r="F25" s="12" t="n"/>
      <c r="G25" s="12" t="n"/>
    </row>
    <row r="26" ht="17" customHeight="1">
      <c r="A26" s="17" t="n"/>
      <c r="B26" s="17" t="n"/>
      <c r="C26" s="17" t="n"/>
      <c r="D26" s="17" t="n"/>
      <c r="E26" s="17" t="n"/>
      <c r="F26" s="12" t="n"/>
      <c r="G26" s="12" t="n"/>
    </row>
    <row r="27" ht="17" customHeight="1">
      <c r="A27" s="17" t="n"/>
      <c r="B27" s="17" t="n"/>
      <c r="C27" s="17" t="n"/>
      <c r="D27" s="17" t="n"/>
      <c r="E27" s="17" t="n"/>
      <c r="F27" s="12" t="n"/>
      <c r="G27" s="12" t="n"/>
    </row>
    <row r="28" ht="17" customHeight="1">
      <c r="A28" s="17" t="n"/>
      <c r="B28" s="17" t="n"/>
      <c r="C28" s="17" t="n"/>
      <c r="D28" s="17" t="n"/>
      <c r="E28" s="17" t="n"/>
      <c r="F28" s="12" t="n"/>
      <c r="G28" s="12" t="n"/>
    </row>
    <row r="29" ht="17" customHeight="1">
      <c r="A29" s="17" t="n"/>
      <c r="B29" s="17" t="n"/>
      <c r="C29" s="17" t="n"/>
      <c r="D29" s="17" t="n"/>
      <c r="E29" s="17" t="n"/>
      <c r="F29" s="12" t="n"/>
      <c r="G29" s="12" t="n"/>
    </row>
    <row r="30" ht="17" customHeight="1">
      <c r="A30" s="17" t="n"/>
      <c r="B30" s="17" t="n"/>
      <c r="C30" s="17" t="n"/>
      <c r="D30" s="17" t="n"/>
      <c r="E30" s="17" t="n"/>
      <c r="F30" s="12" t="n"/>
      <c r="G30" s="12" t="n"/>
    </row>
    <row r="31" ht="17" customHeight="1">
      <c r="A31" s="17" t="n"/>
      <c r="B31" s="17" t="n"/>
      <c r="C31" s="17" t="n"/>
      <c r="D31" s="17" t="n"/>
      <c r="E31" s="17" t="n"/>
      <c r="F31" s="12" t="n"/>
      <c r="G31" s="12" t="n"/>
    </row>
    <row r="32" ht="17" customHeight="1">
      <c r="A32" s="17" t="n"/>
      <c r="B32" s="17" t="n"/>
      <c r="C32" s="17" t="n"/>
      <c r="D32" s="17" t="n"/>
      <c r="E32" s="17" t="n"/>
      <c r="F32" s="12" t="n"/>
      <c r="G32" s="12" t="n"/>
    </row>
    <row r="33" ht="17" customHeight="1">
      <c r="A33" s="17" t="n"/>
      <c r="B33" s="17" t="n"/>
      <c r="C33" s="17" t="n"/>
      <c r="D33" s="17" t="n"/>
      <c r="E33" s="17" t="n"/>
      <c r="F33" s="12" t="n"/>
      <c r="G33" s="12" t="n"/>
    </row>
    <row r="34" ht="17" customHeight="1">
      <c r="A34" s="17" t="n"/>
      <c r="B34" s="17" t="n"/>
      <c r="C34" s="17" t="n"/>
      <c r="D34" s="17" t="n"/>
      <c r="E34" s="17" t="n"/>
      <c r="F34" s="12" t="n"/>
      <c r="G34" s="12" t="n"/>
    </row>
    <row r="35" ht="17" customHeight="1">
      <c r="A35" s="17" t="n"/>
      <c r="B35" s="17" t="n"/>
      <c r="C35" s="17" t="n"/>
      <c r="D35" s="17" t="n"/>
      <c r="E35" s="17" t="n"/>
      <c r="F35" s="12" t="n"/>
      <c r="G35" s="12" t="n"/>
    </row>
    <row r="36" ht="17" customHeight="1">
      <c r="A36" s="17" t="n"/>
      <c r="B36" s="17" t="n"/>
      <c r="C36" s="17" t="n"/>
      <c r="D36" s="17" t="n"/>
      <c r="E36" s="17" t="n"/>
      <c r="F36" s="12" t="n"/>
      <c r="G36" s="12" t="n"/>
    </row>
    <row r="37" ht="17" customHeight="1">
      <c r="A37" s="17" t="n"/>
      <c r="B37" s="17" t="n"/>
      <c r="C37" s="17" t="n"/>
      <c r="D37" s="17" t="n"/>
      <c r="E37" s="17" t="n"/>
      <c r="F37" s="12" t="n"/>
      <c r="G37" s="12" t="n"/>
    </row>
  </sheetData>
  <pageMargins left="0.7" right="0.7" top="0.75" bottom="0.75" header="0.3" footer="0.3"/>
  <pageSetup orientation="portrait"/>
  <headerFooter>
    <oddHeader/>
    <oddFooter>&amp;C&amp;"Helvetica Neue,Regular"&amp;12 &amp;K000000&amp;P</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S759"/>
  <sheetViews>
    <sheetView workbookViewId="0">
      <selection activeCell="I3" sqref="I3"/>
    </sheetView>
  </sheetViews>
  <sheetFormatPr baseColWidth="10" defaultRowHeight="16"/>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Summary</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n"/>
      <c r="G2" s="8" t="n">
        <v>0</v>
      </c>
      <c r="H2" s="8" t="n">
        <v>0</v>
      </c>
      <c r="I2" s="8" t="n">
        <v>0</v>
      </c>
      <c r="J2" s="8" t="n">
        <v>0</v>
      </c>
      <c r="K2" s="9" t="n">
        <v>0</v>
      </c>
      <c r="L2" s="9" t="n">
        <v>0</v>
      </c>
      <c r="M2" s="9" t="n">
        <v>0</v>
      </c>
      <c r="N2" s="9" t="n">
        <v>0</v>
      </c>
      <c r="O2" s="10" t="n">
        <v>0</v>
      </c>
      <c r="P2" s="10" t="n">
        <v>0</v>
      </c>
      <c r="Q2" s="10" t="n">
        <v>0</v>
      </c>
      <c r="R2" s="10" t="n">
        <v>0</v>
      </c>
      <c r="S2" s="10" t="n">
        <v>0</v>
      </c>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n"/>
      <c r="G3" s="8" t="n">
        <v>1</v>
      </c>
      <c r="H3" s="8" t="n">
        <v>0</v>
      </c>
      <c r="I3" s="8" t="n">
        <v>0</v>
      </c>
      <c r="J3" s="8" t="n">
        <v>0</v>
      </c>
      <c r="K3" s="9" t="n">
        <v>1</v>
      </c>
      <c r="L3" s="9" t="n">
        <v>0</v>
      </c>
      <c r="M3" s="9" t="n">
        <v>0</v>
      </c>
      <c r="N3" s="9" t="n">
        <v>0</v>
      </c>
      <c r="O3" s="10" t="n">
        <v>1</v>
      </c>
      <c r="P3" s="10" t="n">
        <v>0</v>
      </c>
      <c r="Q3" s="10" t="n">
        <v>0</v>
      </c>
      <c r="R3" s="10" t="n">
        <v>0</v>
      </c>
      <c r="S3" s="10" t="n">
        <v>0</v>
      </c>
    </row>
    <row r="4" ht="121"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n"/>
      <c r="G4" s="8" t="n">
        <v>1</v>
      </c>
      <c r="H4" s="8" t="n">
        <v>0</v>
      </c>
      <c r="I4" s="8" t="n">
        <v>0</v>
      </c>
      <c r="J4" s="8" t="n">
        <v>0</v>
      </c>
      <c r="K4" s="9" t="n">
        <v>1</v>
      </c>
      <c r="L4" s="9" t="n">
        <v>0</v>
      </c>
      <c r="M4" s="9" t="n">
        <v>0</v>
      </c>
      <c r="N4" s="9" t="n">
        <v>0</v>
      </c>
      <c r="O4" s="10" t="n">
        <v>0</v>
      </c>
      <c r="P4" s="10" t="n">
        <v>0</v>
      </c>
      <c r="Q4" s="10" t="n">
        <v>0</v>
      </c>
      <c r="R4" s="10" t="n">
        <v>0</v>
      </c>
      <c r="S4" s="10" t="n">
        <v>0</v>
      </c>
    </row>
    <row r="5" ht="329"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n"/>
      <c r="G5" s="8" t="n">
        <v>0</v>
      </c>
      <c r="H5" s="8" t="n">
        <v>0</v>
      </c>
      <c r="I5" s="8" t="n">
        <v>1</v>
      </c>
      <c r="J5" s="8" t="n">
        <v>0</v>
      </c>
      <c r="K5" s="9" t="n">
        <v>0</v>
      </c>
      <c r="L5" s="9" t="n">
        <v>1</v>
      </c>
      <c r="M5" s="9" t="n">
        <v>0</v>
      </c>
      <c r="N5" s="9" t="n">
        <v>0</v>
      </c>
      <c r="O5" s="10" t="n">
        <v>0</v>
      </c>
      <c r="P5" s="10" t="n">
        <v>0</v>
      </c>
      <c r="Q5" s="10" t="n">
        <v>0</v>
      </c>
      <c r="R5" s="10" t="n">
        <v>0</v>
      </c>
      <c r="S5" s="10" t="n">
        <v>0</v>
      </c>
    </row>
    <row r="6" ht="73"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n"/>
      <c r="G6" s="8" t="n">
        <v>1</v>
      </c>
      <c r="H6" s="8" t="n">
        <v>0</v>
      </c>
      <c r="I6" s="8" t="n">
        <v>0</v>
      </c>
      <c r="J6" s="8" t="n">
        <v>0</v>
      </c>
      <c r="K6" s="9" t="n">
        <v>1</v>
      </c>
      <c r="L6" s="9" t="n">
        <v>0</v>
      </c>
      <c r="M6" s="9" t="n">
        <v>0</v>
      </c>
      <c r="N6" s="9" t="n">
        <v>0</v>
      </c>
      <c r="O6" s="10" t="n">
        <v>0</v>
      </c>
      <c r="P6" s="10" t="n">
        <v>0</v>
      </c>
      <c r="Q6" s="10" t="n">
        <v>0</v>
      </c>
      <c r="R6" s="10" t="n">
        <v>0</v>
      </c>
      <c r="S6" s="10" t="n">
        <v>1</v>
      </c>
    </row>
    <row r="7" ht="37"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n"/>
      <c r="G7" s="8" t="n">
        <v>1</v>
      </c>
      <c r="H7" s="8" t="n">
        <v>0</v>
      </c>
      <c r="I7" s="8" t="n">
        <v>0</v>
      </c>
      <c r="J7" s="8" t="n">
        <v>0</v>
      </c>
      <c r="K7" s="9" t="n">
        <v>1</v>
      </c>
      <c r="L7" s="9" t="n">
        <v>0</v>
      </c>
      <c r="M7" s="9" t="n">
        <v>0</v>
      </c>
      <c r="N7" s="9" t="n">
        <v>0</v>
      </c>
      <c r="O7" s="10" t="n">
        <v>1</v>
      </c>
      <c r="P7" s="10" t="n">
        <v>0</v>
      </c>
      <c r="Q7" s="10" t="n">
        <v>0</v>
      </c>
      <c r="R7" s="10" t="n">
        <v>0</v>
      </c>
      <c r="S7" s="10" t="n">
        <v>0</v>
      </c>
    </row>
    <row r="8" ht="121"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n"/>
      <c r="G8" s="8" t="n">
        <v>1</v>
      </c>
      <c r="H8" s="8" t="n">
        <v>0</v>
      </c>
      <c r="I8" s="8" t="n">
        <v>0</v>
      </c>
      <c r="J8" s="8" t="n">
        <v>0</v>
      </c>
      <c r="K8" s="9" t="n">
        <v>1</v>
      </c>
      <c r="L8" s="9" t="n">
        <v>0</v>
      </c>
      <c r="M8" s="9" t="n">
        <v>0</v>
      </c>
      <c r="N8" s="9" t="n">
        <v>0</v>
      </c>
      <c r="O8" s="10" t="n">
        <v>0</v>
      </c>
      <c r="P8" s="10" t="n">
        <v>0</v>
      </c>
      <c r="Q8" s="10" t="n">
        <v>0</v>
      </c>
      <c r="R8" s="10" t="n">
        <v>0</v>
      </c>
      <c r="S8" s="10" t="n">
        <v>0</v>
      </c>
    </row>
    <row r="9" ht="329"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n"/>
      <c r="G9" s="8" t="n">
        <v>0</v>
      </c>
      <c r="H9" s="8" t="n">
        <v>0</v>
      </c>
      <c r="I9" s="8" t="n">
        <v>0</v>
      </c>
      <c r="J9" s="8" t="n">
        <v>0</v>
      </c>
      <c r="K9" s="9" t="n">
        <v>0</v>
      </c>
      <c r="L9" s="9" t="n">
        <v>0</v>
      </c>
      <c r="M9" s="9" t="n">
        <v>0</v>
      </c>
      <c r="N9" s="9" t="n">
        <v>0</v>
      </c>
      <c r="O9" s="10" t="n">
        <v>0</v>
      </c>
      <c r="P9" s="10" t="n">
        <v>0</v>
      </c>
      <c r="Q9" s="10" t="n">
        <v>0</v>
      </c>
      <c r="R9" s="10" t="n">
        <v>0</v>
      </c>
      <c r="S9" s="10" t="n">
        <v>0</v>
      </c>
    </row>
    <row r="10" ht="73"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n"/>
      <c r="G10" s="8" t="n">
        <v>1</v>
      </c>
      <c r="H10" s="8" t="n">
        <v>0</v>
      </c>
      <c r="I10" s="8" t="n">
        <v>0</v>
      </c>
      <c r="J10" s="8" t="n">
        <v>0</v>
      </c>
      <c r="K10" s="9" t="n">
        <v>1</v>
      </c>
      <c r="L10" s="9" t="n">
        <v>0</v>
      </c>
      <c r="M10" s="9" t="n">
        <v>0</v>
      </c>
      <c r="N10" s="9" t="n">
        <v>0</v>
      </c>
      <c r="O10" s="10" t="n">
        <v>0</v>
      </c>
      <c r="P10" s="10" t="n">
        <v>0</v>
      </c>
      <c r="Q10" s="10" t="n">
        <v>0</v>
      </c>
      <c r="R10" s="10" t="n">
        <v>0</v>
      </c>
      <c r="S10" s="10" t="n">
        <v>1</v>
      </c>
    </row>
    <row r="11" ht="37"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n"/>
      <c r="G11" s="8" t="n">
        <v>0</v>
      </c>
      <c r="H11" s="8" t="n">
        <v>0</v>
      </c>
      <c r="I11" s="8" t="n">
        <v>0</v>
      </c>
      <c r="J11" s="8" t="n">
        <v>0</v>
      </c>
      <c r="K11" s="9" t="n">
        <v>0</v>
      </c>
      <c r="L11" s="9" t="n">
        <v>0</v>
      </c>
      <c r="M11" s="9" t="n">
        <v>0</v>
      </c>
      <c r="N11" s="9" t="n">
        <v>0</v>
      </c>
      <c r="O11" s="10" t="n">
        <v>0</v>
      </c>
      <c r="P11" s="10" t="n">
        <v>0</v>
      </c>
      <c r="Q11" s="10" t="n">
        <v>0</v>
      </c>
      <c r="R11" s="10" t="n">
        <v>0</v>
      </c>
      <c r="S11" s="10" t="n">
        <v>0</v>
      </c>
    </row>
    <row r="12" ht="241"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n"/>
      <c r="G12" s="8" t="n">
        <v>0</v>
      </c>
      <c r="H12" s="8" t="n">
        <v>1</v>
      </c>
      <c r="I12" s="8" t="n">
        <v>0</v>
      </c>
      <c r="J12" s="8" t="n">
        <v>0</v>
      </c>
      <c r="K12" s="9" t="n">
        <v>1</v>
      </c>
      <c r="L12" s="9" t="n">
        <v>0</v>
      </c>
      <c r="M12" s="9" t="n">
        <v>0</v>
      </c>
      <c r="N12" s="9" t="n">
        <v>0</v>
      </c>
      <c r="O12" s="10" t="n">
        <v>0</v>
      </c>
      <c r="P12" s="10" t="n">
        <v>0</v>
      </c>
      <c r="Q12" s="10" t="n">
        <v>1</v>
      </c>
      <c r="R12" s="10" t="n">
        <v>0</v>
      </c>
      <c r="S12" s="10" t="n">
        <v>0</v>
      </c>
    </row>
    <row r="13" ht="133"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n"/>
      <c r="G13" s="8" t="n">
        <v>0</v>
      </c>
      <c r="H13" s="8" t="n">
        <v>1</v>
      </c>
      <c r="I13" s="8" t="n">
        <v>0</v>
      </c>
      <c r="J13" s="8" t="n">
        <v>0</v>
      </c>
      <c r="K13" s="9" t="n">
        <v>1</v>
      </c>
      <c r="L13" s="9" t="n">
        <v>0</v>
      </c>
      <c r="M13" s="9" t="n">
        <v>0</v>
      </c>
      <c r="N13" s="9" t="n">
        <v>0</v>
      </c>
      <c r="O13" s="10" t="n">
        <v>0</v>
      </c>
      <c r="P13" s="10" t="n">
        <v>0</v>
      </c>
      <c r="Q13" s="10" t="n">
        <v>1</v>
      </c>
      <c r="R13" s="10" t="n">
        <v>0</v>
      </c>
      <c r="S13" s="10" t="n">
        <v>0</v>
      </c>
    </row>
    <row r="14" ht="49"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n"/>
      <c r="G14" s="8" t="n">
        <v>0</v>
      </c>
      <c r="H14" s="8" t="n">
        <v>0</v>
      </c>
      <c r="I14" s="8" t="n">
        <v>0</v>
      </c>
      <c r="J14" s="8" t="n">
        <v>0</v>
      </c>
      <c r="K14" s="9" t="n">
        <v>0</v>
      </c>
      <c r="L14" s="9" t="n">
        <v>0</v>
      </c>
      <c r="M14" s="9" t="n">
        <v>0</v>
      </c>
      <c r="N14" s="9" t="n">
        <v>0</v>
      </c>
      <c r="O14" s="10" t="n">
        <v>0</v>
      </c>
      <c r="P14" s="10" t="n">
        <v>0</v>
      </c>
      <c r="Q14" s="10" t="n">
        <v>0</v>
      </c>
      <c r="R14" s="10" t="n">
        <v>0</v>
      </c>
      <c r="S14" s="10" t="n">
        <v>0</v>
      </c>
    </row>
    <row r="15" ht="25"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n"/>
      <c r="G15" s="8" t="n">
        <v>0</v>
      </c>
      <c r="H15" s="8" t="n">
        <v>0</v>
      </c>
      <c r="I15" s="8" t="n">
        <v>0</v>
      </c>
      <c r="J15" s="8" t="n">
        <v>0</v>
      </c>
      <c r="K15" s="9" t="n">
        <v>0</v>
      </c>
      <c r="L15" s="9" t="n">
        <v>0</v>
      </c>
      <c r="M15" s="9" t="n">
        <v>0</v>
      </c>
      <c r="N15" s="9" t="n">
        <v>0</v>
      </c>
      <c r="O15" s="10" t="n">
        <v>0</v>
      </c>
      <c r="P15" s="10" t="n">
        <v>0</v>
      </c>
      <c r="Q15" s="10" t="n">
        <v>0</v>
      </c>
      <c r="R15" s="10" t="n">
        <v>0</v>
      </c>
      <c r="S15" s="10" t="n">
        <v>0</v>
      </c>
    </row>
    <row r="16" ht="409.5"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n"/>
      <c r="G16" s="8" t="n">
        <v>0</v>
      </c>
      <c r="H16" s="8" t="n">
        <v>0</v>
      </c>
      <c r="I16" s="8" t="n">
        <v>1</v>
      </c>
      <c r="J16" s="8" t="n">
        <v>0</v>
      </c>
      <c r="K16" s="9" t="n">
        <v>0</v>
      </c>
      <c r="L16" s="9" t="n">
        <v>1</v>
      </c>
      <c r="M16" s="9" t="n">
        <v>0</v>
      </c>
      <c r="N16" s="9" t="n">
        <v>0</v>
      </c>
      <c r="O16" s="10" t="n">
        <v>0</v>
      </c>
      <c r="P16" s="10" t="n">
        <v>1</v>
      </c>
      <c r="Q16" s="10" t="n">
        <v>0</v>
      </c>
      <c r="R16" s="10" t="n">
        <v>0</v>
      </c>
      <c r="S16" s="10" t="n">
        <v>0</v>
      </c>
    </row>
    <row r="17" ht="85"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n"/>
      <c r="G17" s="8" t="n">
        <v>1</v>
      </c>
      <c r="H17" s="8" t="n">
        <v>0</v>
      </c>
      <c r="I17" s="8" t="n">
        <v>0</v>
      </c>
      <c r="J17" s="8" t="n">
        <v>0</v>
      </c>
      <c r="K17" s="9" t="n">
        <v>1</v>
      </c>
      <c r="L17" s="9" t="n">
        <v>0</v>
      </c>
      <c r="M17" s="9" t="n">
        <v>0</v>
      </c>
      <c r="N17" s="9" t="n">
        <v>0</v>
      </c>
      <c r="O17" s="10" t="n">
        <v>0</v>
      </c>
      <c r="P17" s="10" t="n">
        <v>0</v>
      </c>
      <c r="Q17" s="10" t="n">
        <v>0</v>
      </c>
      <c r="R17" s="10" t="n">
        <v>1</v>
      </c>
      <c r="S17" s="10" t="n">
        <v>0</v>
      </c>
    </row>
    <row r="18" ht="329"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n"/>
      <c r="G18" s="8" t="n">
        <v>0</v>
      </c>
      <c r="H18" s="8" t="n">
        <v>0</v>
      </c>
      <c r="I18" s="8" t="n">
        <v>1</v>
      </c>
      <c r="J18" s="8" t="n">
        <v>0</v>
      </c>
      <c r="K18" s="9" t="n">
        <v>0</v>
      </c>
      <c r="L18" s="9" t="n">
        <v>1</v>
      </c>
      <c r="M18" s="9" t="n">
        <v>0</v>
      </c>
      <c r="N18" s="9" t="n">
        <v>0</v>
      </c>
      <c r="O18" s="10" t="n">
        <v>0</v>
      </c>
      <c r="P18" s="10" t="n">
        <v>0</v>
      </c>
      <c r="Q18" s="10" t="n">
        <v>0</v>
      </c>
      <c r="R18" s="10" t="n">
        <v>0</v>
      </c>
      <c r="S18" s="10" t="n">
        <v>0</v>
      </c>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n"/>
      <c r="G19" s="8" t="n">
        <v>1</v>
      </c>
      <c r="H19" s="8" t="n">
        <v>0</v>
      </c>
      <c r="I19" s="8" t="n">
        <v>0</v>
      </c>
      <c r="J19" s="8" t="n">
        <v>0</v>
      </c>
      <c r="K19" s="9" t="n">
        <v>1</v>
      </c>
      <c r="L19" s="9" t="n">
        <v>0</v>
      </c>
      <c r="M19" s="9" t="n">
        <v>0</v>
      </c>
      <c r="N19" s="9" t="n">
        <v>0</v>
      </c>
      <c r="O19" s="10" t="n">
        <v>0</v>
      </c>
      <c r="P19" s="10" t="n">
        <v>0</v>
      </c>
      <c r="Q19" s="10" t="n">
        <v>0</v>
      </c>
      <c r="R19" s="10" t="n">
        <v>1</v>
      </c>
      <c r="S19" s="10" t="n">
        <v>0</v>
      </c>
    </row>
    <row r="20" ht="329"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n"/>
      <c r="G20" s="8" t="n">
        <v>0</v>
      </c>
      <c r="H20" s="8" t="n">
        <v>0</v>
      </c>
      <c r="I20" s="8" t="n">
        <v>1</v>
      </c>
      <c r="J20" s="8" t="n">
        <v>0</v>
      </c>
      <c r="K20" s="9" t="n">
        <v>0</v>
      </c>
      <c r="L20" s="9" t="n">
        <v>1</v>
      </c>
      <c r="M20" s="9" t="n">
        <v>0</v>
      </c>
      <c r="N20" s="9" t="n">
        <v>0</v>
      </c>
      <c r="O20" s="10" t="n">
        <v>0</v>
      </c>
      <c r="P20" s="10" t="n">
        <v>0</v>
      </c>
      <c r="Q20" s="10" t="n">
        <v>0</v>
      </c>
      <c r="R20" s="10" t="n">
        <v>0</v>
      </c>
      <c r="S20" s="10" t="n">
        <v>0</v>
      </c>
    </row>
    <row r="21" ht="8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n"/>
      <c r="G21" s="8" t="n">
        <v>1</v>
      </c>
      <c r="H21" s="8" t="n">
        <v>0</v>
      </c>
      <c r="I21" s="8" t="n">
        <v>0</v>
      </c>
      <c r="J21" s="8" t="n">
        <v>0</v>
      </c>
      <c r="K21" s="9" t="n">
        <v>1</v>
      </c>
      <c r="L21" s="9" t="n">
        <v>0</v>
      </c>
      <c r="M21" s="9" t="n">
        <v>0</v>
      </c>
      <c r="N21" s="9" t="n">
        <v>0</v>
      </c>
      <c r="O21" s="10" t="n">
        <v>0</v>
      </c>
      <c r="P21" s="10" t="n">
        <v>0</v>
      </c>
      <c r="Q21" s="10" t="n">
        <v>0</v>
      </c>
      <c r="R21" s="10" t="n">
        <v>1</v>
      </c>
      <c r="S21" s="10" t="n">
        <v>0</v>
      </c>
    </row>
    <row r="22" ht="329"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n"/>
      <c r="G22" s="8" t="n">
        <v>0</v>
      </c>
      <c r="H22" s="8" t="n">
        <v>0</v>
      </c>
      <c r="I22" s="8" t="n">
        <v>1</v>
      </c>
      <c r="J22" s="8" t="n">
        <v>0</v>
      </c>
      <c r="K22" s="9" t="n">
        <v>0</v>
      </c>
      <c r="L22" s="9" t="n">
        <v>1</v>
      </c>
      <c r="M22" s="9" t="n">
        <v>0</v>
      </c>
      <c r="N22" s="9" t="n">
        <v>0</v>
      </c>
      <c r="O22" s="10" t="n">
        <v>0</v>
      </c>
      <c r="P22" s="10" t="n">
        <v>0</v>
      </c>
      <c r="Q22" s="10" t="n">
        <v>0</v>
      </c>
      <c r="R22" s="10" t="n">
        <v>0</v>
      </c>
      <c r="S22" s="10" t="n">
        <v>0</v>
      </c>
    </row>
    <row r="23" ht="37"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n"/>
      <c r="G23" s="8" t="n">
        <v>0</v>
      </c>
      <c r="H23" s="8" t="n">
        <v>0</v>
      </c>
      <c r="I23" s="8" t="n">
        <v>0</v>
      </c>
      <c r="J23" s="8" t="n">
        <v>0</v>
      </c>
      <c r="K23" s="9" t="n">
        <v>0</v>
      </c>
      <c r="L23" s="9" t="n">
        <v>0</v>
      </c>
      <c r="M23" s="9" t="n">
        <v>0</v>
      </c>
      <c r="N23" s="9" t="n">
        <v>0</v>
      </c>
      <c r="O23" s="10" t="n">
        <v>0</v>
      </c>
      <c r="P23" s="10" t="n">
        <v>0</v>
      </c>
      <c r="Q23" s="10" t="n">
        <v>0</v>
      </c>
      <c r="R23" s="10" t="n">
        <v>0</v>
      </c>
      <c r="S23" s="10" t="n">
        <v>0</v>
      </c>
    </row>
    <row r="24" ht="25"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n"/>
      <c r="G24" s="8" t="n">
        <v>0</v>
      </c>
      <c r="H24" s="8" t="n">
        <v>0</v>
      </c>
      <c r="I24" s="8" t="n">
        <v>0</v>
      </c>
      <c r="J24" s="8" t="n">
        <v>0</v>
      </c>
      <c r="K24" s="9" t="n">
        <v>0</v>
      </c>
      <c r="L24" s="9" t="n">
        <v>0</v>
      </c>
      <c r="M24" s="9" t="n">
        <v>0</v>
      </c>
      <c r="N24" s="9" t="n">
        <v>0</v>
      </c>
      <c r="O24" s="10" t="n">
        <v>0</v>
      </c>
      <c r="P24" s="10" t="n">
        <v>0</v>
      </c>
      <c r="Q24" s="10" t="n">
        <v>0</v>
      </c>
      <c r="R24" s="10" t="n">
        <v>0</v>
      </c>
      <c r="S24" s="10" t="n">
        <v>0</v>
      </c>
    </row>
    <row r="25" ht="409.5"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n"/>
      <c r="G25" s="8" t="n">
        <v>1</v>
      </c>
      <c r="H25" s="8" t="n">
        <v>0</v>
      </c>
      <c r="I25" s="8" t="n">
        <v>0</v>
      </c>
      <c r="J25" s="8" t="n">
        <v>0</v>
      </c>
      <c r="K25" s="9" t="n">
        <v>1</v>
      </c>
      <c r="L25" s="9" t="n">
        <v>0</v>
      </c>
      <c r="M25" s="9" t="n">
        <v>0</v>
      </c>
      <c r="N25" s="9" t="n">
        <v>0</v>
      </c>
      <c r="O25" s="10" t="n">
        <v>1</v>
      </c>
      <c r="P25" s="10" t="n">
        <v>0</v>
      </c>
      <c r="Q25" s="10" t="n">
        <v>0</v>
      </c>
      <c r="R25" s="10" t="n">
        <v>0</v>
      </c>
      <c r="S25" s="10" t="n">
        <v>0</v>
      </c>
    </row>
    <row r="26" ht="37"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n"/>
      <c r="G26" s="8" t="n">
        <v>0</v>
      </c>
      <c r="H26" s="8" t="n">
        <v>0</v>
      </c>
      <c r="I26" s="8" t="n">
        <v>0</v>
      </c>
      <c r="J26" s="8" t="n">
        <v>0</v>
      </c>
      <c r="K26" s="9" t="n">
        <v>0</v>
      </c>
      <c r="L26" s="9" t="n">
        <v>0</v>
      </c>
      <c r="M26" s="9" t="n">
        <v>0</v>
      </c>
      <c r="N26" s="9" t="n">
        <v>0</v>
      </c>
      <c r="O26" s="10" t="n">
        <v>0</v>
      </c>
      <c r="P26" s="10" t="n">
        <v>0</v>
      </c>
      <c r="Q26" s="10" t="n">
        <v>0</v>
      </c>
      <c r="R26" s="10" t="n">
        <v>0</v>
      </c>
      <c r="S26" s="10" t="n">
        <v>0</v>
      </c>
    </row>
    <row r="27" ht="2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n"/>
      <c r="G27" s="8" t="n">
        <v>0</v>
      </c>
      <c r="H27" s="8" t="n">
        <v>0</v>
      </c>
      <c r="I27" s="8" t="n">
        <v>0</v>
      </c>
      <c r="J27" s="8" t="n">
        <v>0</v>
      </c>
      <c r="K27" s="9" t="n">
        <v>0</v>
      </c>
      <c r="L27" s="9" t="n">
        <v>0</v>
      </c>
      <c r="M27" s="9" t="n">
        <v>0</v>
      </c>
      <c r="N27" s="9" t="n">
        <v>0</v>
      </c>
      <c r="O27" s="10" t="n">
        <v>0</v>
      </c>
      <c r="P27" s="10" t="n">
        <v>0</v>
      </c>
      <c r="Q27" s="10" t="n">
        <v>0</v>
      </c>
      <c r="R27" s="10" t="n">
        <v>0</v>
      </c>
      <c r="S27" s="10" t="n">
        <v>0</v>
      </c>
    </row>
    <row r="28" ht="296"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n"/>
      <c r="G28" s="8" t="n">
        <v>0</v>
      </c>
      <c r="H28" s="8" t="n">
        <v>0</v>
      </c>
      <c r="I28" s="8" t="n">
        <v>0</v>
      </c>
      <c r="J28" s="8" t="n">
        <v>1</v>
      </c>
      <c r="K28" s="9" t="n">
        <v>0</v>
      </c>
      <c r="L28" s="9" t="n">
        <v>1</v>
      </c>
      <c r="M28" s="9" t="n">
        <v>0</v>
      </c>
      <c r="N28" s="9" t="n">
        <v>0</v>
      </c>
      <c r="O28" s="10" t="n">
        <v>0</v>
      </c>
      <c r="P28" s="10" t="n">
        <v>0</v>
      </c>
      <c r="Q28" s="10" t="n">
        <v>0</v>
      </c>
      <c r="R28" s="10" t="n">
        <v>0</v>
      </c>
      <c r="S28" s="10" t="n">
        <v>1</v>
      </c>
    </row>
    <row r="29" ht="37"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n"/>
      <c r="G29" s="8" t="n">
        <v>0</v>
      </c>
      <c r="H29" s="8" t="n">
        <v>0</v>
      </c>
      <c r="I29" s="8" t="n">
        <v>1</v>
      </c>
      <c r="J29" s="8" t="n">
        <v>0</v>
      </c>
      <c r="K29" s="9" t="n">
        <v>0</v>
      </c>
      <c r="L29" s="9" t="n">
        <v>1</v>
      </c>
      <c r="M29" s="9" t="n">
        <v>0</v>
      </c>
      <c r="N29" s="9" t="n">
        <v>0</v>
      </c>
      <c r="O29" s="10" t="n">
        <v>0</v>
      </c>
      <c r="P29" s="10" t="n">
        <v>0</v>
      </c>
      <c r="Q29" s="10" t="n">
        <v>0</v>
      </c>
      <c r="R29" s="10" t="n">
        <v>0</v>
      </c>
      <c r="S29" s="10" t="n">
        <v>0</v>
      </c>
    </row>
    <row r="30" ht="329"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n"/>
      <c r="G30" s="8" t="n">
        <v>0</v>
      </c>
      <c r="H30" s="8" t="n">
        <v>0</v>
      </c>
      <c r="I30" s="8" t="n">
        <v>1</v>
      </c>
      <c r="J30" s="8" t="n">
        <v>0</v>
      </c>
      <c r="K30" s="9" t="n">
        <v>0</v>
      </c>
      <c r="L30" s="9" t="n">
        <v>1</v>
      </c>
      <c r="M30" s="9" t="n">
        <v>0</v>
      </c>
      <c r="N30" s="9" t="n">
        <v>0</v>
      </c>
      <c r="O30" s="10" t="n">
        <v>0</v>
      </c>
      <c r="P30" s="10" t="n">
        <v>0</v>
      </c>
      <c r="Q30" s="10" t="n">
        <v>0</v>
      </c>
      <c r="R30" s="10" t="n">
        <v>0</v>
      </c>
      <c r="S30" s="10" t="n">
        <v>0</v>
      </c>
    </row>
    <row r="31" ht="73"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n"/>
      <c r="G31" s="8" t="n">
        <v>1</v>
      </c>
      <c r="H31" s="8" t="n">
        <v>0</v>
      </c>
      <c r="I31" s="8" t="n">
        <v>0</v>
      </c>
      <c r="J31" s="8" t="n">
        <v>0</v>
      </c>
      <c r="K31" s="9" t="n">
        <v>1</v>
      </c>
      <c r="L31" s="9" t="n">
        <v>0</v>
      </c>
      <c r="M31" s="9" t="n">
        <v>0</v>
      </c>
      <c r="N31" s="9" t="n">
        <v>0</v>
      </c>
      <c r="O31" s="10" t="n">
        <v>0</v>
      </c>
      <c r="P31" s="10" t="n">
        <v>0</v>
      </c>
      <c r="Q31" s="10" t="n">
        <v>0</v>
      </c>
      <c r="R31" s="10" t="n">
        <v>0</v>
      </c>
      <c r="S31" s="10" t="n">
        <v>1</v>
      </c>
    </row>
    <row r="32" ht="109"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n"/>
      <c r="G32" s="8" t="n">
        <v>0</v>
      </c>
      <c r="H32" s="8" t="n">
        <v>0</v>
      </c>
      <c r="I32" s="8" t="n">
        <v>1</v>
      </c>
      <c r="J32" s="8" t="n">
        <v>0</v>
      </c>
      <c r="K32" s="9" t="n">
        <v>0</v>
      </c>
      <c r="L32" s="9" t="n">
        <v>1</v>
      </c>
      <c r="M32" s="9" t="n">
        <v>0</v>
      </c>
      <c r="N32" s="9" t="n">
        <v>0</v>
      </c>
      <c r="O32" s="10" t="n">
        <v>0</v>
      </c>
      <c r="P32" s="10" t="n">
        <v>0</v>
      </c>
      <c r="Q32" s="10" t="n">
        <v>0</v>
      </c>
      <c r="R32" s="10" t="n">
        <v>0</v>
      </c>
      <c r="S32" s="10" t="n">
        <v>1</v>
      </c>
    </row>
    <row r="33" ht="329"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n"/>
      <c r="G33" s="8" t="n">
        <v>0</v>
      </c>
      <c r="H33" s="8" t="n">
        <v>0</v>
      </c>
      <c r="I33" s="8" t="n">
        <v>1</v>
      </c>
      <c r="J33" s="8" t="n">
        <v>0</v>
      </c>
      <c r="K33" s="9" t="n">
        <v>0</v>
      </c>
      <c r="L33" s="9" t="n">
        <v>1</v>
      </c>
      <c r="M33" s="9" t="n">
        <v>0</v>
      </c>
      <c r="N33" s="9" t="n">
        <v>0</v>
      </c>
      <c r="O33" s="10" t="n">
        <v>0</v>
      </c>
      <c r="P33" s="10" t="n">
        <v>0</v>
      </c>
      <c r="Q33" s="10" t="n">
        <v>0</v>
      </c>
      <c r="R33" s="10" t="n">
        <v>0</v>
      </c>
      <c r="S33" s="10" t="n">
        <v>0</v>
      </c>
    </row>
    <row r="34" ht="73"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n"/>
      <c r="G34" s="8" t="n">
        <v>1</v>
      </c>
      <c r="H34" s="8" t="n">
        <v>0</v>
      </c>
      <c r="I34" s="8" t="n">
        <v>0</v>
      </c>
      <c r="J34" s="8" t="n">
        <v>0</v>
      </c>
      <c r="K34" s="9" t="n">
        <v>1</v>
      </c>
      <c r="L34" s="9" t="n">
        <v>0</v>
      </c>
      <c r="M34" s="9" t="n">
        <v>0</v>
      </c>
      <c r="N34" s="9" t="n">
        <v>0</v>
      </c>
      <c r="O34" s="10" t="n">
        <v>0</v>
      </c>
      <c r="P34" s="10" t="n">
        <v>0</v>
      </c>
      <c r="Q34" s="10" t="n">
        <v>0</v>
      </c>
      <c r="R34" s="10" t="n">
        <v>0</v>
      </c>
      <c r="S34" s="10" t="n">
        <v>1</v>
      </c>
    </row>
    <row r="35" ht="2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n"/>
      <c r="G35" s="8" t="n">
        <v>0</v>
      </c>
      <c r="H35" s="8" t="n">
        <v>0</v>
      </c>
      <c r="I35" s="8" t="n">
        <v>0</v>
      </c>
      <c r="J35" s="8" t="n">
        <v>0</v>
      </c>
      <c r="K35" s="9" t="n">
        <v>0</v>
      </c>
      <c r="L35" s="9" t="n">
        <v>0</v>
      </c>
      <c r="M35" s="9" t="n">
        <v>0</v>
      </c>
      <c r="N35" s="9" t="n">
        <v>0</v>
      </c>
      <c r="O35" s="10" t="n">
        <v>0</v>
      </c>
      <c r="P35" s="10" t="n">
        <v>0</v>
      </c>
      <c r="Q35" s="10" t="n">
        <v>0</v>
      </c>
      <c r="R35" s="10" t="n">
        <v>0</v>
      </c>
      <c r="S35" s="10" t="n">
        <v>0</v>
      </c>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n"/>
      <c r="G36" s="8" t="n">
        <v>0</v>
      </c>
      <c r="H36" s="8" t="n">
        <v>0</v>
      </c>
      <c r="I36" s="8" t="n">
        <v>1</v>
      </c>
      <c r="J36" s="8" t="n">
        <v>0</v>
      </c>
      <c r="K36" s="9" t="n">
        <v>0</v>
      </c>
      <c r="L36" s="9" t="n">
        <v>1</v>
      </c>
      <c r="M36" s="9" t="n">
        <v>0</v>
      </c>
      <c r="N36" s="9" t="n">
        <v>0</v>
      </c>
      <c r="O36" s="10" t="n">
        <v>0</v>
      </c>
      <c r="P36" s="10" t="n">
        <v>0</v>
      </c>
      <c r="Q36" s="10" t="n">
        <v>0</v>
      </c>
      <c r="R36" s="10" t="n">
        <v>0</v>
      </c>
      <c r="S36" s="10" t="n">
        <v>1</v>
      </c>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n"/>
      <c r="G37" s="8" t="n">
        <v>1</v>
      </c>
      <c r="H37" s="8" t="n">
        <v>0</v>
      </c>
      <c r="I37" s="8" t="n">
        <v>0</v>
      </c>
      <c r="J37" s="8" t="n">
        <v>0</v>
      </c>
      <c r="K37" s="9" t="n">
        <v>1</v>
      </c>
      <c r="L37" s="9" t="n">
        <v>0</v>
      </c>
      <c r="M37" s="9" t="n">
        <v>0</v>
      </c>
      <c r="N37" s="9" t="n">
        <v>0</v>
      </c>
      <c r="O37" s="10" t="n">
        <v>0</v>
      </c>
      <c r="P37" s="10" t="n">
        <v>0</v>
      </c>
      <c r="Q37" s="10" t="n">
        <v>0</v>
      </c>
      <c r="R37" s="10" t="n">
        <v>0</v>
      </c>
      <c r="S37" s="10" t="n">
        <v>0</v>
      </c>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n"/>
      <c r="G38" s="8" t="n">
        <v>0</v>
      </c>
      <c r="H38" s="8" t="n">
        <v>0</v>
      </c>
      <c r="I38" s="8" t="n">
        <v>1</v>
      </c>
      <c r="J38" s="8" t="n">
        <v>0</v>
      </c>
      <c r="K38" s="9" t="n">
        <v>0</v>
      </c>
      <c r="L38" s="9" t="n">
        <v>1</v>
      </c>
      <c r="M38" s="9" t="n">
        <v>0</v>
      </c>
      <c r="N38" s="9" t="n">
        <v>0</v>
      </c>
      <c r="O38" s="10" t="n">
        <v>0</v>
      </c>
      <c r="P38" s="10" t="n">
        <v>0</v>
      </c>
      <c r="Q38" s="10" t="n">
        <v>0</v>
      </c>
      <c r="R38" s="10" t="n">
        <v>0</v>
      </c>
      <c r="S38" s="10" t="n">
        <v>0</v>
      </c>
    </row>
    <row r="39" ht="263" customHeight="1">
      <c r="A39" s="6">
        <f>IFERROR(__xludf.DUMMYFUNCTION("""COMPUTED_VALUE"""),"Machine Learning and Artificial Intelligence")</f>
        <v/>
      </c>
      <c r="B39" s="6">
        <f>IFERROR(__xludf.DUMMYFUNCTION("""COMPUTED_VALUE"""),"Space")</f>
        <v/>
      </c>
      <c r="C39" s="6">
        <f>IFERROR(__xludf.DUMMYFUNCTION("""COMPUTED_VALUE"""),"Orientation")</f>
        <v/>
      </c>
      <c r="D39" s="7">
        <f>IFERROR(__xludf.DUMMYFUNCTION("""COMPUTED_VALUE"""),"&lt;p&gt;More and more, we are using and relying on smart devices (smartphones, smartwatches, smart cars, smart virtual assistants) to help us and assist in our daily life. But how can we teach a machine to react to our words ? Watch the video, discuss  with yo"&amp;"ur team and try to answer to the questions below.&lt;/p&gt;")</f>
        <v/>
      </c>
      <c r="E39" s="7">
        <f>IFERROR(__xludf.DUMMYFUNCTION("""COMPUTED_VALUE"""),"No artifact embedded")</f>
        <v/>
      </c>
      <c r="F39" s="7" t="n"/>
      <c r="G39" s="8" t="n">
        <v>0</v>
      </c>
      <c r="H39" s="8" t="n">
        <v>0</v>
      </c>
      <c r="I39" s="8" t="n">
        <v>0</v>
      </c>
      <c r="J39" s="8" t="n">
        <v>1</v>
      </c>
      <c r="K39" s="9" t="n">
        <v>1</v>
      </c>
      <c r="L39" s="9" t="n">
        <v>0</v>
      </c>
      <c r="M39" s="9" t="n">
        <v>0</v>
      </c>
      <c r="N39" s="9" t="n">
        <v>1</v>
      </c>
      <c r="O39" s="10" t="n">
        <v>1</v>
      </c>
      <c r="P39" s="10" t="n">
        <v>0</v>
      </c>
      <c r="Q39" s="10" t="n">
        <v>0</v>
      </c>
      <c r="R39" s="10" t="n">
        <v>0</v>
      </c>
      <c r="S39" s="10" t="n">
        <v>1</v>
      </c>
    </row>
    <row r="40" ht="373" customHeight="1">
      <c r="A40" s="6">
        <f>IFERROR(__xludf.DUMMYFUNCTION("""COMPUTED_VALUE"""),"Machine Learning and Artificial Intelligence")</f>
        <v/>
      </c>
      <c r="B40" s="6">
        <f>IFERROR(__xludf.DUMMYFUNCTION("""COMPUTED_VALUE"""),"Resource")</f>
        <v/>
      </c>
      <c r="C40" s="6">
        <f>IFERROR(__xludf.DUMMYFUNCTION("""COMPUTED_VALUE"""),"BUDDY - the Emotional Robot (EN-FR)")</f>
        <v/>
      </c>
      <c r="D40" s="7">
        <f>IFERROR(__xludf.DUMMYFUNCTION("""COMPUTED_VALUE"""),"&lt;p&gt;BUDDY is an endearing emotional robot that wins the heart of the whole family, including children and adults. And it is not his 60 cm high that will stop him in his quest for bringing the family around a new emotional experience.&lt;/p&gt;&lt;p&gt;Not content with"&amp;" being just an emotional companion, BUDDY is also democratizing robotics. BUDDY is built on an open technology platform making it easy for global developers to build applications.&lt;/p&gt;&lt;p&gt;&lt;br&gt;&lt;/p&gt;")</f>
        <v/>
      </c>
      <c r="E40" s="7">
        <f>IFERROR(__xludf.DUMMYFUNCTION("""COMPUTED_VALUE"""),"youtube.com: A widely known video-sharing platform where users can watch videos on a vast array of topics, including educational content.")</f>
        <v/>
      </c>
      <c r="F40" s="7" t="n"/>
      <c r="G40" s="8" t="n">
        <v>1</v>
      </c>
      <c r="H40" s="8" t="n">
        <v>0</v>
      </c>
      <c r="I40" s="8" t="n">
        <v>0</v>
      </c>
      <c r="J40" s="8" t="n">
        <v>0</v>
      </c>
      <c r="K40" s="9" t="n">
        <v>1</v>
      </c>
      <c r="L40" s="9" t="n">
        <v>0</v>
      </c>
      <c r="M40" s="9" t="n">
        <v>0</v>
      </c>
      <c r="N40" s="9" t="n">
        <v>0</v>
      </c>
      <c r="O40" s="10" t="n">
        <v>1</v>
      </c>
      <c r="P40" s="10" t="n">
        <v>0</v>
      </c>
      <c r="Q40" s="10" t="n">
        <v>0</v>
      </c>
      <c r="R40" s="10" t="n">
        <v>0</v>
      </c>
      <c r="S40" s="10" t="n">
        <v>0</v>
      </c>
    </row>
    <row r="41" ht="409.5" customHeight="1">
      <c r="A41" s="6">
        <f>IFERROR(__xludf.DUMMYFUNCTION("""COMPUTED_VALUE"""),"Machine Learning and Artificial Intelligence")</f>
        <v/>
      </c>
      <c r="B41" s="6">
        <f>IFERROR(__xludf.DUMMYFUNCTION("""COMPUTED_VALUE"""),"Application")</f>
        <v/>
      </c>
      <c r="C41" s="6">
        <f>IFERROR(__xludf.DUMMYFUNCTION("""COMPUTED_VALUE"""),"Speakup: how can Buddy interact with us?")</f>
        <v/>
      </c>
      <c r="D41" s="7">
        <f>IFERROR(__xludf.DUMMYFUNCTION("""COMPUTED_VALUE"""),"&lt;p&gt;Discuss with your team and try to respond to the next questions.&lt;/p&gt;&lt;p&gt;1) How do you think that Buddy can interact with people?&lt;br&gt;2) How does it ""hear"", ""see"", or ""talk""?&lt;br&gt;3) How does it move?&lt;/p&gt;")</f>
        <v/>
      </c>
      <c r="E41"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1" s="7" t="n"/>
      <c r="G41" s="8" t="n">
        <v>0</v>
      </c>
      <c r="H41" s="8" t="n">
        <v>0</v>
      </c>
      <c r="I41" s="8" t="n">
        <v>0</v>
      </c>
      <c r="J41" s="8" t="n">
        <v>1</v>
      </c>
      <c r="K41" s="9" t="n">
        <v>0</v>
      </c>
      <c r="L41" s="9" t="n">
        <v>0</v>
      </c>
      <c r="M41" s="9" t="n">
        <v>0</v>
      </c>
      <c r="N41" s="9" t="n">
        <v>1</v>
      </c>
      <c r="O41" s="10" t="n">
        <v>1</v>
      </c>
      <c r="P41" s="10" t="n">
        <v>0</v>
      </c>
      <c r="Q41" s="10" t="n">
        <v>0</v>
      </c>
      <c r="R41" s="10" t="n">
        <v>0</v>
      </c>
      <c r="S41" s="10" t="n">
        <v>1</v>
      </c>
    </row>
    <row r="42" ht="145" customHeight="1">
      <c r="A42" s="6">
        <f>IFERROR(__xludf.DUMMYFUNCTION("""COMPUTED_VALUE"""),"Machine Learning and Artificial Intelligence")</f>
        <v/>
      </c>
      <c r="B42" s="6">
        <f>IFERROR(__xludf.DUMMYFUNCTION("""COMPUTED_VALUE"""),"Space")</f>
        <v/>
      </c>
      <c r="C42" s="6">
        <f>IFERROR(__xludf.DUMMYFUNCTION("""COMPUTED_VALUE"""),"Conceptualisation")</f>
        <v/>
      </c>
      <c r="D42" s="7">
        <f>IFERROR(__xludf.DUMMYFUNCTION("""COMPUTED_VALUE"""),"&lt;p&gt;Maybe you have come to some answers about how Buddy can respond to different requests. Think of Buddy as a computer. Watch the video bellow and try to resolve the quizzes!&lt;/p&gt;")</f>
        <v/>
      </c>
      <c r="E42" s="7">
        <f>IFERROR(__xludf.DUMMYFUNCTION("""COMPUTED_VALUE"""),"No artifact embedded")</f>
        <v/>
      </c>
      <c r="F42" s="7" t="n"/>
      <c r="G42" s="8" t="n">
        <v>0</v>
      </c>
      <c r="H42" s="8" t="n">
        <v>0</v>
      </c>
      <c r="I42" s="8" t="n">
        <v>1</v>
      </c>
      <c r="J42" s="8" t="n">
        <v>0</v>
      </c>
      <c r="K42" s="9" t="n">
        <v>0</v>
      </c>
      <c r="L42" s="9" t="n">
        <v>1</v>
      </c>
      <c r="M42" s="9" t="n">
        <v>0</v>
      </c>
      <c r="N42" s="9" t="n">
        <v>0</v>
      </c>
      <c r="O42" s="10" t="n">
        <v>1</v>
      </c>
      <c r="P42" s="10" t="n">
        <v>0</v>
      </c>
      <c r="Q42" s="10" t="n">
        <v>0</v>
      </c>
      <c r="R42" s="10" t="n">
        <v>0</v>
      </c>
      <c r="S42" s="10" t="n">
        <v>0</v>
      </c>
    </row>
    <row r="43" ht="157" customHeight="1">
      <c r="A43" s="6">
        <f>IFERROR(__xludf.DUMMYFUNCTION("""COMPUTED_VALUE"""),"Machine Learning and Artificial Intelligence")</f>
        <v/>
      </c>
      <c r="B43" s="6">
        <f>IFERROR(__xludf.DUMMYFUNCTION("""COMPUTED_VALUE"""),"Resource")</f>
        <v/>
      </c>
      <c r="C43" s="6">
        <f>IFERROR(__xludf.DUMMYFUNCTION("""COMPUTED_VALUE"""),"How Computers Work: What Makes a Computer, a Computer?")</f>
        <v/>
      </c>
      <c r="D43" s="7">
        <f>IFERROR(__xludf.DUMMYFUNCTION("""COMPUTED_VALUE"""),"&lt;p&gt;Computers are all around us, but what really makes a computer, a computer? Explore the history of computers and the features they all share.&lt;/p&gt;&lt;p&gt;&lt;br&gt;&lt;/p&gt;")</f>
        <v/>
      </c>
      <c r="E43" s="7">
        <f>IFERROR(__xludf.DUMMYFUNCTION("""COMPUTED_VALUE"""),"youtu.be: A shortened URL service for YouTube, leading to various videos on the platform.")</f>
        <v/>
      </c>
      <c r="F43" s="7" t="n"/>
      <c r="G43" s="8" t="n">
        <v>1</v>
      </c>
      <c r="H43" s="8" t="n">
        <v>0</v>
      </c>
      <c r="I43" s="8" t="n">
        <v>0</v>
      </c>
      <c r="J43" s="8" t="n">
        <v>0</v>
      </c>
      <c r="K43" s="9" t="n">
        <v>1</v>
      </c>
      <c r="L43" s="9" t="n">
        <v>0</v>
      </c>
      <c r="M43" s="9" t="n">
        <v>0</v>
      </c>
      <c r="N43" s="9" t="n">
        <v>0</v>
      </c>
      <c r="O43" s="10" t="n">
        <v>1</v>
      </c>
      <c r="P43" s="10" t="n">
        <v>0</v>
      </c>
      <c r="Q43" s="10" t="n">
        <v>0</v>
      </c>
      <c r="R43" s="10" t="n">
        <v>0</v>
      </c>
      <c r="S43" s="10" t="n">
        <v>0</v>
      </c>
    </row>
    <row r="44" ht="157" customHeight="1">
      <c r="A44" s="6">
        <f>IFERROR(__xludf.DUMMYFUNCTION("""COMPUTED_VALUE"""),"Machine Learning and Artificial Intelligence")</f>
        <v/>
      </c>
      <c r="B44" s="6">
        <f>IFERROR(__xludf.DUMMYFUNCTION("""COMPUTED_VALUE"""),"Resource")</f>
        <v/>
      </c>
      <c r="C44" s="6">
        <f>IFERROR(__xludf.DUMMYFUNCTION("""COMPUTED_VALUE"""),"Algorithm:Teach a Computer to draw the letter L")</f>
        <v/>
      </c>
      <c r="D44" s="7">
        <f>IFERROR(__xludf.DUMMYFUNCTION("""COMPUTED_VALUE"""),"Me the A.I eTwinning Project 2019-2020 Create an algorithm! Put the sentences in the right place and teach a computer how to draw the letter L! Teacher: Lascaris Georgia, Greece")</f>
        <v/>
      </c>
      <c r="E44" s="7">
        <f>IFERROR(__xludf.DUMMYFUNCTION("""COMPUTED_VALUE"""),"learningapps.org: A platform for interactive learning modules and educational games.")</f>
        <v/>
      </c>
      <c r="F44" s="7" t="n"/>
      <c r="G44" s="8" t="n">
        <v>0</v>
      </c>
      <c r="H44" s="8" t="n">
        <v>0</v>
      </c>
      <c r="I44" s="8" t="n">
        <v>1</v>
      </c>
      <c r="J44" s="8" t="n">
        <v>0</v>
      </c>
      <c r="K44" s="9" t="n">
        <v>0</v>
      </c>
      <c r="L44" s="9" t="n">
        <v>1</v>
      </c>
      <c r="M44" s="9" t="n">
        <v>0</v>
      </c>
      <c r="N44" s="9" t="n">
        <v>0</v>
      </c>
      <c r="O44" s="10" t="n">
        <v>0</v>
      </c>
      <c r="P44" s="10" t="n">
        <v>0</v>
      </c>
      <c r="Q44" s="10" t="n">
        <v>0</v>
      </c>
      <c r="R44" s="10" t="n">
        <v>0</v>
      </c>
      <c r="S44" s="10" t="n">
        <v>0</v>
      </c>
    </row>
    <row r="45" ht="409.5" customHeight="1">
      <c r="A45" s="6">
        <f>IFERROR(__xludf.DUMMYFUNCTION("""COMPUTED_VALUE"""),"Machine Learning and Artificial Intelligence")</f>
        <v/>
      </c>
      <c r="B45" s="6">
        <f>IFERROR(__xludf.DUMMYFUNCTION("""COMPUTED_VALUE"""),"Space")</f>
        <v/>
      </c>
      <c r="C45" s="6">
        <f>IFERROR(__xludf.DUMMYFUNCTION("""COMPUTED_VALUE"""),"Investigation")</f>
        <v/>
      </c>
      <c r="D45" s="7">
        <f>IFERROR(__xludf.DUMMYFUNCTION("""COMPUTED_VALUE"""),"&lt;p&gt;So far, we have understand that robots, as Buddy are complex computers using Input devices (web camera, sensors, microphone...) to take informations from the environment, process them, and produce an adequate response using their output devices (monito"&amp;"r, headphones, movements...). But how can we program a robot to react for example to our commands? Next we will use Scratch programming to teach a robot to smile when we text it compliments and to be sad when we text it not very polite words.&lt;/p&gt;")</f>
        <v/>
      </c>
      <c r="E45" s="7">
        <f>IFERROR(__xludf.DUMMYFUNCTION("""COMPUTED_VALUE"""),"No artifact embedded")</f>
        <v/>
      </c>
      <c r="F45" s="7" t="n"/>
      <c r="G45" s="8" t="n">
        <v>0</v>
      </c>
      <c r="H45" s="8" t="n">
        <v>0</v>
      </c>
      <c r="I45" s="8" t="n">
        <v>1</v>
      </c>
      <c r="J45" s="8" t="n">
        <v>0</v>
      </c>
      <c r="K45" s="9" t="n">
        <v>0</v>
      </c>
      <c r="L45" s="9" t="n">
        <v>1</v>
      </c>
      <c r="M45" s="9" t="n">
        <v>0</v>
      </c>
      <c r="N45" s="9" t="n">
        <v>0</v>
      </c>
      <c r="O45" s="10" t="n">
        <v>1</v>
      </c>
      <c r="P45" s="10" t="n">
        <v>0</v>
      </c>
      <c r="Q45" s="10" t="n">
        <v>0</v>
      </c>
      <c r="R45" s="10" t="n">
        <v>0</v>
      </c>
      <c r="S45" s="10" t="n">
        <v>0</v>
      </c>
    </row>
    <row r="46" ht="409.5" customHeight="1">
      <c r="A46" s="6">
        <f>IFERROR(__xludf.DUMMYFUNCTION("""COMPUTED_VALUE"""),"Machine Learning and Artificial Intelligence")</f>
        <v/>
      </c>
      <c r="B46" s="6">
        <f>IFERROR(__xludf.DUMMYFUNCTION("""COMPUTED_VALUE"""),"Application")</f>
        <v/>
      </c>
      <c r="C46" s="6">
        <f>IFERROR(__xludf.DUMMYFUNCTION("""COMPUTED_VALUE"""),"Hypothesis : If ...Then")</f>
        <v/>
      </c>
      <c r="D46" s="7">
        <f>IFERROR(__xludf.DUMMYFUNCTION("""COMPUTED_VALUE"""),"&lt;p&gt;Next, complete the 3 hypotheses our robot has to face: when we text it a compliment, it smiles, when we text it a not very polite words, it looks sad , and we text it something it can't understand, it puts on its neutral face. Suppose that ""INPUT TEXT"&amp;""" is the text we give as input to our robot.&lt;/p&gt;")</f>
        <v/>
      </c>
      <c r="E4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6" s="7" t="n"/>
      <c r="G46" s="8" t="n">
        <v>0</v>
      </c>
      <c r="H46" s="8" t="n">
        <v>0</v>
      </c>
      <c r="I46" s="8" t="n">
        <v>1</v>
      </c>
      <c r="J46" s="8" t="n">
        <v>0</v>
      </c>
      <c r="K46" s="9" t="n">
        <v>0</v>
      </c>
      <c r="L46" s="9" t="n">
        <v>1</v>
      </c>
      <c r="M46" s="9" t="n">
        <v>0</v>
      </c>
      <c r="N46" s="9" t="n">
        <v>0</v>
      </c>
      <c r="O46" s="10" t="n">
        <v>0</v>
      </c>
      <c r="P46" s="10" t="n">
        <v>1</v>
      </c>
      <c r="Q46" s="10" t="n">
        <v>0</v>
      </c>
      <c r="R46" s="10" t="n">
        <v>0</v>
      </c>
      <c r="S46" s="10" t="n">
        <v>0</v>
      </c>
    </row>
    <row r="47" ht="145" customHeight="1">
      <c r="A47" s="6">
        <f>IFERROR(__xludf.DUMMYFUNCTION("""COMPUTED_VALUE"""),"Machine Learning and Artificial Intelligence")</f>
        <v/>
      </c>
      <c r="B47" s="6">
        <f>IFERROR(__xludf.DUMMYFUNCTION("""COMPUTED_VALUE"""),"Resource")</f>
        <v/>
      </c>
      <c r="C47" s="6">
        <f>IFERROR(__xludf.DUMMYFUNCTION("""COMPUTED_VALUE"""),"Video tutorial: ""Make me Happy"" - Scratch coding")</f>
        <v/>
      </c>
      <c r="D47" s="7">
        <f>IFERROR(__xludf.DUMMYFUNCTION("""COMPUTED_VALUE"""),"&lt;p&gt;Watch carefully to video below and try to understand how the scratch commands as used to make a face respond (happy, sad, neutral) to the words we are texting. &lt;/p&gt;")</f>
        <v/>
      </c>
      <c r="E47" s="7">
        <f>IFERROR(__xludf.DUMMYFUNCTION("""COMPUTED_VALUE"""),"youtu.be: A shortened URL service for YouTube, leading to various videos on the platform.")</f>
        <v/>
      </c>
      <c r="F47" s="7" t="n"/>
      <c r="G47" s="8" t="n">
        <v>1</v>
      </c>
      <c r="H47" s="8" t="n">
        <v>0</v>
      </c>
      <c r="I47" s="8" t="n">
        <v>0</v>
      </c>
      <c r="J47" s="8" t="n">
        <v>0</v>
      </c>
      <c r="K47" s="9" t="n">
        <v>1</v>
      </c>
      <c r="L47" s="9" t="n">
        <v>0</v>
      </c>
      <c r="M47" s="9" t="n">
        <v>0</v>
      </c>
      <c r="N47" s="9" t="n">
        <v>0</v>
      </c>
      <c r="O47" s="10" t="n">
        <v>1</v>
      </c>
      <c r="P47" s="10" t="n">
        <v>0</v>
      </c>
      <c r="Q47" s="10" t="n">
        <v>0</v>
      </c>
      <c r="R47" s="10" t="n">
        <v>0</v>
      </c>
      <c r="S47" s="10" t="n">
        <v>0</v>
      </c>
    </row>
    <row r="48" ht="296" customHeight="1">
      <c r="A48" s="6">
        <f>IFERROR(__xludf.DUMMYFUNCTION("""COMPUTED_VALUE"""),"Machine Learning and Artificial Intelligence")</f>
        <v/>
      </c>
      <c r="B48" s="6">
        <f>IFERROR(__xludf.DUMMYFUNCTION("""COMPUTED_VALUE"""),"Application")</f>
        <v/>
      </c>
      <c r="C48" s="6">
        <f>IFERROR(__xludf.DUMMYFUNCTION("""COMPUTED_VALUE"""),"Quiz Tool")</f>
        <v/>
      </c>
      <c r="D48" s="7">
        <f>IFERROR(__xludf.DUMMYFUNCTION("""COMPUTED_VALUE"""),"&lt;p&gt;Select True or False&lt;/p&gt;")</f>
        <v/>
      </c>
      <c r="E4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8" s="7" t="n"/>
      <c r="G48" s="8" t="n">
        <v>0</v>
      </c>
      <c r="H48" s="8" t="n">
        <v>0</v>
      </c>
      <c r="I48" s="8" t="n">
        <v>0</v>
      </c>
      <c r="J48" s="8" t="n">
        <v>1</v>
      </c>
      <c r="K48" s="9" t="n">
        <v>0</v>
      </c>
      <c r="L48" s="9" t="n">
        <v>1</v>
      </c>
      <c r="M48" s="9" t="n">
        <v>0</v>
      </c>
      <c r="N48" s="9" t="n">
        <v>0</v>
      </c>
      <c r="O48" s="10" t="n">
        <v>0</v>
      </c>
      <c r="P48" s="10" t="n">
        <v>0</v>
      </c>
      <c r="Q48" s="10" t="n">
        <v>0</v>
      </c>
      <c r="R48" s="10" t="n">
        <v>0</v>
      </c>
      <c r="S48" s="10" t="n">
        <v>1</v>
      </c>
    </row>
    <row r="49" ht="409.5" customHeight="1">
      <c r="A49" s="6">
        <f>IFERROR(__xludf.DUMMYFUNCTION("""COMPUTED_VALUE"""),"Machine Learning and Artificial Intelligence")</f>
        <v/>
      </c>
      <c r="B49" s="6">
        <f>IFERROR(__xludf.DUMMYFUNCTION("""COMPUTED_VALUE"""),"Application")</f>
        <v/>
      </c>
      <c r="C49" s="6">
        <f>IFERROR(__xludf.DUMMYFUNCTION("""COMPUTED_VALUE"""),"Create your own Scratch program: Emotional Robot Face")</f>
        <v/>
      </c>
      <c r="D49" s="7">
        <f>IFERROR(__xludf.DUMMYFUNCTION("""COMPUTED_VALUE"""),"&lt;p&gt;Now, you are going to create your own program to ""teach"" a robot how to react to polite and no so polite words. &lt;/p&gt;&lt;p&gt;Go to &lt;a href=""https://scratch.mit.edu"" target=""_blank""&gt;https://scratch.mit.edu&lt;/a&gt; , login into your account and create a new "&amp;"Scratch program. Make your robot-face react to at least 5 compliments and 5 not polite words. You can return at any time to the video for help and add if you wish more reactions to your robot. Save your work as A.I at the scratch platform.&lt;br&gt;&lt;/p&gt;&lt;p&gt;Write"&amp;" down some of the difficulties you have faced.&lt;/p&gt;")</f>
        <v/>
      </c>
      <c r="E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9" s="7" t="n"/>
      <c r="G49" s="8" t="n">
        <v>0</v>
      </c>
      <c r="H49" s="8" t="n">
        <v>0</v>
      </c>
      <c r="I49" s="8" t="n">
        <v>1</v>
      </c>
      <c r="J49" s="8" t="n">
        <v>0</v>
      </c>
      <c r="K49" s="9" t="n">
        <v>0</v>
      </c>
      <c r="L49" s="9" t="n">
        <v>1</v>
      </c>
      <c r="M49" s="9" t="n">
        <v>0</v>
      </c>
      <c r="N49" s="9" t="n">
        <v>0</v>
      </c>
      <c r="O49" s="10" t="n">
        <v>0</v>
      </c>
      <c r="P49" s="10" t="n">
        <v>0</v>
      </c>
      <c r="Q49" s="10" t="n">
        <v>0</v>
      </c>
      <c r="R49" s="10" t="n">
        <v>0</v>
      </c>
      <c r="S49" s="10" t="n">
        <v>1</v>
      </c>
    </row>
    <row r="50" ht="409.5" customHeight="1">
      <c r="A50" s="6">
        <f>IFERROR(__xludf.DUMMYFUNCTION("""COMPUTED_VALUE"""),"Machine Learning and Artificial Intelligence")</f>
        <v/>
      </c>
      <c r="B50" s="6">
        <f>IFERROR(__xludf.DUMMYFUNCTION("""COMPUTED_VALUE"""),"Application")</f>
        <v/>
      </c>
      <c r="C50" s="6">
        <f>IFERROR(__xludf.DUMMYFUNCTION("""COMPUTED_VALUE"""),"SpeakUp: How can we improve our Scratch Program?")</f>
        <v/>
      </c>
      <c r="D50" s="7">
        <f>IFERROR(__xludf.DUMMYFUNCTION("""COMPUTED_VALUE"""),"&lt;p&gt;Share your thoughts/ideas/suggestions of how you could improve this program to trace for example Speech Hate on Social Media.&lt;/p&gt;")</f>
        <v/>
      </c>
      <c r="E50"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0" s="7" t="n"/>
      <c r="G50" s="8" t="n">
        <v>0</v>
      </c>
      <c r="H50" s="8" t="n">
        <v>0</v>
      </c>
      <c r="I50" s="8" t="n">
        <v>0</v>
      </c>
      <c r="J50" s="8" t="n">
        <v>1</v>
      </c>
      <c r="K50" s="9" t="n">
        <v>0</v>
      </c>
      <c r="L50" s="9" t="n">
        <v>0</v>
      </c>
      <c r="M50" s="9" t="n">
        <v>1</v>
      </c>
      <c r="N50" s="9" t="n">
        <v>0</v>
      </c>
      <c r="O50" s="10" t="n">
        <v>0</v>
      </c>
      <c r="P50" s="10" t="n">
        <v>0</v>
      </c>
      <c r="Q50" s="10" t="n">
        <v>0</v>
      </c>
      <c r="R50" s="10" t="n">
        <v>0</v>
      </c>
      <c r="S50" s="10" t="n">
        <v>1</v>
      </c>
    </row>
    <row r="51" ht="409.5" customHeight="1">
      <c r="A51" s="6">
        <f>IFERROR(__xludf.DUMMYFUNCTION("""COMPUTED_VALUE"""),"Machine Learning and Artificial Intelligence")</f>
        <v/>
      </c>
      <c r="B51" s="6">
        <f>IFERROR(__xludf.DUMMYFUNCTION("""COMPUTED_VALUE"""),"Space")</f>
        <v/>
      </c>
      <c r="C51" s="6">
        <f>IFERROR(__xludf.DUMMYFUNCTION("""COMPUTED_VALUE"""),"Conclusion")</f>
        <v/>
      </c>
      <c r="D51" s="7">
        <f>IFERROR(__xludf.DUMMYFUNCTION("""COMPUTED_VALUE"""),"&lt;p&gt;We can program a robot or a program to react to the informations (Input)we give to it. It's like as we teach a child to learn something new. The more data ( in our case words) we provite it, the more accurate will be its reaction. This is the basic con"&amp;"cept of Machine Learning. We teach a Machine/Computer/Robot by giving it a large set of data and help it, in a first place recognize (learn) the pattern so, later it could learn how to do it by itselft. This leads us to smart machines, machines with Artif"&amp;"icial Intelligence! &lt;/p&gt;&lt;p&gt;Let's relax and have fun with this activity from Google AI Experiments , a ""showcase for simple experiments that make it easier for anyone to start exploring machine learning, through pictures, drawings, language, music, and mo"&amp;"re"". Think that someone has teach the program Quick Draw to recognize drawings. Now the program tries to figure out if your drawing is similar to hundred other drawings describing the same object, and this way, continues to learn.&lt;/p&gt;")</f>
        <v/>
      </c>
      <c r="E51" s="7">
        <f>IFERROR(__xludf.DUMMYFUNCTION("""COMPUTED_VALUE"""),"No artifact embedded")</f>
        <v/>
      </c>
      <c r="F51" s="7" t="n"/>
      <c r="G51" s="8" t="n">
        <v>0</v>
      </c>
      <c r="H51" s="8" t="n">
        <v>1</v>
      </c>
      <c r="I51" s="8" t="n">
        <v>0</v>
      </c>
      <c r="J51" s="8" t="n">
        <v>0</v>
      </c>
      <c r="K51" s="9" t="n">
        <v>1</v>
      </c>
      <c r="L51" s="9" t="n">
        <v>0</v>
      </c>
      <c r="M51" s="9" t="n">
        <v>0</v>
      </c>
      <c r="N51" s="9" t="n">
        <v>0</v>
      </c>
      <c r="O51" s="10" t="n">
        <v>1</v>
      </c>
      <c r="P51" s="10" t="n">
        <v>0</v>
      </c>
      <c r="Q51" s="10" t="n">
        <v>1</v>
      </c>
      <c r="R51" s="10" t="n">
        <v>0</v>
      </c>
      <c r="S51" s="10" t="n">
        <v>0</v>
      </c>
    </row>
    <row r="52" ht="145" customHeight="1">
      <c r="A52" s="6">
        <f>IFERROR(__xludf.DUMMYFUNCTION("""COMPUTED_VALUE"""),"Machine Learning and Artificial Intelligence")</f>
        <v/>
      </c>
      <c r="B52" s="6">
        <f>IFERROR(__xludf.DUMMYFUNCTION("""COMPUTED_VALUE"""),"Resource")</f>
        <v/>
      </c>
      <c r="C52" s="6">
        <f>IFERROR(__xludf.DUMMYFUNCTION("""COMPUTED_VALUE"""),"Quick, Draw! by Google Creative Lab | Experiments with Google")</f>
        <v/>
      </c>
      <c r="D52" s="7">
        <f>IFERROR(__xludf.DUMMYFUNCTION("""COMPUTED_VALUE"""),"&lt;p&gt;A game where a neural net tries to guess what you’re drawing. Watch the tutorial video first and then click on the LAUNCH EXPERIMENT button below! &lt;/p&gt;")</f>
        <v/>
      </c>
      <c r="E52" s="7">
        <f>IFERROR(__xludf.DUMMYFUNCTION("""COMPUTED_VALUE"""),"experiments.withgoogle.com: Showcases Google's experimental projects, such as ""Quick, Draw!"", an AI-based drawing game.")</f>
        <v/>
      </c>
      <c r="F52" s="7" t="n"/>
      <c r="G52" s="8" t="n">
        <v>0</v>
      </c>
      <c r="H52" s="8" t="n">
        <v>1</v>
      </c>
      <c r="I52" s="8" t="n">
        <v>0</v>
      </c>
      <c r="J52" s="8" t="n">
        <v>0</v>
      </c>
      <c r="K52" s="9" t="n">
        <v>1</v>
      </c>
      <c r="L52" s="9" t="n">
        <v>0</v>
      </c>
      <c r="M52" s="9" t="n">
        <v>0</v>
      </c>
      <c r="N52" s="9" t="n">
        <v>0</v>
      </c>
      <c r="O52" s="10" t="n">
        <v>1</v>
      </c>
      <c r="P52" s="10" t="n">
        <v>0</v>
      </c>
      <c r="Q52" s="10" t="n">
        <v>1</v>
      </c>
      <c r="R52" s="10" t="n">
        <v>0</v>
      </c>
      <c r="S52" s="10" t="n">
        <v>0</v>
      </c>
    </row>
    <row r="53" ht="133" customHeight="1">
      <c r="A53" s="6">
        <f>IFERROR(__xludf.DUMMYFUNCTION("""COMPUTED_VALUE"""),"Machine Learning and Artificial Intelligence")</f>
        <v/>
      </c>
      <c r="B53" s="6">
        <f>IFERROR(__xludf.DUMMYFUNCTION("""COMPUTED_VALUE"""),"Space")</f>
        <v/>
      </c>
      <c r="C53" s="6">
        <f>IFERROR(__xludf.DUMMYFUNCTION("""COMPUTED_VALUE"""),"Discussion")</f>
        <v/>
      </c>
      <c r="D53" s="7">
        <f>IFERROR(__xludf.DUMMYFUNCTION("""COMPUTED_VALUE"""),"&lt;p&gt;We have seen that the quantity of data has a direct impact to how accurate will be the reactions of  our model (robot). But, what about the data quality?&lt;/p&gt;")</f>
        <v/>
      </c>
      <c r="E53" s="7">
        <f>IFERROR(__xludf.DUMMYFUNCTION("""COMPUTED_VALUE"""),"No artifact embedded")</f>
        <v/>
      </c>
      <c r="F53" s="7" t="n"/>
      <c r="G53" s="8" t="n">
        <v>1</v>
      </c>
      <c r="H53" s="8" t="n">
        <v>0</v>
      </c>
      <c r="I53" s="8" t="n">
        <v>0</v>
      </c>
      <c r="J53" s="8" t="n">
        <v>0</v>
      </c>
      <c r="K53" s="9" t="n">
        <v>1</v>
      </c>
      <c r="L53" s="9" t="n">
        <v>0</v>
      </c>
      <c r="M53" s="9" t="n">
        <v>0</v>
      </c>
      <c r="N53" s="9" t="n">
        <v>0</v>
      </c>
      <c r="O53" s="10" t="n">
        <v>0</v>
      </c>
      <c r="P53" s="10" t="n">
        <v>0</v>
      </c>
      <c r="Q53" s="10" t="n">
        <v>0</v>
      </c>
      <c r="R53" s="10" t="n">
        <v>0</v>
      </c>
      <c r="S53" s="10" t="n">
        <v>1</v>
      </c>
    </row>
    <row r="54" ht="409.5" customHeight="1">
      <c r="A54" s="6">
        <f>IFERROR(__xludf.DUMMYFUNCTION("""COMPUTED_VALUE"""),"Machine Learning and Artificial Intelligence")</f>
        <v/>
      </c>
      <c r="B54" s="6">
        <f>IFERROR(__xludf.DUMMYFUNCTION("""COMPUTED_VALUE"""),"Application")</f>
        <v/>
      </c>
      <c r="C54" s="6">
        <f>IFERROR(__xludf.DUMMYFUNCTION("""COMPUTED_VALUE"""),"Speakup")</f>
        <v/>
      </c>
      <c r="D54" s="7">
        <f>IFERROR(__xludf.DUMMYFUNCTION("""COMPUTED_VALUE"""),"&lt;p&gt;How important do you think the quality of the data is? If the words we provided to our robot, weren't very accurate, what to you think the result would be? And if, for some reason (can you name any ?) we didn't teach it the right way ( for example prov"&amp;"ide unpolite words and learn the robot that they are compliments), what do you think the concequences would be? Do you think ETHICS are important when it comes to Machine Learning and Artificial Intelligence? Share your thoughts.&lt;/p&gt;")</f>
        <v/>
      </c>
      <c r="E5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4" s="7" t="n"/>
      <c r="G54" s="8" t="n">
        <v>0</v>
      </c>
      <c r="H54" s="8" t="n">
        <v>0</v>
      </c>
      <c r="I54" s="8" t="n">
        <v>0</v>
      </c>
      <c r="J54" s="8" t="n">
        <v>1</v>
      </c>
      <c r="K54" s="9" t="n">
        <v>0</v>
      </c>
      <c r="L54" s="9" t="n">
        <v>0</v>
      </c>
      <c r="M54" s="9" t="n">
        <v>1</v>
      </c>
      <c r="N54" s="9" t="n">
        <v>0</v>
      </c>
      <c r="O54" s="10" t="n">
        <v>0</v>
      </c>
      <c r="P54" s="10" t="n">
        <v>0</v>
      </c>
      <c r="Q54" s="10" t="n">
        <v>0</v>
      </c>
      <c r="R54" s="10" t="n">
        <v>0</v>
      </c>
      <c r="S54" s="10" t="n">
        <v>1</v>
      </c>
    </row>
    <row r="55" ht="61" customHeight="1">
      <c r="A55" s="6">
        <f>IFERROR(__xludf.DUMMYFUNCTION("""COMPUTED_VALUE"""),"BHIMS")</f>
        <v/>
      </c>
      <c r="B55" s="6">
        <f>IFERROR(__xludf.DUMMYFUNCTION("""COMPUTED_VALUE"""),"Space")</f>
        <v/>
      </c>
      <c r="C55" s="6">
        <f>IFERROR(__xludf.DUMMYFUNCTION("""COMPUTED_VALUE"""),"Orientation")</f>
        <v/>
      </c>
      <c r="D55" s="7">
        <f>IFERROR(__xludf.DUMMYFUNCTION("""COMPUTED_VALUE"""),"&lt;p&gt;What do we know about Black holes?&lt;/p&gt;&lt;p&gt;&lt;br&gt;&lt;/p&gt;")</f>
        <v/>
      </c>
      <c r="E55" s="7">
        <f>IFERROR(__xludf.DUMMYFUNCTION("""COMPUTED_VALUE"""),"No artifact embedded")</f>
        <v/>
      </c>
      <c r="F55" s="7" t="n"/>
      <c r="G55" s="8" t="n">
        <v>1</v>
      </c>
      <c r="H55" s="8" t="n">
        <v>0</v>
      </c>
      <c r="I55" s="8" t="n">
        <v>0</v>
      </c>
      <c r="J55" s="8" t="n">
        <v>0</v>
      </c>
      <c r="K55" s="9" t="n">
        <v>1</v>
      </c>
      <c r="L55" s="9" t="n">
        <v>0</v>
      </c>
      <c r="M55" s="9" t="n">
        <v>0</v>
      </c>
      <c r="N55" s="9" t="n">
        <v>0</v>
      </c>
      <c r="O55" s="10" t="n">
        <v>1</v>
      </c>
      <c r="P55" s="10" t="n">
        <v>0</v>
      </c>
      <c r="Q55" s="10" t="n">
        <v>0</v>
      </c>
      <c r="R55" s="10" t="n">
        <v>0</v>
      </c>
      <c r="S55" s="10" t="n">
        <v>0</v>
      </c>
    </row>
    <row r="56" ht="97" customHeight="1">
      <c r="A56" s="6">
        <f>IFERROR(__xludf.DUMMYFUNCTION("""COMPUTED_VALUE"""),"BHIMS")</f>
        <v/>
      </c>
      <c r="B56" s="6">
        <f>IFERROR(__xludf.DUMMYFUNCTION("""COMPUTED_VALUE"""),"Resource")</f>
        <v/>
      </c>
      <c r="C56" s="6">
        <f>IFERROR(__xludf.DUMMYFUNCTION("""COMPUTED_VALUE"""),"cygX1.gif")</f>
        <v/>
      </c>
      <c r="D56" s="7">
        <f>IFERROR(__xludf.DUMMYFUNCTION("""COMPUTED_VALUE"""),"No task description")</f>
        <v/>
      </c>
      <c r="E56" s="7">
        <f>IFERROR(__xludf.DUMMYFUNCTION("""COMPUTED_VALUE"""),"image/gif – An animated or static graphic using the GIF format, often seen in memes and web animations.")</f>
        <v/>
      </c>
      <c r="F56" s="7" t="n"/>
      <c r="G56" s="8" t="n">
        <v>0</v>
      </c>
      <c r="H56" s="8" t="n">
        <v>0</v>
      </c>
      <c r="I56" s="8" t="n">
        <v>0</v>
      </c>
      <c r="J56" s="8" t="n">
        <v>0</v>
      </c>
      <c r="K56" s="9" t="n">
        <v>0</v>
      </c>
      <c r="L56" s="9" t="n">
        <v>0</v>
      </c>
      <c r="M56" s="9" t="n">
        <v>0</v>
      </c>
      <c r="N56" s="9" t="n">
        <v>0</v>
      </c>
      <c r="O56" s="10" t="n">
        <v>0</v>
      </c>
      <c r="P56" s="10" t="n">
        <v>0</v>
      </c>
      <c r="Q56" s="10" t="n">
        <v>0</v>
      </c>
      <c r="R56" s="10" t="n">
        <v>0</v>
      </c>
      <c r="S56" s="10" t="n">
        <v>0</v>
      </c>
    </row>
    <row r="57" ht="409.5" customHeight="1">
      <c r="A57" s="6">
        <f>IFERROR(__xludf.DUMMYFUNCTION("""COMPUTED_VALUE"""),"BHIMS")</f>
        <v/>
      </c>
      <c r="B57" s="6">
        <f>IFERROR(__xludf.DUMMYFUNCTION("""COMPUTED_VALUE"""),"Resource")</f>
        <v/>
      </c>
      <c r="C57" s="6">
        <f>IFERROR(__xludf.DUMMYFUNCTION("""COMPUTED_VALUE"""),"text 5.graasp")</f>
        <v/>
      </c>
      <c r="D57" s="7">
        <f>IFERROR(__xludf.DUMMYFUNCTION("""COMPUTED_VALUE"""),"&lt;p&gt;This lesson will bring you to the world of Black Holes. But before you start this journey please answer a few questions by following the link below (This ILS was created for research purposes, contact the author for more information: rosa.doran(at)nucl"&amp;"io.pt:&lt;/p&gt;&lt;p&gt;&lt;br&gt;&lt;/p&gt;&lt;p&gt;&lt;a href=""https://docs.google.com/forms/d/1GB6wbDyKDp2Ryrexl5xe3URESxFxaaeOkUl1ND_shNA/viewform"" target=""_blank""&gt;Pre-questionnaire for teachers&lt;/a&gt;&lt;/p&gt;&lt;p&gt;&lt;br&gt;&lt;/p&gt;&lt;p&gt;&lt;a target=""_blank"" href=""https://docs.google.com/forms/d/1rQ"&amp;"sI-_KP4XBl0wyxNZpDMU-U1mi28CyiNHv0p-RN9VQ/viewform""&gt;Pre-questioinnaire for students&lt;/a&gt;&lt;br&gt;&lt;/p&gt;&lt;p&gt;&lt;br&gt;&lt;/p&gt;&lt;p&gt;In this project you will be invited to explore stellar black hole candidates just as scientists do. You will also have the opportunity to have yo"&amp;"ur own research project and observe using research quality robotic telescopes. But before you start your scientific exploration it is important to learn a little bit more about black holes, from a theoretical point of view and from an observational point "&amp;"of view. Start by watching the suggested clips and discussing them with your teachers and colleagues. Start your own journal where you will describe the whole experience. Meanwhile welcome to ""Black Holes in my School"" adventure.&lt;br&gt;&lt;/p&gt;&lt;p&gt;&lt;br&gt;&lt;/p&gt;&lt;p st"&amp;"yle=""line-height: 26.6667px;""&gt;Watch this episode of the wormhole series where Morgan Freeman present Black Holes in a brilliant way&lt;/p&gt;&lt;p style=""line-height: 26.6667px;""&gt;&lt;br&gt;&lt;/p&gt;&lt;p&gt;&lt;a href=""http://www.disclose.tv/action/viewvideo/121055/Through_The_W"&amp;"ormhole_The_Riddle_Of_Black_Holes/"" target=""_blank""&gt;Through the wormhole - The Riddle of Black Holes&lt;/a&gt;&lt;br&gt;&lt;/p&gt;&lt;p&gt;&lt;br&gt;&lt;/p&gt;&lt;p style=""line-height: 26.6667px;""&gt;Now that you already heard the basics about black hole, take another step and adventure watc"&amp;"hing the movie Interstellar.&lt;br&gt;&lt;/p&gt;&lt;p style=""line-height: 26.6667px;""&gt;&lt;br&gt;&lt;/p&gt;&lt;p style=""line-height: 26.6667px;""&gt;&lt;br&gt;&lt;/p&gt;&lt;p style=""line-height: 26.6667px;""&gt;&lt;a href=""https://www.youtube.com/watch?v=Rt2LHkSwdPQ"" target=""_blank""&gt;The movie trailer&lt;"&amp;"/a&gt;&lt;/p&gt;&lt;p style=""line-height: 26.6667px;""&gt;&lt;br&gt;&lt;/p&gt;&lt;p&gt;But before learn a bit more about the whole story behind the production of this movie and the scientist who wrote the story&lt;br&gt;&lt;/p&gt;")</f>
        <v/>
      </c>
      <c r="E57" s="7">
        <f>IFERROR(__xludf.DUMMYFUNCTION("""COMPUTED_VALUE"""),"No artifact embedded")</f>
        <v/>
      </c>
      <c r="F57" s="7" t="n"/>
      <c r="G57" s="8" t="n">
        <v>0</v>
      </c>
      <c r="H57" s="8" t="n">
        <v>0</v>
      </c>
      <c r="I57" s="8" t="n">
        <v>0</v>
      </c>
      <c r="J57" s="8" t="n">
        <v>1</v>
      </c>
      <c r="K57" s="9" t="n">
        <v>0</v>
      </c>
      <c r="L57" s="9" t="n">
        <v>1</v>
      </c>
      <c r="M57" s="9" t="n">
        <v>1</v>
      </c>
      <c r="N57" s="9" t="n">
        <v>0</v>
      </c>
      <c r="O57" s="10" t="n">
        <v>1</v>
      </c>
      <c r="P57" s="10" t="n">
        <v>0</v>
      </c>
      <c r="Q57" s="10" t="n">
        <v>1</v>
      </c>
      <c r="R57" s="10" t="n">
        <v>0</v>
      </c>
      <c r="S57" s="10" t="n">
        <v>1</v>
      </c>
    </row>
    <row r="58" ht="25" customHeight="1">
      <c r="A58" s="6">
        <f>IFERROR(__xludf.DUMMYFUNCTION("""COMPUTED_VALUE"""),"BHIMS")</f>
        <v/>
      </c>
      <c r="B58" s="6">
        <f>IFERROR(__xludf.DUMMYFUNCTION("""COMPUTED_VALUE"""),"Resource")</f>
        <v/>
      </c>
      <c r="C58" s="6">
        <f>IFERROR(__xludf.DUMMYFUNCTION("""COMPUTED_VALUE"""),"text 4.graasp")</f>
        <v/>
      </c>
      <c r="D58" s="7">
        <f>IFERROR(__xludf.DUMMYFUNCTION("""COMPUTED_VALUE"""),"No task description")</f>
        <v/>
      </c>
      <c r="E58" s="7">
        <f>IFERROR(__xludf.DUMMYFUNCTION("""COMPUTED_VALUE"""),"No artifact embedded")</f>
        <v/>
      </c>
      <c r="F58" s="7" t="n"/>
      <c r="G58" s="8" t="n">
        <v>0</v>
      </c>
      <c r="H58" s="8" t="n">
        <v>0</v>
      </c>
      <c r="I58" s="8" t="n">
        <v>0</v>
      </c>
      <c r="J58" s="8" t="n">
        <v>0</v>
      </c>
      <c r="K58" s="9" t="n">
        <v>0</v>
      </c>
      <c r="L58" s="9" t="n">
        <v>0</v>
      </c>
      <c r="M58" s="9" t="n">
        <v>0</v>
      </c>
      <c r="N58" s="9" t="n">
        <v>0</v>
      </c>
      <c r="O58" s="10" t="n">
        <v>0</v>
      </c>
      <c r="P58" s="10" t="n">
        <v>0</v>
      </c>
      <c r="Q58" s="10" t="n">
        <v>0</v>
      </c>
      <c r="R58" s="10" t="n">
        <v>0</v>
      </c>
      <c r="S58" s="10" t="n">
        <v>0</v>
      </c>
    </row>
    <row r="59" ht="229" customHeight="1">
      <c r="A59" s="6">
        <f>IFERROR(__xludf.DUMMYFUNCTION("""COMPUTED_VALUE"""),"BHIMS")</f>
        <v/>
      </c>
      <c r="B59" s="6">
        <f>IFERROR(__xludf.DUMMYFUNCTION("""COMPUTED_VALUE"""),"Resource")</f>
        <v/>
      </c>
      <c r="C59" s="6">
        <f>IFERROR(__xludf.DUMMYFUNCTION("""COMPUTED_VALUE"""),"Christopher Nolan &amp; Kip Thorne Break Down The Physics of Interstellar | TIME")</f>
        <v/>
      </c>
      <c r="D59" s="7">
        <f>IFERROR(__xludf.DUMMYFUNCTION("""COMPUTED_VALUE"""),"Director Christopher Nolan and author Kip Thorne speak to TIME's Jeffrey Kluger about the physics of 2014 blockbuster Interstellar. There's no arguing about the blockbuster status of Interstellar, director Chris Nolan's latest box office phenomenon.")</f>
        <v/>
      </c>
      <c r="E59" s="7">
        <f>IFERROR(__xludf.DUMMYFUNCTION("""COMPUTED_VALUE"""),"youtube.com: A widely known video-sharing platform where users can watch videos on a vast array of topics, including educational content.")</f>
        <v/>
      </c>
      <c r="F59" s="7" t="n"/>
      <c r="G59" s="8" t="n">
        <v>1</v>
      </c>
      <c r="H59" s="8" t="n">
        <v>0</v>
      </c>
      <c r="I59" s="8" t="n">
        <v>0</v>
      </c>
      <c r="J59" s="8" t="n">
        <v>0</v>
      </c>
      <c r="K59" s="9" t="n">
        <v>1</v>
      </c>
      <c r="L59" s="9" t="n">
        <v>0</v>
      </c>
      <c r="M59" s="9" t="n">
        <v>0</v>
      </c>
      <c r="N59" s="9" t="n">
        <v>0</v>
      </c>
      <c r="O59" s="10" t="n">
        <v>1</v>
      </c>
      <c r="P59" s="10" t="n">
        <v>0</v>
      </c>
      <c r="Q59" s="10" t="n">
        <v>0</v>
      </c>
      <c r="R59" s="10" t="n">
        <v>0</v>
      </c>
      <c r="S59" s="10" t="n">
        <v>0</v>
      </c>
    </row>
    <row r="60" ht="296" customHeight="1">
      <c r="A60" s="6">
        <f>IFERROR(__xludf.DUMMYFUNCTION("""COMPUTED_VALUE"""),"BHIMS")</f>
        <v/>
      </c>
      <c r="B60" s="6">
        <f>IFERROR(__xludf.DUMMYFUNCTION("""COMPUTED_VALUE"""),"Resource")</f>
        <v/>
      </c>
      <c r="C60" s="6">
        <f>IFERROR(__xludf.DUMMYFUNCTION("""COMPUTED_VALUE"""),"The Science of Interstellar - Discovery Channel Documentary - HD")</f>
        <v/>
      </c>
      <c r="D60" s="7">
        <f>IFERROR(__xludf.DUMMYFUNCTION("""COMPUTED_VALUE"""),"Thanks for watching, don't forget to like, comment, subscribe and watch my other videos (including some more Interstellar related ones) ! The Science of Interstellar - Discovery Channel Documentary Matthew McConaughey takes viewers behind the scenes of In"&amp;"terstellar with a look at the real-life science that went into this out-of-this-world film.")</f>
        <v/>
      </c>
      <c r="E60" s="7">
        <f>IFERROR(__xludf.DUMMYFUNCTION("""COMPUTED_VALUE"""),"youtube.com: A widely known video-sharing platform where users can watch videos on a vast array of topics, including educational content.")</f>
        <v/>
      </c>
      <c r="F60" s="7" t="n"/>
      <c r="G60" s="8" t="n">
        <v>0</v>
      </c>
      <c r="H60" s="8" t="n">
        <v>0</v>
      </c>
      <c r="I60" s="8" t="n">
        <v>1</v>
      </c>
      <c r="J60" s="8" t="n">
        <v>0</v>
      </c>
      <c r="K60" s="9" t="n">
        <v>0</v>
      </c>
      <c r="L60" s="9" t="n">
        <v>1</v>
      </c>
      <c r="M60" s="9" t="n">
        <v>0</v>
      </c>
      <c r="N60" s="9" t="n">
        <v>0</v>
      </c>
      <c r="O60" s="10" t="n">
        <v>1</v>
      </c>
      <c r="P60" s="10" t="n">
        <v>0</v>
      </c>
      <c r="Q60" s="10" t="n">
        <v>0</v>
      </c>
      <c r="R60" s="10" t="n">
        <v>0</v>
      </c>
      <c r="S60" s="10" t="n">
        <v>0</v>
      </c>
    </row>
    <row r="61" ht="329" customHeight="1">
      <c r="A61" s="6">
        <f>IFERROR(__xludf.DUMMYFUNCTION("""COMPUTED_VALUE"""),"BHIMS")</f>
        <v/>
      </c>
      <c r="B61" s="6">
        <f>IFERROR(__xludf.DUMMYFUNCTION("""COMPUTED_VALUE"""),"Space")</f>
        <v/>
      </c>
      <c r="C61" s="6">
        <f>IFERROR(__xludf.DUMMYFUNCTION("""COMPUTED_VALUE"""),"Investigation")</f>
        <v/>
      </c>
      <c r="D61" s="7">
        <f>IFERROR(__xludf.DUMMYFUNCTION("""COMPUTED_VALUE"""),"&lt;p&gt;Now it is time to get your hands on data and start your career as a researcher. You should start by learning how to use the software Salsa J, an image processing software that allows you to analyse and process astronomical images. You will find a good "&amp;"introducation to Salsa J here (and a set of images to get started with your training):&lt;/p&gt;&lt;p&gt;&lt;br&gt;&lt;/p&gt;&lt;p&gt;&lt;br&gt;&lt;/p&gt;&lt;p&gt;&lt;br&gt;&lt;/p&gt;&lt;p&gt;&lt;br&gt;&lt;/p&gt;")</f>
        <v/>
      </c>
      <c r="E61" s="7">
        <f>IFERROR(__xludf.DUMMYFUNCTION("""COMPUTED_VALUE"""),"No artifact embedded")</f>
        <v/>
      </c>
      <c r="F61" s="7" t="n"/>
      <c r="G61" s="8" t="n">
        <v>1</v>
      </c>
      <c r="H61" s="8" t="n">
        <v>0</v>
      </c>
      <c r="I61" s="8" t="n">
        <v>0</v>
      </c>
      <c r="J61" s="8" t="n">
        <v>0</v>
      </c>
      <c r="K61" s="9" t="n">
        <v>1</v>
      </c>
      <c r="L61" s="9" t="n">
        <v>0</v>
      </c>
      <c r="M61" s="9" t="n">
        <v>0</v>
      </c>
      <c r="N61" s="9" t="n">
        <v>0</v>
      </c>
      <c r="O61" s="10" t="n">
        <v>1</v>
      </c>
      <c r="P61" s="10" t="n">
        <v>0</v>
      </c>
      <c r="Q61" s="10" t="n">
        <v>0</v>
      </c>
      <c r="R61" s="10" t="n">
        <v>0</v>
      </c>
      <c r="S61" s="10" t="n">
        <v>0</v>
      </c>
    </row>
    <row r="62" ht="409.5" customHeight="1">
      <c r="A62" s="6">
        <f>IFERROR(__xludf.DUMMYFUNCTION("""COMPUTED_VALUE"""),"BHIMS")</f>
        <v/>
      </c>
      <c r="B62" s="6">
        <f>IFERROR(__xludf.DUMMYFUNCTION("""COMPUTED_VALUE"""),"Resource")</f>
        <v/>
      </c>
      <c r="C62" s="6">
        <f>IFERROR(__xludf.DUMMYFUNCTION("""COMPUTED_VALUE"""),"text 0.graasp")</f>
        <v/>
      </c>
      <c r="D62" s="7">
        <f>IFERROR(__xludf.DUMMYFUNCTION("""COMPUTED_VALUE"""),"&lt;p&gt;Below you will find a brief tutorial and in this link a set of images to get you started&lt;/p&gt;&lt;p&gt;&lt;br&gt;&lt;/p&gt;&lt;p&gt;&lt;a href=""https://www.dropbox.com/sh/qaig4v6gk888p1o/AACVOInogIUloVIKcbxNBjQVa?dl=0"" target=""_blank""&gt;Salsa J images&lt;/a&gt; and tutorial&lt;br&gt;&lt;/p&gt;&lt;p&gt;"&amp;"&lt;br&gt;&lt;/p&gt;&lt;p&gt;&lt;br&gt;&lt;/p&gt;&lt;p&gt;After you finish the proposed exercises you are ready to proceed to the next stage. Let's start with some basic informatin on how to measure the luminosity of objects in the sky.  Start by reading the Photomotry Basics Document below"&amp;":&lt;/p&gt;")</f>
        <v/>
      </c>
      <c r="E62" s="7">
        <f>IFERROR(__xludf.DUMMYFUNCTION("""COMPUTED_VALUE"""),"No artifact embedded")</f>
        <v/>
      </c>
      <c r="F62" s="7" t="n"/>
      <c r="G62" s="8" t="n">
        <v>0</v>
      </c>
      <c r="H62" s="8" t="n">
        <v>1</v>
      </c>
      <c r="I62" s="8" t="n">
        <v>0</v>
      </c>
      <c r="J62" s="8" t="n">
        <v>0</v>
      </c>
      <c r="K62" s="9" t="n">
        <v>1</v>
      </c>
      <c r="L62" s="9" t="n">
        <v>0</v>
      </c>
      <c r="M62" s="9" t="n">
        <v>0</v>
      </c>
      <c r="N62" s="9" t="n">
        <v>0</v>
      </c>
      <c r="O62" s="10" t="n">
        <v>1</v>
      </c>
      <c r="P62" s="10" t="n">
        <v>0</v>
      </c>
      <c r="Q62" s="10" t="n">
        <v>0</v>
      </c>
      <c r="R62" s="10" t="n">
        <v>0</v>
      </c>
      <c r="S62" s="10" t="n">
        <v>0</v>
      </c>
    </row>
    <row r="63" ht="409.5" customHeight="1">
      <c r="A63" s="6">
        <f>IFERROR(__xludf.DUMMYFUNCTION("""COMPUTED_VALUE"""),"BHIMS")</f>
        <v/>
      </c>
      <c r="B63" s="6">
        <f>IFERROR(__xludf.DUMMYFUNCTION("""COMPUTED_VALUE"""),"Resource")</f>
        <v/>
      </c>
      <c r="C63" s="6">
        <f>IFERROR(__xludf.DUMMYFUNCTION("""COMPUTED_VALUE"""),"BHIMS_Photometry.pdf")</f>
        <v/>
      </c>
      <c r="D63" s="7" t="inlineStr">
        <is>
          <t>Photometry with Salsa J (based on the activity from Faulkes Telescope Education Program - Daniel Duggan &amp; Sarah Roberts). Photometry is the measurement of the intensity or brightness in a particular waveband (e.g. the optical) of an astronomical object, such as a star or galaxy by adding up all of the light from the object. For example, a star looks like a point of light when you look at it just with your eyes but the Earth's atmosphere smears it out into something that looks like a round blob when you use a telescope to look at it. In order to measure the total light coming from the star, we must add up all of the light from the smeared out star. Photometry is used to generate light curves of objects such as variable stars and supernovae, where we are interested in variability of light output by the system over time. It can also be used to discover exoplanets or to estimate the mass of a black hole candidate, by measuring fluctuations in the intensity of a star's light over time. These instructions explain how photometry can be carried out on groups, or clusters of stars, from images taken with different filters, in order to plot a colour magnitude diagram. An explanation on magnitudes can be found at the end of this document in Appendix 1. Instructions Before we can start the photometry, we have to work out our aperture radius - this defines the radius of the circle that is used to count the pixel values in the image. The radius of the circle is very important - if the radius is too small, it will not count all the light coming from the star and if it is too big, it may count too much background sky or other stars in the image. Therefore you may not get accurate measurements. SalsaJ automatically sets the radius as the Full Width Half Maximum (FWHM) of the stars in the image. The FWHM is used to describe the width of an object in the image. Stars in astronomical images have a specific profile when plotted as a graph of pixel values and that profile should be the same for each star in the image. The FWHM is a measure of the telescope's optics, the image recording CCD and the atmosphere through which the light passes. FWHM When determining the brightness of a star, the software sums the brightness over all pixels receiving light from that star. To do this the effective width of the star must be determined for each image before measuring the brightness of the stars on that image. One way to estimate the FWHM is to look at a slice across the star. The slice will probably look something like the diagram on the next page (without the arrows and label). The base of the slice is at the value for the background sky. The top of the peak represents the counts measured in the brightest pixel along the slice within the star. The difference between the top of the peak and the base is the height of the peak. The FWHM is the number of pixels across the peak at a point halfway up from the base. FWHM is displayed graphically like this: In order to do photometry, we recommend you work out your own optimum star radius in order to get more accurate results. To do this you must conduct a simple experiment, collect data and plot a graph - using Microsoft Excel (or another spreadsheet package that can plot graphs) makes this exercise much easier and quicker. The idea is to test several different aperture radii and compare the intensity values you get for each radius by plotting a graph of radius against intensity. To do this, go back to SalsaJ, then to Analyse&gt;Photometry Settings. Select force Star Radius and choose the value 6. Next, go to Analyse&gt;Photometry and another empty window will then appear entitled 'Photometry'. Using the mouse, click on a star in your image. The intensity of the object is calculated by adding up all the pixel values within the radius of the aperture. We can clearly see that the chosen radius is too small. Let's increase it a bit to 8. Click on the star again and a new measurement will appear. Still the radius is too small. Increase the value to 10 and continue until you reach a radius of 40 You should have something like this: In Excel (or other package) create two columns for Radius and Intensity then, add radius and the intensity value from SalsaJ. (You can save the values directly from the Photometry window in file.xls format and convert it to Excel. You should have a set of results that looks like this: Star's Star's Sky's Sky's Index Image X Y intensity radius intensity radius 1 ptstar2.fts 283 2 ptstar2.fts 283 211 34841 6 477 9 3 ptstar2.fts 283 4 ptstar2.fts 283 211 75460 8 300 12 5 ptstar2.fts 283 6 ptstar2.fts 283 211 117922 10 187 15 7 ptstar2.fts 283 8 ptstar2.fts 283 211 155160 12 123 18 9 ptstar2.fts 283 ptstar2.fts 283 211 187485 14 83 21 10 ptstar2.fts 283 11 ptstar2.fts 283 211 211802 16 62 24 12 ptstar2.fts 283 13 ptstar2.fts 283 211 229401 18 50 27 14 ptstar2.fts 283 15 ptstar2.fts 283 211 242610 20 43 30 16 ptstar2.fts 283 17 ptstar2.fts 283 211 252117 22 38 33 18 211 258799 24 36 36 211 264426 26 34 39 211 268427 28 33 42 211 271693 30 32 45 211 276987 35 31 52 211 279995 40 31 60 211 283728 50 31 75 211 284816 55 30 82 211 286119 60 30 90 We are interested in the variation of intensity with increasing aperture radius. When you plot a graph of this data, you should get something that looks like this: Counts Aperture Radius You can see the rapid rise of intensity as the radius of the aperture increases. This is because more of the star is included in the increasing radii of the apertures. The graph begins to flatten out when we have all of the star within the aperture, but keeps rising gradually as more and more of the background sky is included. From this graph, we can see that the best radius to use is about 10 - this is around the point where the star's intensity stops increasing so rapidly. There is however, not just one correct answer and a value of 12 or 14 could also be considered appropriate. Once you have chosen the best aperture radius, this can be set for the remainder of your photometry analysis on this image. It is advisable to carry out this exercise every time you come to work with a new set of images as the FWHM of objects change due to the seeing conditions at the time of observation so new aperture radii will need to be calculated for new images. However, if you are carrying out photometry on the star, but in two different wavelengths (such as B and V), then you should use the same radius for both images to ensure that you are comparing 'like with like'. Measuring the Counts of a Star Let's continue using the same images as before PTstar1 PTstar2. Now with the established value for the aperture of 18 we will measure the brightness in both images What is the brightness of PTstar1 in Counts? What is the brightness of PTstar2 in Counts? You will find out that the values greatly change from one image to the other. These images are actually of the same star and the star itself has not changed. However, they were taken on two different nights and the seeing certainly varied a lot. In these images we can't compare the brightness of the star with other stars in the field. So in the next activity we will choose a better target. When the field has more stars it is easy to make a mistake. If you are not sure you selected the correct star you can delete a line in the photometry measurements window by selecting the line, then chosing Edit in the Menu and then Cut. Comparing Two Images of the Same Region Images for this activity are listed below. In each image the target star is on the left and the reference star is on the right. This images containing a Cepheid Variable, a star with a very well know variability and very often used and to help evaluate distances to nearby galaxies. For this part of the activity we will use the following images: PTnight1, PTnight2, PTnight3, and PTnight4. You may open and work on these images simultaneously or one at a time. PTnight1 - https://www.dropbox.com/s/gkgyaya8zuqn5ez/ptnight1.fts PTnight2 - https://www.dropbox.com/s/2hcpbvtrw90p0gt/ptnight2.fts PTnight3 - https://www.dropbox.com/s/xnttgf4h98o74dp/ptnight3.fts PTnight4 - https://www.dropbox.com/s/wk8m53gno9dub0k/ptnight4.fts Use the photometry tool to measure the brightness of the target star and the reference star Reference star Variable star</t>
        </is>
      </c>
      <c r="E63" s="7">
        <f>IFERROR(__xludf.DUMMYFUNCTION("""COMPUTED_VALUE"""),"application/pdf – A portable document format (PDF) file, preserving text and layout for consistent viewing across devices.")</f>
        <v/>
      </c>
      <c r="F63" s="7" t="n"/>
      <c r="G63" s="8" t="n">
        <v>0</v>
      </c>
      <c r="H63" s="8" t="n">
        <v>0</v>
      </c>
      <c r="I63" s="8" t="n">
        <v>1</v>
      </c>
      <c r="J63" s="8" t="n">
        <v>0</v>
      </c>
      <c r="K63" s="9" t="n">
        <v>0</v>
      </c>
      <c r="L63" s="9" t="n">
        <v>1</v>
      </c>
      <c r="M63" s="9" t="n">
        <v>0</v>
      </c>
      <c r="N63" s="9" t="n">
        <v>0</v>
      </c>
      <c r="O63" s="10" t="n">
        <v>1</v>
      </c>
      <c r="P63" s="10" t="n">
        <v>0</v>
      </c>
      <c r="Q63" s="10" t="n">
        <v>1</v>
      </c>
      <c r="R63" s="10" t="n">
        <v>0</v>
      </c>
      <c r="S63" s="10" t="n">
        <v>0</v>
      </c>
    </row>
    <row r="64" ht="409.5" customHeight="1">
      <c r="A64" s="6">
        <f>IFERROR(__xludf.DUMMYFUNCTION("""COMPUTED_VALUE"""),"BHIMS")</f>
        <v/>
      </c>
      <c r="B64" s="6">
        <f>IFERROR(__xludf.DUMMYFUNCTION("""COMPUTED_VALUE"""),"Resource")</f>
        <v/>
      </c>
      <c r="C64" s="6">
        <f>IFERROR(__xludf.DUMMYFUNCTION("""COMPUTED_VALUE"""),"observing_blackholes.pdf")</f>
        <v/>
      </c>
      <c r="D64" s="7" t="inlineStr">
        <is>
          <t>BLACK HOLES IN MY SCHOOL Observing Stellar Mass Black Hole Candidates This module integrates an online training course introducing participants to the use of the inquiry methodology and the integration of ICT tools in schools practices. This module is devoted to the implementation of a research based experiment where students can be involved in the identification of stellar mass black hole candidates and the procedure to measure their mass limits. Learning outcomes At the end of this module participants should know the procedure used to identify black hole candidates and how to determine the mass limits of a compact object in a binary system. Rationale This module introduces participants to the technique used to determine the mass limits of a compact companion to a visible star. Resources Set of images of black hole candidates Salsa J Excel Images and parts of the text credited to Fraser Lewis (Faulkes Telescope Educational Team) BHIMS is developed in the framework of the SoNetTE project Eclipsing Binary Stars The most common stellar mass black hole candidates live in binary systems where one of the components is a compact object (a black hole or neutron star) and the other a 'normal' star. The light curve of a binary system can allow us to study the different components. Take for instance the example below: In the case where one of the components is a compact object we only see the 'normal' star (usually a main sequence star or anevolved red giant). In the case of Low Mass X-ray Binaries (LMXBs), these stars fill their Roche Lobes and therefore acquire a pear (or teardrop) shape. As the two objects orbit their common centre of mass, different parts of the system are visible to us. Depending on the Figure 1 Light curve of binary star Kepler-16 (Credit: NASA) inclination of the system (where 0° is a face-on orbit and 90° is an edge-on orbit) a limit on the mass of the compact object can be established. The image in Figure 2 shows the infrared light curve of the black hole candidate A0620-00. Depending on the position of the companion star and the compact object, with its accretion disc (see fig.4), we see different amounts of light coming towards the observer. Remember that we don't see the individual components; we only observe a dot whose brightness changes in time. It is from the study of these changes in the form of a light curve that we can start to infer some of its characteristics. Figure 2 Infrared light curve of A0620-00 (a binary system where the compact object is a strong black hole candidate). Credit: Shahbaz et al, 1994. Images and parts of the text credited to Fraser Lewis (Faulkes Telescope Educational Team) BHIMS is developed in the framework of the SoNetTE project Finding the minimum mass for the black hole candidate XTE J1118+480 The object we will study is the black hole candidate XTE J1118+480. It was discovered in March 2000 by the Rossi X-ray Timing Explorer satellite. It is approximately 6 000 light-years away in the constellation of Ursa Major. The system is composed of a compact object and a low mass star (less than 2 solar masses). The compact object is pulling matter from its companion and the intense, time-variable heating of this material in the accretion disc helped astronomers discover this object. This heating means that the disc emits copious amounts of X- rays. Figure 3 Location of the black hole candidate XTE J1118+480 (Credit: Black Hole Encyclopedia) The optical component of this system (the star; Figure 4 Here we find an artist impression of the KV UMa) already appeared in images (some binary system XTE J1118+480 composed by a low mass over 40 years old) and it appears to be star and a compact object. The material of the following a looping path that takes in out of the companion star is attracted by the intense disc of our Galaxy (see Figure 5). Studies of this gravitational field of the compact object forming an trajectory indicate that the object might have accretion disc. Credit: Hynes been inside a globular cluster and was probably kicked out after the supernova explosion of the massive progenitor star that gave birth to the compact object. The estimated mass of this black hole candidate is around 7 solar masses. This is precisely what we want to confirm with this exercise. Figure 5 Artist impression of the path of the XTEJ1118+480 through the disc of our Galaxy. Credit: STScI Images and parts of the text credited to Fraser Lewis (Faulkes Telescope Educational Team) BHIMS is developed in the framework of the SoNetTE project The data we will analyse are a sequence of 62 images obtained by Faulkes Telescope North taken on 13/05/2009. We will analyse this images using Salsa J and Excel. The images show several stars surrounding the object we wish to study. We will select some of these stars to be comparison stars in our study. The procedure is to make photometry measurements of all the comparison stars and the black hole candidate for all the images. If we are fortunate, the brightness (or intensity) of the comparison stars should remain constant (although there are variations in the images based on weather) as a function of time while the brightness of the binary system containing the black hole candidate should vary. By plotting the intensity against time we should see variability and can use this to estimate the mass of the non-visible compact object. Figure 6 The finding chart (the map of stars locating the object and the comparison stars). XTE J1118+480 is denoted by the two black lines the comparison stars are shown as 1, 2, 3. (Image from Faulkes Telescope North) First, we need to determine the best aperture radius before proceeding with the photometry. Figure 7 Evaluating the best aperture with Salsa J, as explained in the photometry lesson Images and parts of the text credited to Fraser Lewis (Faulkes Telescope Educational Team) BHIMS is developed in the framework of the SoNetTE project Previous studies show show that average star in this image has a FWHM of 4 pixeis In practice, a good choice for the radius of an aperture is about 1.5 or 2.0 times the FWHM. In the examples below the value used was 6 for the aperture radius. Now you can start to measure the intensity for the 3 comparison stars and for the black hole candidate. Make the measurements in each image for all 4 objects. Since the images are 2 Mb each, it is best to process no more than 20 images at a time. Alternatively, you can distribute the images amongst a group of students and collate the group's results later, ensuring that each group use the same aperture radius and the same comparison stars. You can choose to 'tile' them (in Salsa J, 'Tile' is under 'Window') which will make it easier to perform the procedure. It is important to process the images in order which is easy if you follow their number. Figure 8 Selection of 20 images, tiled and then reordered Make sure you adjust the brightness and contrast in all images in order to be able to see all the objects. If you can't see all of them don't use the particular image. Sometimes if you close and reopen the image the brightness and contrast appear better. Since we will be working with relative magnitudes, where we are comparing intensities of the comparison stars and the black hole candidate we don't have to worry about absolute magnitudes and standard stars etc. We are not looking for the absolute value of the magnitude of the object but the variations to its intensity relative to other stars in the same image. You will also need the Modified Julian Date (MJD) for each image. You find this information in the header of FTS images. In Salsa J you select the Show Info under the Image menu and in the header you will find the value for MJD. This is the value to be used on the x-axis of your graph. Images and parts of the text credited to Fraser Lewis (Faulkes Telescope Educational Team) BHIMS is developed in the framework of the SoNetTE project After removing a couple of images, your results should look like this: star 1 10000 star 2 9000 star 3 8000 xte J1118 7000 6000 5000 4000 3000 counts 54964.24506 54964.2528 54964.26055 54964.26829 54964.27603 54964.28377 54964.29263 54964.30037 54964.30905 54964.31678 54964.32451 54964.33576 54964.3435 54964.35124 54964.35897 54964.36671 54964.37761 54964.38534 54964.39307 54964.40339 Julian Date Figure 9 Plot of counts over time From this graph we can clearly see that our target varies far more than the comparison stars. We already know that the orbit of the visible star and compact object around each other is periodic. Finding the orbital period is complicated and time demanding. But we can make a rough estimate from the graph above since it is showing evidence that the whole period is in the set of images. We can try to adapt the value of the period that best fit our purposes. You students can play a bit with the value of the period and try to find the best fit. Scientists already know the period of this object P= 4.08 hrs = 0.17 days. (http://adsabs.harvard.edu/abs/2001ApJ...556...42W) A nice tutorial on the calculation of periodicity and determination of phase in variable systems can be found here: http://www.aavso.org/files/Chapter12.pdf The formula to transform the Julian dates in Phase is the following = 0 Where the MJD is given in the header of each image, T0 is the MJD of the first image and the period is 0.17 days. The result should look like this. Images and parts of the text credited to Fraser Lewis (Faulkes Telescope Educational Team) BHIMS is developed in the framework of the SoNetTE project 9900 8900 7900 6900 xte J1118 5900 Average star Counts 4900 3900 0.2 0.4 0.6 0.8 1 0 Phase Using the formula to determine the mass limit of the compact object ( ) = 13 sin 3 = 23 ( 2 + 1)2 2 where M1 and M2 are the masses of the compact object and the companion star respectively, P the orbital period, i.e., the time it takes for the star to complete an orbit, G is the universal gravitational constant, i is the inclination of the orbital plane of the system with the line of sight of the observer and K2 the radial velocity of the visible star We can use the radial velocity of the visible component of this system was determined to be ~ 700 km s-1 , the mass of the companion is ~ 6.1 Solar Masses (http://adsabs.harvard.edu/abs/2001ApJ...556...42W) Both of these are determined using spectrocopy the companion mass is inferred once we know its spectral class and several spectra can be taken to determine the object's radial velocity. Images and parts of the text credited to Fraser Lewis (Faulkes Telescope Educational Team) BHIMS is developed in the framework of the SoNetTE project P = 0.17 * 24 * 60 * 60 = 14 688 s Msolar = 1.9891 × 1030 kg Assuming all the above values we end up with the following value for the mass limit of this black hole candidate: ( ) = 13 sin 3 = 14 688 (700 1) 3 ( 2 + 1)2 2 6.67384 10 11m3 kg 1 s 2 ( ) = 13 sin 3 = 1.2 1031 ~ 6.3 ( 2 + 1)2 These calculations used approximate values but reached a very good guess for the mass of the stellar black hole candidate XTE J1118+480. The assumed value for the mass function (the minimum mass) is of the order of 6.1 Msolar (http://arxiv.org/pdf/astro-ph/0104032.pdf) Images and parts of the text credited to Fraser Lewis (Faulkes Telescope Educational Team) BHIMS is developed in the framework of the SoNetTE project</t>
        </is>
      </c>
      <c r="E64" s="7">
        <f>IFERROR(__xludf.DUMMYFUNCTION("""COMPUTED_VALUE"""),"application/pdf – A portable document format (PDF) file, preserving text and layout for consistent viewing across devices.")</f>
        <v/>
      </c>
      <c r="F64" s="7" t="n"/>
      <c r="G64" s="8" t="n">
        <v>0</v>
      </c>
      <c r="H64" s="8" t="n">
        <v>1</v>
      </c>
      <c r="I64" s="8" t="n">
        <v>0</v>
      </c>
      <c r="J64" s="8" t="n">
        <v>0</v>
      </c>
      <c r="K64" s="9" t="n">
        <v>1</v>
      </c>
      <c r="L64" s="9" t="n">
        <v>0</v>
      </c>
      <c r="M64" s="9" t="n">
        <v>0</v>
      </c>
      <c r="N64" s="9" t="n">
        <v>0</v>
      </c>
      <c r="O64" s="10" t="n">
        <v>1</v>
      </c>
      <c r="P64" s="10" t="n">
        <v>0</v>
      </c>
      <c r="Q64" s="10" t="n">
        <v>1</v>
      </c>
      <c r="R64" s="10" t="n">
        <v>0</v>
      </c>
      <c r="S64" s="10" t="n">
        <v>0</v>
      </c>
    </row>
    <row r="65" ht="409.5" customHeight="1">
      <c r="A65" s="6">
        <f>IFERROR(__xludf.DUMMYFUNCTION("""COMPUTED_VALUE"""),"BHIMS")</f>
        <v/>
      </c>
      <c r="B65" s="6">
        <f>IFERROR(__xludf.DUMMYFUNCTION("""COMPUTED_VALUE"""),"Resource")</f>
        <v/>
      </c>
      <c r="C65" s="6">
        <f>IFERROR(__xludf.DUMMYFUNCTION("""COMPUTED_VALUE"""),"Text 1.graasp")</f>
        <v/>
      </c>
      <c r="D65" s="7">
        <f>IFERROR(__xludf.DUMMYFUNCTION("""COMPUTED_VALUE"""),"&lt;p&gt;Now you are ready to measure the brightness of the companion star to the  Black Hole Candidate XTE J 1118. Below you will find the link to the images and to the finder (the image that identifies wich is the star you need to measure and the 3 comparison"&amp;" stars):&lt;/p&gt;&lt;p&gt;&lt;br&gt;&lt;/p&gt;&lt;p&gt;&lt;a href=""https://www.dropbox.com/s/bfmjod2q7wwqe35/1118.zip?dl=0"" target=""_blank""&gt;XTE J1118 images&lt;/a&gt;&lt;br&gt;&lt;/p&gt;&lt;p&gt;&lt;br&gt;&lt;/p&gt;&lt;p&gt;&lt;br&gt;&lt;/p&gt;&lt;p&gt;&lt;a href=""https://docs.google.com/spreadsheets/d/1poBWSP4cx3PS-akqd-89Wm6r4FxvAJFf-rlf-Kdj"&amp;"Ix4/edit?usp=sharing"" target=""_blank""&gt;Google Spreadsheet&lt;/a&gt;&lt;br&gt;&lt;/p&gt;&lt;p&gt;&lt;br&gt;&lt;/p&gt;&lt;p&gt;When you are done proceed to create a graph with the values you measured. &lt;/p&gt;&lt;p&gt;&lt;br&gt;&lt;/p&gt;&lt;p&gt;Finally follow the example provided in the observing stellar black hole candid"&amp;"ates pdf below and find the limit mass of the black hole candidate in this system.&lt;/p&gt;")</f>
        <v/>
      </c>
      <c r="E65" s="7">
        <f>IFERROR(__xludf.DUMMYFUNCTION("""COMPUTED_VALUE"""),"No artifact embedded")</f>
        <v/>
      </c>
      <c r="F65" s="7" t="n"/>
      <c r="G65" s="8" t="n">
        <v>0</v>
      </c>
      <c r="H65" s="8" t="n">
        <v>0</v>
      </c>
      <c r="I65" s="8" t="n">
        <v>1</v>
      </c>
      <c r="J65" s="8" t="n">
        <v>0</v>
      </c>
      <c r="K65" s="9" t="n">
        <v>0</v>
      </c>
      <c r="L65" s="9" t="n">
        <v>1</v>
      </c>
      <c r="M65" s="9" t="n">
        <v>0</v>
      </c>
      <c r="N65" s="9" t="n">
        <v>0</v>
      </c>
      <c r="O65" s="10" t="n">
        <v>0</v>
      </c>
      <c r="P65" s="10" t="n">
        <v>0</v>
      </c>
      <c r="Q65" s="10" t="n">
        <v>1</v>
      </c>
      <c r="R65" s="10" t="n">
        <v>0</v>
      </c>
      <c r="S65" s="10" t="n">
        <v>0</v>
      </c>
    </row>
    <row r="66" ht="409.5" customHeight="1">
      <c r="A66" s="6">
        <f>IFERROR(__xludf.DUMMYFUNCTION("""COMPUTED_VALUE"""),"BHIMS")</f>
        <v/>
      </c>
      <c r="B66" s="6">
        <f>IFERROR(__xludf.DUMMYFUNCTION("""COMPUTED_VALUE"""),"Space")</f>
        <v/>
      </c>
      <c r="C66" s="6">
        <f>IFERROR(__xludf.DUMMYFUNCTION("""COMPUTED_VALUE"""),"Advanced Research")</f>
        <v/>
      </c>
      <c r="D66" s="7">
        <f>IFERROR(__xludf.DUMMYFUNCTION("""COMPUTED_VALUE"""),"&lt;p&gt;Now that you are an expert in analysing stellar black hole candidates data go and make your own observation using the Faulkes Telescope. In order to do that you will need to have an account. Ask your teacher to help you with this. &lt;/p&gt;&lt;p&gt;&lt;br&gt;&lt;/p&gt;&lt;p&gt;But"&amp;" before you start observing there is still one more step. You need to prepare your observing session. Below you will find a step-by-step guide to perform this task and you have to get in touch with the coordinators of the project BHIMS (rosa.doran@nuclio."&amp;"pt) to request the coordinates of the objects to be observed. You will also find a more complete text addressing the topic of black holes. &lt;/p&gt;&lt;p&gt;&lt;br&gt;&lt;/p&gt;&lt;p&gt;&lt;br&gt;&lt;/p&gt;")</f>
        <v/>
      </c>
      <c r="E66" s="7">
        <f>IFERROR(__xludf.DUMMYFUNCTION("""COMPUTED_VALUE"""),"No artifact embedded")</f>
        <v/>
      </c>
      <c r="F66" s="7" t="n"/>
      <c r="G66" s="8" t="n">
        <v>0</v>
      </c>
      <c r="H66" s="8" t="n">
        <v>0</v>
      </c>
      <c r="I66" s="8" t="n">
        <v>0</v>
      </c>
      <c r="J66" s="8" t="n">
        <v>1</v>
      </c>
      <c r="K66" s="9" t="n">
        <v>1</v>
      </c>
      <c r="L66" s="9" t="n">
        <v>0</v>
      </c>
      <c r="M66" s="9" t="n">
        <v>0</v>
      </c>
      <c r="N66" s="9" t="n">
        <v>0</v>
      </c>
      <c r="O66" s="10" t="n">
        <v>1</v>
      </c>
      <c r="P66" s="10" t="n">
        <v>0</v>
      </c>
      <c r="Q66" s="10" t="n">
        <v>1</v>
      </c>
      <c r="R66" s="10" t="n">
        <v>0</v>
      </c>
      <c r="S66" s="10" t="n">
        <v>0</v>
      </c>
    </row>
    <row r="67" ht="409.5" customHeight="1">
      <c r="A67" s="6">
        <f>IFERROR(__xludf.DUMMYFUNCTION("""COMPUTED_VALUE"""),"BHIMS")</f>
        <v/>
      </c>
      <c r="B67" s="6">
        <f>IFERROR(__xludf.DUMMYFUNCTION("""COMPUTED_VALUE"""),"Resource")</f>
        <v/>
      </c>
      <c r="C67" s="6">
        <f>IFERROR(__xludf.DUMMYFUNCTION("""COMPUTED_VALUE"""),"Stellarium_FT_userguide.pdf")</f>
        <v/>
      </c>
      <c r="D67" s="7">
        <f>IFERROR(__xludf.DUMMYFUNCTION("""COMPUTED_VALUE"""),"Observation Planning Observation Planning Using Stellarium to plan an observing session Author: Sarah Roberts Observation Planning Observation Planning - Using Stellarium to plan an observing session Stellarium Stellarium is free planetarium software whic"&amp;"h allows the night sky to be viewed from any location on Earth, on any date. The software can be downloaded from www.stellarium.org. A patch which sets up Stellarium so that its default location is at FTN, and an azimuthal grid is visible on the sky, is a"&amp;"lso available on the Faulkes Telescope website at: http://www.faulkes-telescope.com/index.php?page=186 With such a patch, the opening screen of Stellarium looks like the image here. The viewing direction is to the South (as noted by the S), the azimuthal "&amp;"grid is visible, and there are many deep sky objects which have been labelled. For users who have not downloaded the FT patch, the azimuthal grid and deep sky object names can be toggled on/off the sky by clicking on the grid and nebulae buttons shown her"&amp;"e. The boxes at the bottom of the Stellarium screen can be selected or de-selected, to, among other things, turn on the names of the deep sky objects, label the constellations and remove the horizon from the screen. It is worth playing with these buttons "&amp;"to familiarise yourself with the different features in Stellarium. Page 2 of 6 Observation Planning - Using Stellarium to plan an observing session Setting the location for your FT observing session An important button on the tool bar in Stellarium is the"&amp;" 'Configuration Window' button - this is the spanner icon . By clicking on this button, a window appears. This window give the options for changing your date and time, and location, aswell as the landscape, video and rendering options. If you are using th"&amp;"e down- loaded FT configuration patch, your location will automatically be set as the position of FTN. This can be changed to any other location (e.g FTS) by either clicking on the map, or by entering the longitude and latitude of the location underneath "&amp;"the map. Observation Planning Setting the date and time for your FT observing session From the configuration window menu, select 'Date &amp; Time'. The next window will give you options for changing the date and time, time zone and time speed in Stellarium. S"&amp;"et the date and time to correspond to that of your FT observing session, Click on the square in the top right hand corner of the configu- ration window to close it once you are happy with the set up of the viewing time and loca- tion. Page 3 of 6 Observat"&amp;"ion Planning Observation Planning - Using Stellarium to plan an observing session Looking around the sky in Stellarium By clicking on the question mark button, or typing 'h' in the Stellarium window, you can see which keyboard buttons correspond to comman"&amp;"ds in Stellarium. For example, to zoom in/out of the sky in Stellarium, you can either use the roller ball of your mouse (if you have one), or use the 'Page Up/Down' buttons on your keyboard. The sky can be scrolled around by left clicking on it, and drag"&amp;"ging it with the mouse. Alternatively, you can use the arrow keys on your keyboard. Setting up the best view to plan your FT observing session In order to use Stellarium to help you plan your FT observing session, the time, date and location should be set"&amp;" correctly through the configuration window. Next, zoom right out of the Stellarium window and scroll the sky until the zenith (the point directly overhead) is at the centre of the screen. The lowest altitude limit of the Faulkes Telescopes is 25 degrees."&amp;" Thus, all objects which you choose for your observing session should be above 25 degrees from the horizon. Ideally, to minimize the amount of atmosphere the telescope looks through when observing, this limit should be anything above 30 degrees. Thus, any"&amp;" object within the 30 degree circle in the Stellarium view can be observed with the Faulkes Telescopes. The best order of observing can be decided from the positions of ob- jects in the sky. Page 4 of 6 Observation Planning Observation Planning - Using St"&amp;"ellarium to plan an observing session Selecting objects in Stellarium In order to zoom in on images in Stellarium, click on the object with the left mouse button, and press the space bar to centre on it. On the left we have centered upon NGC 7662. Now we "&amp;"wish to magnify the image. This is done by using the Page Up/Down keys on your keyboard, or your roller ball on your mouse. The zoomed in view of this object can be seen below. At the top left hand corner, some information is given on the selected object."&amp;" Page 5 of 6 Observation Planning Observation Planning - Using Stellarium to plan an observing session When zooming in further on the object, a credit for the image is displayed, as shown below. This particular image of NGC 7662 was taken by the FT Team. "&amp;"You can add your own im- ages into the Stellarium database, so that your images appear on the sky, as this one has done. More information on how to do this can be found in the Stellarium user guide which can be downloaded from the Stellarium website. Page"&amp;" 6 of 6")</f>
        <v/>
      </c>
      <c r="E67" s="7">
        <f>IFERROR(__xludf.DUMMYFUNCTION("""COMPUTED_VALUE"""),"application/pdf – A portable document format (PDF) file, preserving text and layout for consistent viewing across devices.")</f>
        <v/>
      </c>
      <c r="F67" s="7" t="n"/>
      <c r="G67" s="8" t="n">
        <v>0</v>
      </c>
      <c r="H67" s="8" t="n">
        <v>1</v>
      </c>
      <c r="I67" s="8" t="n">
        <v>0</v>
      </c>
      <c r="J67" s="8" t="n">
        <v>0</v>
      </c>
      <c r="K67" s="9" t="n">
        <v>1</v>
      </c>
      <c r="L67" s="9" t="n">
        <v>0</v>
      </c>
      <c r="M67" s="9" t="n">
        <v>0</v>
      </c>
      <c r="N67" s="9" t="n">
        <v>0</v>
      </c>
      <c r="O67" s="10" t="n">
        <v>1</v>
      </c>
      <c r="P67" s="10" t="n">
        <v>0</v>
      </c>
      <c r="Q67" s="10" t="n">
        <v>1</v>
      </c>
      <c r="R67" s="10" t="n">
        <v>0</v>
      </c>
      <c r="S67" s="10" t="n">
        <v>0</v>
      </c>
    </row>
    <row r="68" ht="193" customHeight="1">
      <c r="A68" s="6">
        <f>IFERROR(__xludf.DUMMYFUNCTION("""COMPUTED_VALUE"""),"BHIMS")</f>
        <v/>
      </c>
      <c r="B68" s="6">
        <f>IFERROR(__xludf.DUMMYFUNCTION("""COMPUTED_VALUE"""),"Application")</f>
        <v/>
      </c>
      <c r="C68" s="6">
        <f>IFERROR(__xludf.DUMMYFUNCTION("""COMPUTED_VALUE"""),"Shared Wiki Widget")</f>
        <v/>
      </c>
      <c r="D68" s="7">
        <f>IFERROR(__xludf.DUMMYFUNCTION("""COMPUTED_VALUE"""),"No task description")</f>
        <v/>
      </c>
      <c r="E68"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8" s="7" t="n"/>
      <c r="G68" s="8" t="n">
        <v>0</v>
      </c>
      <c r="H68" s="8" t="n">
        <v>0</v>
      </c>
      <c r="I68" s="8" t="n">
        <v>0</v>
      </c>
      <c r="J68" s="8" t="n">
        <v>1</v>
      </c>
      <c r="K68" s="9" t="n">
        <v>0</v>
      </c>
      <c r="L68" s="9" t="n">
        <v>0</v>
      </c>
      <c r="M68" s="9" t="n">
        <v>0</v>
      </c>
      <c r="N68" s="9" t="n">
        <v>1</v>
      </c>
      <c r="O68" s="10" t="n">
        <v>0</v>
      </c>
      <c r="P68" s="10" t="n">
        <v>0</v>
      </c>
      <c r="Q68" s="10" t="n">
        <v>0</v>
      </c>
      <c r="R68" s="10" t="n">
        <v>0</v>
      </c>
      <c r="S68" s="10" t="n">
        <v>1</v>
      </c>
    </row>
    <row r="69" ht="409.5" customHeight="1">
      <c r="A69" s="6">
        <f>IFERROR(__xludf.DUMMYFUNCTION("""COMPUTED_VALUE"""),"BHIMS")</f>
        <v/>
      </c>
      <c r="B69" s="6">
        <f>IFERROR(__xludf.DUMMYFUNCTION("""COMPUTED_VALUE"""),"Application")</f>
        <v/>
      </c>
      <c r="C69" s="6">
        <f>IFERROR(__xludf.DUMMYFUNCTION("""COMPUTED_VALUE"""),"The Faulkes Telescope Project")</f>
        <v/>
      </c>
      <c r="D69" s="7">
        <f>IFERROR(__xludf.DUMMYFUNCTION("""COMPUTED_VALUE"""),"No task description")</f>
        <v/>
      </c>
      <c r="E69" s="7">
        <f>IFERROR(__xludf.DUMMYFUNCTION("""COMPUTED_VALUE"""),"Golabz app/lab: &lt;p&gt;The Faulkes Telescope Project provides access free-of-charge via the internet to robotic telescopes and a fully supported education programme to encourage teachers and students to engage in research-based science education.&lt;/p&gt;&lt;p&gt;&lt;stron"&amp;"g style=""font-family: inherit; font-size: 1rem;""&gt;Important note: &lt;/strong&gt;&lt;span style=""font-family: inherit; font-size: 1rem;""&gt;You need to have an account in order to use the Faulkes Telescopes.&lt;/span&gt;&lt;strong style=""font-family: inherit; font-size: 1"&amp;"rem;""&gt;&amp;nbsp;&lt;/strong&gt;&lt;/p&gt;'")</f>
        <v/>
      </c>
      <c r="F69" s="7" t="n"/>
      <c r="G69" s="8" t="n">
        <v>0</v>
      </c>
      <c r="H69" s="8" t="n">
        <v>1</v>
      </c>
      <c r="I69" s="8" t="n">
        <v>0</v>
      </c>
      <c r="J69" s="8" t="n">
        <v>0</v>
      </c>
      <c r="K69" s="9" t="n">
        <v>1</v>
      </c>
      <c r="L69" s="9" t="n">
        <v>0</v>
      </c>
      <c r="M69" s="9" t="n">
        <v>0</v>
      </c>
      <c r="N69" s="9" t="n">
        <v>0</v>
      </c>
      <c r="O69" s="10" t="n">
        <v>0</v>
      </c>
      <c r="P69" s="10" t="n">
        <v>0</v>
      </c>
      <c r="Q69" s="10" t="n">
        <v>1</v>
      </c>
      <c r="R69" s="10" t="n">
        <v>0</v>
      </c>
      <c r="S69" s="10" t="n">
        <v>0</v>
      </c>
    </row>
    <row r="70" ht="409.5" customHeight="1">
      <c r="A70" s="6">
        <f>IFERROR(__xludf.DUMMYFUNCTION("""COMPUTED_VALUE"""),"BHIMS")</f>
        <v/>
      </c>
      <c r="B70" s="6">
        <f>IFERROR(__xludf.DUMMYFUNCTION("""COMPUTED_VALUE"""),"Resource")</f>
        <v/>
      </c>
      <c r="C70" s="6">
        <f>IFERROR(__xludf.DUMMYFUNCTION("""COMPUTED_VALUE"""),"BHIMS_IntroductiontoBH_V2.pdf")</f>
        <v/>
      </c>
      <c r="D70" s="7" t="inlineStr">
        <is>
          <t>Stellar mass black holes Black holes are regions of space time where gravity shows all its glory and triumph and are thus very important examples of applicability and importance of General Relativity. They are mysterious objects which existence is still not completely proved. To definite proof of their existence would be finding evidence of the existence of an event horizon, a point of no return. Until such proof arrives the correct attitude is to call them black hole candidates, no matter how promising the many observations of are. In spite of all this veil of mystery and uncertainty black holes are the simplest objects in the Universe. They can be completely characterized by only 3 parameters: charge, mass and angular momentum. This implies that black holes in the centre of galaxies and those living in stellar systems have only one fundamental difference: their mass. There are strong arguments implying that stellar mass black holes might be born from the supernovae which occur after the death of some high mas stars, stars with masses 8 times the mass of our Sun or bigger. These big stars have a very short existence (in the order of millions of years, which is very short when compared to the life of a star like our Sun. Our Sun exists for nearly 4.5 billion years (109 years) and is in halfway through its life time. The final stage of the life of a high mass star is in the form of a supernova explosion. The remains of the progenitor star are expected to be in general either a neutron star or a black hole, depending, in part, on the mass of the remaining object. So far we know nearly 2 dozen of very strong stellar mass black hole candidates in our own Galaxy. Their proximity turns them in real laboratories where we can study their characteristics and thus gain knowledge about their true nature and perhaps infer probable characteristics of those living in the centre of galaxies. An artistic view of a stellar mass black hole system is depicted in fig 1. Companion Star Accretion Disk Compact Object (Black Hole Candidate) Figure 1 Artist Impression of Stellar Black Hole Candidate A0620-00. A binary system composed of a low mass star and a compact object. The material of the companion star is attracted by the intense gravitational field of the compact object forming an accretion disc surrounding it. (Credit and Copyright: Robert Hynes) 1 How stellar mass black holes form? Let's begin by gaining some understanding of the life cycle of stars. Figure 2 Two different evolutionary cycles of stars depending on the initial mass (Credit: NASA) In figure 2 the life cycle of stars are presented depicting two major evolutionary paths, depending on the initial mass of the star. In the central part of this artist impression a nebula of gas and dust gives birth to stars with different masses. In the left part of the image it is represented the evolutive cycle of a low mass star (like our Sun), that will end up its life as a white dwarf. In the right part of the image it is represented the evolutive path of a high mass star that will end up as a neutron star or a black hole. The luminosity of stars during most of their lives is due to nuclear reaction where Hydrogen is being fused into Helium. These reactions are only possible due to the extreme temperatures existing in the interior of such objects. The radiative pressure that generates from such phenomena counterbalances the gravity field originated by the star's own mass, enabling the star to stay in a state of equilibrium. When the fuel diminishes (in this case Hydrogen), the radiation pressure diminishes and the star's core contracts due to the action of the gravitational field. There is an increase in temperature in the regions closer to the core, which makes it possible for the hydrogen combustion layer to move gradually towards the surface. The star, in search for a new equilibrium state, will expand. The radio of the star increases and the star transforms into a red giant or in a red supergiant depending on its initial mass. While the star expands the core contracts. There is a new increase in temperature and depending on the original mass of the star, the temperature and density may increase enough to originate new reactions and start transforming Helium core into a mixture of Carbon and Oxygen, or , in higher mass stars, oxygen, neon and magnesium. During this period the external layers of the star are dispersed in the interstellar medium (in high mass stars, the lost fraction represents a big part of the 2 total mass), while the core, where fuel (heavier elements) also starts to run out, continues to contract and heating to higher temperatures. The element transformation continues until the formation of Iron. Iron is a stable element and to transform it into heavier elements the star would need an external source of energy. From this moment on the star gets unstable and ends up in a supernova explosion where all the outer layers are released to the interstellar medium. Elements heavier then Iron are formed in this phase. Stars like our Sun (low mass stars) have a much longer life cycle, with a duration of the order of billions of years and end up their lives in the form of a white dwarf. They start by fusing their Hydrogen fuel into Helium. The gravitational field originated by the star mass is not enough to effectively ignite the fusion of Helium into heavier elements. Our Sun exists for at least 4.5 billion years and it is estimated that it is in half of its life cycle. Stars with a mass higher than 8 solar masses will follow a much shorter life cycle, of the order of millions of years. Due to their higher mass they need more fuel in order to maintain the equilibrium state, thus consuming more rapidly their source of energy. It is believed that their end state will be in the form of a neutron star or a black hole. White Dwarfs Figure 3 - NGC 2440 is a Planetary Nebula located 4000 light years away from Earth. The central star evolved to a white dwarf after ejecting its outer layers originating this beautiful planetary nebula (Credit: NASA &amp; Hubble Heritage Team) Low mass stars end up their life cycle in a much more pacific way when the core slowly lose contact with the outer layer. High energy photons originating from the stellar core slowly excite the material of these outer layers, already very diluted and dispersed, producing as a result the incredible beautiful planetary nebula as the one in figure 3. 3 The remaining part of the star has the form of a white dwarf. In these stars matter is so compressed that atomic core are glued to each other. A state where there are no atoms only nuclei and free electrons. The collapse of the star is now stopped by the electrons degeneracy pressure, a pressure that emerges from the impossibility of 2 electrons occupying the same position at the same time. If we try to put 2 electrons in the same orbit an effect similar to electromagnetic repulsion, when we try to approach particles with the same charge, will appear. In this case the effect is known as the Pauli exclusion principle: two electrons can't occupy the same quantum state . In the core of the stellar remains the pressure is so large that the necessary conditions for such a force to appear and the degeneracy of electrons is then responsible for stopping the gravitational collapse, thus stabilizing the star. White dwarfs are extremely hot and emit thermal radiation. The first white dwarf observed was Sirius B, companion of Sirius, one of the brightest stars in our skies. Sirius B has a radius smaller than that of the Earth but has almost the same mass as our Sun. White dwarfs are so dense that a tea spoon of their material would weight 50 ton, by Earth standards! The discovery that the electrons degeneracy pressure could halt the collapse of a star was made by an Indian physicist, Subrahmanyan Chandrasekhar, when he was 20 year old, while making the boat trip that took him from India to England where he was about to start his Phd. He calculated that only stellar remains that had a mass lower than 1.44 times the mass of the Sun could reach a state o equilibrium due to the electrons degeneracy pressure. This will be the destiny of our star, the Sun. When this limit is surpassed the continuation of the collapse is inevitable until the next stage, where it can be halted again in the formation of neutron stars. Neutron Stars Figure 4 - The Crab nebula (M1) in the direction of the constellation Taurus, taken by the Hubble Space Telescope (lower left). The details to the right are showing a composite of visible light (red) and X-rays (blue) with the pulsar as central star. At the shock front in 0.3 light-years distance from the pulsar, the ultrarelativistic wind of electrons and positrons collides with the surrounding nebula. (Credits: NASA) 4 If the progenitor star has an initial mass higher than 8 solar masses, the transformation cycle of Hydrogen into Helium and so on towards heavier elements will continue until the stage where the core of the star is composed essentially by Iron. In order to transform iron in heavier elements it is necessary to find an external source of energy. In the absence of the radiative pressure from the core of the star the collapse is inevitable and very quick. The star loses contact with the outer layers. With a mass higher than 1.44 solar masses, the electron degeneracy pressure is not enough to halt the gravitational force and the star's core collapses. The electrons can't resist the gravitational pull and start interacting with protons from the core producing neutrons. In this case, and provided the mass is not higher than 3 solar masses, a new equilibrium state can be reached, this time due to the degenerative pressure of the neutrons, the quantum effect that prevent neutrons to occupy the same state. The pressure created by this package of neutrons will counterbalance the gravitational force and the star will reach a new equilibrium state in the form of a neutron star. In Figure 4 we can see an image of the Crab Nebula, a supernova remnant, at a distance of 6 000 light years from Earth, first observed by the British amateur astronomer John Bevis. In the right hand side of the image we can see the interior of the nebula where a pulsar was observed (a neutron star that emits regular radio pulses). The pulsar is visible in the central part of the image. The rotational period of a pulsar is extremely small. In the case of the crab nebula's pulsar it is 33 times per second. Figure 5 High mass star's life cycle ends when the core is essentially constituted by Iron, a stable element that can't be transformed into heavier elements unless an external source of energy is provided to the star (Credit: NASA) As mentioned before, if the progenitor star has an initial mass around 8 solar masses, the transformation cycle continue until a state where the star's core is constituted essentially by Iron. At this stage the star resembles an onion where each layer is constituted by different elements, produced during the evolutionary cycle of the star. The outer layers that can't follow the collapse of the core undergoe a slower contracting process ending up with a collision with the degenerate core. This process ends up in the form of a supernova explosion type II, one of the most energetic phenomena in the Universe. In this phase the star releases into the interstellar medium all the elements that it has produced in its interior. The interaction of the radiation coming from the core with the star's layers, during the explosion, will generate the necessary energy for the emergency of elements heavier than Iron. This is the 5 mechanism with which the Universe is enriched with the elements for the periodic table that didn't exist in the primordial Universe, that was constituted basically by Hydrogen and Helium and a small quantity of Lithium. As Carl Sagan use to say, we are all children of the stars, all made of stardust. The remains of such an explosion, depending on the mass, can be a neutron star or a black hole. Neutron stars have usually a radius of around 10 km, usually with a mass of the order of 1.5 solar masses. The first detection of a neutron star was made by an Northern Ireland astronomer, Jocelyn Bell, a Phd student at the time of the discovery, in 1967. She discovered a radio signal that pulsed with such an amazing periodicity that at the beginning she thought could be a message from aliens. Soon it was confirmed to be a signal coming from a neutron star. These objects have intense magnetic fields (in fact they have the most intense magnetic field that we can measure in the Universe, billions of times stronger than the Earth's magnetic field). These magnetic fields originate the vibration of the electrons, responsible for the emission of radio waves. Neutron stars with such characteristics are known as pulsars. These are objects with fast rotation and their pulses can have a periodicity of milliseconds. The final effect is similar to the light emitted by lighthouses. Important to be noted however that not all neutron stars are pulsars. Black Holes If the remains of the progenitor star has a mass higher than 3 solar masses, which may happen in cases where the original star may have masses higher than 40 solar masses (the relation between the initial mass and the mass of the remaining object is not yet well established), then not even the degeneracy pressure of neutrons can stop the gravitational collapse and the star will contract due to its own gravitational field giving birth to a black hole. A black hole is by definition a region of the Universe where nothing can come out of, not even light. This sole property was responsible for the baptism of such obejcts as black holes by the theoretical physicist John Wheeler in 1967. In fact, the existence of objects where the scape velocity where higher than the speed of light (the minimum necessary speed for an object to escape the gravitational attraction of the body), was already predicted in 1783 by an English priest, John Michell, and in 1796 by Pierre Simon Laplace, both predictions based in the Newtonian Mechanics. The big change since then is that at the time this predictions where made it was not known that the speed of light was a limiting value. The escape velocity on Earth is 40.248 km/h, already reached by aerospace technology. However, if the density of our planet increased a lot, if we contracted the whole Earth to a radius of 10 mm then the scape velocity would increase and surpass the 300 000 km/s, a speed higher than the velocity of light, thus impossible to reach. In the framework of General Relativity the existence of black holes emerges as a marginal result to one of the most important solutions to Einstein equations, the solution discovered in 1915 by Karl Schwarzschild. This solution describes the vacuum region external to a static and spherical body. It is perfect to study the dynamics in the Solar System and provided important proofs of predictions made by Einstein's theory. This solution predicts that a body may contract to a value inferior to a 6 certain radius, the Schwarzschild radius (also known as event horizon), turning into a black hole. In km this value is equivalent to 3 times the mass of the star in solar mass units. G = Newton's gravitational constant = 6.67 x 10-11m3s-2kg-1 C= light speed = 3.00 x 108 m/s 1 Mʘ (1 Solar Mass) 1.99 x 1030 kg 13,34 x 10 11 M m3 2 m Schwarzchild Radius = 2 GM/c2 = 9 x 1016 kgm2 2 = 1,482 x 10 27 M kg = m 1,482 x 10 27 x 2 x 1030 M Mʘ M Schwarzschild Radius = 2 GM/c2 3 Mʘ Approximately 3 times the mass of the star in solar mass units and the result given in km. A typical black hole candidate has a mass of approximately 10 solar masses and an event horizon of approximately 30 km. Most neutron stars and black hole candidates discovered so far are part of a binary system composed by a star of a known spectral type and a compact object. The intense gravitational field of these objects will attract the material of the companion star forming an accretion disk around the compact object. The inner part of the disc is subject to a gravitational field more intense and emit higher energy radiation, in the X-ray part of the spectrum. This is the most effective method of discovering such objects, but is not the only one. How do we detect stellar mass black holes ? (these part of the text is only to get you familiarized with all characteristics related to this field of research) Figure 6 UHURU satellite (freedom in Swahili). Was the first satellite completely devoted to the study of cosmic X-ray sources. It discovered over 400 sources, among them several X-ray emitting binary systems. 7 From the 60's on astronomers started to have available the necessary technology to observe the sky in the X-ray waveband. Until then there was no knowledge of the existence of an X-ray emitting source in the Universe beyond our Sun. X-rays can't pass through our atmosphere, therefore only spacecraft above it can study the Universe in this wavelengths. The first such device was launched in 1962 by a team of North American scientists. The Italian Ricardo Giacconi, who won the physics Nobel Prize in 2002 for his contribution for X-ray astronomy, was among them. The first discovered source was Sco X-1, receiving this name for being the first X-ray source in the constellation of Scorpius. At that time this source was a mystery to the astronomers: it emitted thousands of time more energy in X-ray than in visible light, and in this waveband the source was billions of times brighter than the Sun! These mysterious sources of radiation started to be unveiled with the launch of the UHURU satellite (Figure 6). This event marked the beginning of a new era of important discoveries unveiling a completely different Universe that could not be seen in the optical. Nowadays there are several active satellites observing the sky in X-ray: Chandra (NASA), XMM- Newton (ESA), RXTE (NASA), ALEXIS (LANL). Compact Object High Mass Star Accretion Disk Figure 7 Scheme of the mechanism of accretion by stellar winds. Credit: NUCLIO (C.Zurita) 8 Hundreds of X-ray sources where detected so far, concentrated in the plane of our Galaxy. Many of these sources are binary systems composed by a star of a known spectral type and a compact object. The gravitational field of this object attracts the material of the companion star. In the regions closer to the compact object high energetic phenomena take place and we can observe the emission of X- rays. In the cases where the non-visible component is a neutron star or a black hole they are called X-ray binaries. If the compact object is a white dwarf, in spite the fact that they are also sources of X- ray, they are called cataclysmic variables. This last case is easy to spot since their X-ray emission is not as intense as in the case of the more compact objects. In an interesting paradox, these extremely compact objects are almost impossible to detect when isolated. They are discovered for being responsible for extremely energetic phenomenon that for a short period of time transform them into strong X-ray emitters. Neutron stars and black holes are responsible for the most energetic phenomena in the Universe, they can be discovered via their interaction with the surrounding medium or objects such as those in binary sytems. The first system detected, in which the compact object is a strong stellar mass black hole candidate, was Cygnus X-1, in 1972 by the UHURU satellite. It is estimated that the compact object has a mass of the order of 5 times the mass of the Sun concentrated in a few kilometres. Its luminosity is due to accretion of matter coming from the companion star, a blue supergiant. Supergiant stars are continuously losing mass due to stellar winds. Part of this gas can be attracted by the compact object releasing X-rays (figure 7). The gas may then form a small accretion disk. In the inner regions of this disc energy might reach high levels, so high that we can observe X-rays. Figure 8 Scheme of a binary system formed by a Be star and a neutron star. The X-ray emission occurs when the neutron star, in a particular point of its orbit, enters the circumstellar disk and attracts part of the gas. The X-ray flux increases abruptly at each passage of the neutron star throughtout the disc. Credit: NUCLIO (C.Zurita) 9 The high mass companion star can also be of the Be type. The B stars are high mass stars much hotter and much bigger than our Sun. The Be are a subtype of this category and is characterized by having a circumstellar disc formed, probably, by the mass of the star lost from the equatorial zones due to its fast rotation. The binary systems formed by a Be star and a neutron star will also produce X-rays if the neutron star, at a certain point of its orbit around the star, penetrates the disc and accrete part of the gas and are therefore known as Be/X-ray binaries. There are other 2 types of systems in which the companion star has a lower mass than the Sun e therefore are called low mass X-ray binaries. In these systems the accretion is produced by the material overflowing the Roche lobe, the volume around the star within which the material is gravitationally attached to it. In a binary system, there is a common point between the Roche lobe of the two components, the so called Lagrange point. This is the equilibrium point between the gravitical forces of the two components of the system, in other words, a point where any object would be equally attracted by the star and the compact object. Figure 9 Scheme of a low mass X-ray binary with Roche lobes represented. The star fill its Roche lobe and acquires the shape of a pear. All material inside the yellow lobe is attached to the star e in the blue lobe to the compact object. The gas in the Lagrange point will flow through this point in the direction of the higher gravitational field. The flux carries with it the angular momentum of the star (rotating at the same speed as the star), thus it won't fall directly to the compact object forming around the star an accretion disc. The point of impact of the gas flow with the disc is called hot spot for being hotter and brighter than the disc itself. In the internal regions of the disc the potential energy of the gas is so high that will originate X-rays. The Lagrange point is of particular importance since it is the simplest route for the gas to flow from one star to the other. In certain phases of the evolution of the star it can fill its Roche Lobe. This happens in low mass binaries where the star will deform until acquiring the form of a pear. The gas 10 existing in the external regions, near the Lagrange point will then be attracted by the compact object. Since the system is rotation, the material being transferred will fall in spiral shape in the direction of the compact component forming an accretion disc around it. The accretion process produces X-ray and via reprocessing in the disc, visible radiation. Eventually the accretion mechanism via overflow of the Roche lob can also appear in high mass systems alongside with accretion from solar winds. The fact that we observe X-rays is not an evidence of the existence of black holes. It is an evidence of the existence of a compact object, which can be a white dwarf, a neutron star or a black hole. The case of white dwarfs is easily solved since, among the binaries with a compact object; these are the weakest X-ray emitters. However, if the compact object is a neutron star or a black hole, than the distinction is more complicated since the gravitational potential of a black hole and a neutron star is very similar and their observational properties very similar. If the binary system contains a neutron star, as seen before, may emit regular pulses. Since the magnetic field of the neutron star is very intense the gas may be accreted by the magnetic poles producing the same effect as a light house emitting radio pulses. These systems are so called X-ray pulsars. Sometimes the magnetic field are not so strong, as in the case of the low mass X-ray binaries, and the pulses are not so regular but more erratic and unstable. In these cases we say that they present quasi-periodic oscillations (QPOs). In addition they can also produce thermonuclear flashes in the surface of the neutron star. The flashes are produced when the gas (mainly hydrogen) accreted accumulates in the surface until the conditions are appropriate to start nuclear reactions that first consumes the Hydrogen and then the resulting Helium. Since Helium's fusion is explosive flashes can be observed with more or less regularity. In summary, if we observe pulses or flashes in a X-ray binary, we can be sure it contains a neutron star. But not all neutron stars emit pulses or flashes. In such cases, one way to distinguish between a neutron star and a black hole is by determining the mass of the non-visible component. If the mass of the object is above 3 solar masses than we have a strong black hole candidate. 11 Figure 10 Artistic impression of Centaurs X-3 a high mass X-ray binary located at 30 000 light years from Earth. The compact object is a neutron star with a mass around 0.8 solar masses in orbit around a blue super giant. This was the first system where periodic X-ray pulses where detected. (Credit: Dany Page) How can we determine the mass of a stellar mass black hole ? Most stars live in binary systems. If one of the components of the systems have enough mass, it will end up its days in the form of a supernova. The remain will be transformed into a compact object, a neutron star or a black hole. If the binary system survives the supernova explosion, it can then create a low mas X-ray binariy (or LMXB). We only know about 150 such objects in our Galaxy, a low number when compared to the 100 billion stars in our Galaxy. From these 150 less than 2 dozen have an estimate for the minimum mass of the compact object. It is precisely from the orbit of stars around non visible objects that we can determine the mass of the compact component in a X-ray binary. 12 Low mass star filling its Roche Lobe Compact Object Matter flowing from the companion start to the compact object Accretion Disk Figure 11 Artist impression of the low mass X-ray binary A0620-00. Discovered in 1975 it rapidly became a promising stellar mass black hole candidate, a prototype to the study of other candidates. However, the definitive determination of its mass was not yet possible and the limits to its value are too close to the limiting value for a neutron star, around 3 solar masses. (Credit: Robert Hynes) Low mass X-ray binaries are almost always detected by being strong X-ray emitters. In some of these systems the strong emission phase is a transient phase, i.e., has a very short duration. In these systems the flow of matter in the direction of the compact object has a spasmodic behaviour. Most of the time, matter coming from the star will accumulate in the outer parts of the disc until an instability is generated and the gas us suddenly accreted. An intense eruption is produced and the brightness of the system may have a variation of 5 to 6 magnitudes. After a period that might last a few months the system returns to its normal rhythm, a phase coined as quiescent phase. In this phase all the important studies to determine this system's parameters take place. Contrary to what happens in persistant X-ray binaries, in which the emission coming from the disc continues, in the transient X-ray binaries the intense emission stops and allows other characteristics of the system to be observed. Once the accretion disc stops being so bright, the companion star becomes visible again. The X-ray transients go completely unnoticed in the middle of hundreds of millions of stars until the moment of the eruptions. The interval between eruptions in these cases is very long taking sometimes decades to take place again. For this reason the discovery of such objects is not so frequent. 13 The mass function Figure 12 Scheme of a binary system. The compact object (mass M1) and the companion star (mass M2) are orbiting the centre of mass (CM) of the system with radical velocity K1 and K2 respectively. Since the compact object is not visible we have to extract all the necessary information by observing the companion star and its orbit. Credit: NUCLIO (C.Zurita) When a transient system is discovered, it is necessary to wait several months for the star to be responsible for the major emission coming from the binary system and not the disc. By then the observation of the companion star are crucial in order to determine the orbital parameter of the system and be able to apply Kepler's third law. This law states that the square of the orbital period is proportional to the cube of the average distance between the components of the system. We have to remember that Kepler's third law emerges naturally from the application of the Newton's Universal Law of Gravitation to the movement of planets and can therefore be generalized to any two bodies orbiting each other. With the application of Kepler's law to the star we are closer to our objective, determining the mas of the invisible compact object around which the other star is orbiting, i.e., determine the mass of the possible black hole. After some mathematical manipulation in the formula of Kepler's third law we end up in a relation between the orbital parameters of the binary system: where M1 and M2 are the masses of the compact object and the companion star respectively, P the orbital period, i.e., the time it takes for the star to complete an orbit, G is the universal gravitational constant, i is the inclination of the orbital plane of the system with with the line of sight of the observer and K2 the radial velocity of the visible star. If we are interested in an lower limit for the mass of the compact object, not exactly its mass, then things are much simpler. The mass of the star M2 can't be smaller than zero, neither the inclination angle can be higher than 90 degrees whi ch implies that the mass of the compact object has to be necessarily bigger than the quantity that is left when we make i= 90º and M2 =0, i.e.: 14 This quantity, called the mass function f(M)is extremely important since it allows us to obtain in simple mode the indirect evidence for the existence of black holes. If f(M) is higher than 3 solar masses, the mass of the compact object will certainly be higher than this limiting value and, as we already discussed, a neutron star must have a limiting mass smaller than this value. So we can conclude that the compact object must be a black hole. It seems very paradoxal that one of the best evidences for the existence of one of the most exotic objects ever imagined by physicists, and the best example of the applicability of general relativity, comes from the application of simple Newtonian mechanics. The radial velocity of the star Fingerprint of the star's chemical components Star with no motion Star moving away Star moving towards the observer Figure 13 The analysis of the spectral lines of a star allows us to determine its composition. When the star is moving the spectral lines appear to be shifted from the position they would have in a stationary reference frame. If the object is moving away from the observer the lines will appear to be shifted towards red. If the object is approaching the observer the lines will appear to be shifted towards the blue part of the electromagnetic spectrum. (Credit: NASA) In order to calculate the mass function, besides the orbital period that can be easily determined by observing the visible star, we also need to know its radial velocity, the velocity in the direction of the observer. This can be determined by the Doppler effect: if an emitting source is moving, the wavelength of the signal , measuring by an observer at rest, changes according to the velocity of the source. This effect explains why the whistle of a train (sound waves) acquire a lower pitch (a smaller 15 wavelength) when it moves away. Although it is not possible to listen to the stars, the Doppler effect can be also applied. The light of the stars are produced by nuclear reactions in their core having to cross the whole star before being released to space. A typical star like our Sun is fundamentally composed by Hydrogen and small quantities of other elements such as Helium, Carbon, Nitrogen, Oxygen, etc. When the light goes through them, these elements absorb certain wavelengths depending on the element. As a result, the observed spectrum is full of lines. In the case of a binar</t>
        </is>
      </c>
      <c r="E70" s="7">
        <f>IFERROR(__xludf.DUMMYFUNCTION("""COMPUTED_VALUE"""),"application/pdf – A portable document format (PDF) file, preserving text and layout for consistent viewing across devices.")</f>
        <v/>
      </c>
      <c r="F70" s="7" t="n"/>
      <c r="G70" s="8" t="n">
        <v>1</v>
      </c>
      <c r="H70" s="8" t="n">
        <v>0</v>
      </c>
      <c r="I70" s="8" t="n">
        <v>0</v>
      </c>
      <c r="J70" s="8" t="n">
        <v>0</v>
      </c>
      <c r="K70" s="9" t="n">
        <v>1</v>
      </c>
      <c r="L70" s="9" t="n">
        <v>0</v>
      </c>
      <c r="M70" s="9" t="n">
        <v>0</v>
      </c>
      <c r="N70" s="9" t="n">
        <v>0</v>
      </c>
      <c r="O70" s="10" t="n">
        <v>1</v>
      </c>
      <c r="P70" s="10" t="n">
        <v>0</v>
      </c>
      <c r="Q70" s="10" t="n">
        <v>0</v>
      </c>
      <c r="R70" s="10" t="n">
        <v>0</v>
      </c>
      <c r="S70" s="10" t="n">
        <v>0</v>
      </c>
    </row>
    <row r="71" ht="193" customHeight="1">
      <c r="A71" s="6">
        <f>IFERROR(__xludf.DUMMYFUNCTION("""COMPUTED_VALUE"""),"BHIMS")</f>
        <v/>
      </c>
      <c r="B71" s="6">
        <f>IFERROR(__xludf.DUMMYFUNCTION("""COMPUTED_VALUE"""),"Space")</f>
        <v/>
      </c>
      <c r="C71" s="6">
        <f>IFERROR(__xludf.DUMMYFUNCTION("""COMPUTED_VALUE"""),"Conclusion")</f>
        <v/>
      </c>
      <c r="D71" s="7">
        <f>IFERROR(__xludf.DUMMYFUNCTION("""COMPUTED_VALUE"""),"&lt;p&gt;For the conclusion phase you have to prepare a full report about your research. You will present your results in the format of a paper. For this use the template provided by your teacher and deliver it using the file drop below.  &lt;/p&gt;")</f>
        <v/>
      </c>
      <c r="E71" s="7">
        <f>IFERROR(__xludf.DUMMYFUNCTION("""COMPUTED_VALUE"""),"No artifact embedded")</f>
        <v/>
      </c>
      <c r="F71" s="7" t="n"/>
      <c r="G71" s="8" t="n">
        <v>0</v>
      </c>
      <c r="H71" s="8" t="n">
        <v>0</v>
      </c>
      <c r="I71" s="8" t="n">
        <v>1</v>
      </c>
      <c r="J71" s="8" t="n">
        <v>0</v>
      </c>
      <c r="K71" s="9" t="n">
        <v>0</v>
      </c>
      <c r="L71" s="9" t="n">
        <v>1</v>
      </c>
      <c r="M71" s="9" t="n">
        <v>0</v>
      </c>
      <c r="N71" s="9" t="n">
        <v>0</v>
      </c>
      <c r="O71" s="10" t="n">
        <v>0</v>
      </c>
      <c r="P71" s="10" t="n">
        <v>0</v>
      </c>
      <c r="Q71" s="10" t="n">
        <v>0</v>
      </c>
      <c r="R71" s="10" t="n">
        <v>0</v>
      </c>
      <c r="S71" s="10" t="n">
        <v>1</v>
      </c>
    </row>
    <row r="72" ht="384" customHeight="1">
      <c r="A72" s="6">
        <f>IFERROR(__xludf.DUMMYFUNCTION("""COMPUTED_VALUE"""),"BHIMS")</f>
        <v/>
      </c>
      <c r="B72" s="6">
        <f>IFERROR(__xludf.DUMMYFUNCTION("""COMPUTED_VALUE"""),"Resource")</f>
        <v/>
      </c>
      <c r="C72" s="6">
        <f>IFERROR(__xludf.DUMMYFUNCTION("""COMPUTED_VALUE"""),"post quest.graasp")</f>
        <v/>
      </c>
      <c r="D72" s="7">
        <f>IFERROR(__xludf.DUMMYFUNCTION("""COMPUTED_VALUE"""),"&lt;p&gt;The final task will be to answer this questionnaire&lt;/p&gt;&lt;p&gt;&lt;br&gt;&lt;/p&gt;&lt;p&gt;&lt;a target=""_blank"" href=""https://docs.google.com/forms/d/1M38fYt98dpff3mmLvdxBa17Hd-HaEvJ_RWNLWZINlKM/viewform""&gt;Post-evaluation questionnaire for teachers&lt;/a&gt;&lt;/p&gt;&lt;p&gt;&lt;br&gt;&lt;/p&gt;&lt;p&gt;&lt;a "&amp;"target=""_blank"" href=""https://docs.google.com/forms/d/1kphyHoslmBlS_oymMzdQp8cuwB8mH6YN0PwSxoLkLww/viewform""&gt;Post-evaluation questionnaire for students&lt;/a&gt;&lt;br&gt;&lt;/p&gt;&lt;p&gt;&lt;br&gt;&lt;/p&gt;&lt;p&gt;&lt;br&gt;&lt;/p&gt;")</f>
        <v/>
      </c>
      <c r="E72" s="7">
        <f>IFERROR(__xludf.DUMMYFUNCTION("""COMPUTED_VALUE"""),"No artifact embedded")</f>
        <v/>
      </c>
      <c r="F72" s="7" t="n"/>
      <c r="G72" s="8" t="n">
        <v>0</v>
      </c>
      <c r="H72" s="8" t="n">
        <v>0</v>
      </c>
      <c r="I72" s="8" t="n">
        <v>1</v>
      </c>
      <c r="J72" s="8" t="n">
        <v>0</v>
      </c>
      <c r="K72" s="9" t="n">
        <v>0</v>
      </c>
      <c r="L72" s="9" t="n">
        <v>1</v>
      </c>
      <c r="M72" s="9" t="n">
        <v>0</v>
      </c>
      <c r="N72" s="9" t="n">
        <v>0</v>
      </c>
      <c r="O72" s="10" t="n">
        <v>0</v>
      </c>
      <c r="P72" s="10" t="n">
        <v>0</v>
      </c>
      <c r="Q72" s="10" t="n">
        <v>0</v>
      </c>
      <c r="R72" s="10" t="n">
        <v>0</v>
      </c>
      <c r="S72" s="10" t="n">
        <v>0</v>
      </c>
    </row>
    <row r="73" ht="157" customHeight="1">
      <c r="A73" s="6">
        <f>IFERROR(__xludf.DUMMYFUNCTION("""COMPUTED_VALUE"""),"BHIMS")</f>
        <v/>
      </c>
      <c r="B73" s="6">
        <f>IFERROR(__xludf.DUMMYFUNCTION("""COMPUTED_VALUE"""),"Application")</f>
        <v/>
      </c>
      <c r="C73" s="6">
        <f>IFERROR(__xludf.DUMMYFUNCTION("""COMPUTED_VALUE"""),"File Drop")</f>
        <v/>
      </c>
      <c r="D73" s="7">
        <f>IFERROR(__xludf.DUMMYFUNCTION("""COMPUTED_VALUE"""),"No task description")</f>
        <v/>
      </c>
      <c r="E73" s="7">
        <f>IFERROR(__xludf.DUMMYFUNCTION("""COMPUTED_VALUE"""),"Golabz app/lab: ""&lt;p&gt;This app allows students to upload files, e.g., assignment and reports, to the Inquiry learning Space. The app also allows teachers to download the uploaded files.&lt;/p&gt;\r\n""")</f>
        <v/>
      </c>
      <c r="F73" s="7" t="n"/>
      <c r="G73" s="8" t="n">
        <v>0</v>
      </c>
      <c r="H73" s="8" t="n">
        <v>0</v>
      </c>
      <c r="I73" s="8" t="n">
        <v>1</v>
      </c>
      <c r="J73" s="8" t="n">
        <v>0</v>
      </c>
      <c r="K73" s="9" t="n">
        <v>0</v>
      </c>
      <c r="L73" s="9" t="n">
        <v>1</v>
      </c>
      <c r="M73" s="9" t="n">
        <v>0</v>
      </c>
      <c r="N73" s="9" t="n">
        <v>0</v>
      </c>
      <c r="O73" s="10" t="n">
        <v>0</v>
      </c>
      <c r="P73" s="10" t="n">
        <v>0</v>
      </c>
      <c r="Q73" s="10" t="n">
        <v>0</v>
      </c>
      <c r="R73" s="10" t="n">
        <v>0</v>
      </c>
      <c r="S73" s="10" t="n">
        <v>0</v>
      </c>
    </row>
    <row r="74" ht="217" customHeight="1">
      <c r="A74" s="6">
        <f>IFERROR(__xludf.DUMMYFUNCTION("""COMPUTED_VALUE"""),"BHIMS")</f>
        <v/>
      </c>
      <c r="B74" s="6">
        <f>IFERROR(__xludf.DUMMYFUNCTION("""COMPUTED_VALUE"""),"Space")</f>
        <v/>
      </c>
      <c r="C74" s="6">
        <f>IFERROR(__xludf.DUMMYFUNCTION("""COMPUTED_VALUE"""),"Discussion")</f>
        <v/>
      </c>
      <c r="D74" s="7">
        <f>IFERROR(__xludf.DUMMYFUNCTION("""COMPUTED_VALUE"""),"&lt;p&gt;The final step of your project is to present your work to your colleagues and discuss the results. Submit your paper for the appreciation of experts (your tutors) and disseminate your work.&lt;/p&gt;&lt;p&gt;&lt;br&gt;&lt;/p&gt;&lt;p&gt;Well done!! You are now a black hole expert!!"&amp;"&lt;/p&gt;")</f>
        <v/>
      </c>
      <c r="E74" s="7">
        <f>IFERROR(__xludf.DUMMYFUNCTION("""COMPUTED_VALUE"""),"No artifact embedded")</f>
        <v/>
      </c>
      <c r="F74" s="7" t="n"/>
      <c r="G74" s="8" t="n">
        <v>0</v>
      </c>
      <c r="H74" s="8" t="n">
        <v>0</v>
      </c>
      <c r="I74" s="8" t="n">
        <v>0</v>
      </c>
      <c r="J74" s="8" t="n">
        <v>1</v>
      </c>
      <c r="K74" s="9" t="n">
        <v>0</v>
      </c>
      <c r="L74" s="9" t="n">
        <v>1</v>
      </c>
      <c r="M74" s="9" t="n">
        <v>1</v>
      </c>
      <c r="N74" s="9" t="n">
        <v>0</v>
      </c>
      <c r="O74" s="10" t="n">
        <v>0</v>
      </c>
      <c r="P74" s="10" t="n">
        <v>0</v>
      </c>
      <c r="Q74" s="10" t="n">
        <v>0</v>
      </c>
      <c r="R74" s="10" t="n">
        <v>0</v>
      </c>
      <c r="S74" s="10" t="n">
        <v>1</v>
      </c>
    </row>
    <row r="75" ht="25" customHeight="1">
      <c r="A75" s="6">
        <f>IFERROR(__xludf.DUMMYFUNCTION("""COMPUTED_VALUE"""),"Scenario-Six thinking hats")</f>
        <v/>
      </c>
      <c r="B75" s="6">
        <f>IFERROR(__xludf.DUMMYFUNCTION("""COMPUTED_VALUE"""),"Space")</f>
        <v/>
      </c>
      <c r="C75" s="6">
        <f>IFERROR(__xludf.DUMMYFUNCTION("""COMPUTED_VALUE"""),"Example ILS: Six Hats Approach for Archimedes' Principle")</f>
        <v/>
      </c>
      <c r="D75" s="7">
        <f>IFERROR(__xludf.DUMMYFUNCTION("""COMPUTED_VALUE"""),"No task description")</f>
        <v/>
      </c>
      <c r="E75" s="7">
        <f>IFERROR(__xludf.DUMMYFUNCTION("""COMPUTED_VALUE"""),"No artifact embedded")</f>
        <v/>
      </c>
      <c r="F75" s="7" t="n"/>
      <c r="G75" s="8" t="n">
        <v>0</v>
      </c>
      <c r="H75" s="8" t="n">
        <v>0</v>
      </c>
      <c r="I75" s="8" t="n">
        <v>0</v>
      </c>
      <c r="J75" s="8" t="n">
        <v>0</v>
      </c>
      <c r="K75" s="9" t="n">
        <v>0</v>
      </c>
      <c r="L75" s="9" t="n">
        <v>0</v>
      </c>
      <c r="M75" s="9" t="n">
        <v>0</v>
      </c>
      <c r="N75" s="9" t="n">
        <v>0</v>
      </c>
      <c r="O75" s="10" t="n">
        <v>0</v>
      </c>
      <c r="P75" s="10" t="n">
        <v>0</v>
      </c>
      <c r="Q75" s="10" t="n">
        <v>0</v>
      </c>
      <c r="R75" s="10" t="n">
        <v>0</v>
      </c>
      <c r="S75" s="10" t="n">
        <v>0</v>
      </c>
    </row>
    <row r="76" ht="329" customHeight="1">
      <c r="A76" s="6">
        <f>IFERROR(__xludf.DUMMYFUNCTION("""COMPUTED_VALUE"""),"Scenario-Six thinking hats")</f>
        <v/>
      </c>
      <c r="B76" s="6">
        <f>IFERROR(__xludf.DUMMYFUNCTION("""COMPUTED_VALUE"""),"Application")</f>
        <v/>
      </c>
      <c r="C76" s="6">
        <f>IFERROR(__xludf.DUMMYFUNCTION("""COMPUTED_VALUE"""),"Input Box")</f>
        <v/>
      </c>
      <c r="D76" s="7">
        <f>IFERROR(__xludf.DUMMYFUNCTION("""COMPUTED_VALUE"""),"No task description")</f>
        <v/>
      </c>
      <c r="E7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6" s="7" t="n"/>
      <c r="G76" s="8" t="n">
        <v>0</v>
      </c>
      <c r="H76" s="8" t="n">
        <v>0</v>
      </c>
      <c r="I76" s="8" t="n">
        <v>0</v>
      </c>
      <c r="J76" s="8" t="n">
        <v>0</v>
      </c>
      <c r="K76" s="9" t="n">
        <v>0</v>
      </c>
      <c r="L76" s="9" t="n">
        <v>0</v>
      </c>
      <c r="M76" s="9" t="n">
        <v>0</v>
      </c>
      <c r="N76" s="9" t="n">
        <v>0</v>
      </c>
      <c r="O76" s="10" t="n">
        <v>0</v>
      </c>
      <c r="P76" s="10" t="n">
        <v>0</v>
      </c>
      <c r="Q76" s="10" t="n">
        <v>0</v>
      </c>
      <c r="R76" s="10" t="n">
        <v>0</v>
      </c>
      <c r="S76" s="10" t="n">
        <v>0</v>
      </c>
    </row>
    <row r="77" ht="25" customHeight="1">
      <c r="A77" s="6">
        <f>IFERROR(__xludf.DUMMYFUNCTION("""COMPUTED_VALUE"""),"Scenario-Six thinking hats")</f>
        <v/>
      </c>
      <c r="B77" s="6">
        <f>IFERROR(__xludf.DUMMYFUNCTION("""COMPUTED_VALUE"""),"Space")</f>
        <v/>
      </c>
      <c r="C77" s="6">
        <f>IFERROR(__xludf.DUMMYFUNCTION("""COMPUTED_VALUE"""),"Orientation")</f>
        <v/>
      </c>
      <c r="D77" s="7">
        <f>IFERROR(__xludf.DUMMYFUNCTION("""COMPUTED_VALUE"""),"No task description")</f>
        <v/>
      </c>
      <c r="E77" s="7">
        <f>IFERROR(__xludf.DUMMYFUNCTION("""COMPUTED_VALUE"""),"No artifact embedded")</f>
        <v/>
      </c>
      <c r="F77" s="7" t="n"/>
      <c r="G77" s="8" t="n">
        <v>0</v>
      </c>
      <c r="H77" s="8" t="n">
        <v>0</v>
      </c>
      <c r="I77" s="8" t="n">
        <v>0</v>
      </c>
      <c r="J77" s="8" t="n">
        <v>0</v>
      </c>
      <c r="K77" s="9" t="n">
        <v>0</v>
      </c>
      <c r="L77" s="9" t="n">
        <v>0</v>
      </c>
      <c r="M77" s="9" t="n">
        <v>0</v>
      </c>
      <c r="N77" s="9" t="n">
        <v>0</v>
      </c>
      <c r="O77" s="10" t="n">
        <v>0</v>
      </c>
      <c r="P77" s="10" t="n">
        <v>0</v>
      </c>
      <c r="Q77" s="10" t="n">
        <v>0</v>
      </c>
      <c r="R77" s="10" t="n">
        <v>0</v>
      </c>
      <c r="S77" s="10" t="n">
        <v>0</v>
      </c>
    </row>
    <row r="78" ht="409.5" customHeight="1">
      <c r="A78" s="6">
        <f>IFERROR(__xludf.DUMMYFUNCTION("""COMPUTED_VALUE"""),"Scenario-Six thinking hats")</f>
        <v/>
      </c>
      <c r="B78" s="6">
        <f>IFERROR(__xludf.DUMMYFUNCTION("""COMPUTED_VALUE"""),"Resource")</f>
        <v/>
      </c>
      <c r="C78" s="6">
        <f>IFERROR(__xludf.DUMMYFUNCTION("""COMPUTED_VALUE"""),"OrientationTextBox.graasp")</f>
        <v/>
      </c>
      <c r="D78" s="7">
        <f>IFERROR(__xludf.DUMMYFUNCTION("""COMPUTED_VALUE"""),"&lt;p&gt;In the Orientation phase, students brainstorm about the general topic, familiarize themselves with the specific aspects of the general topic by exploring several resources and activate their prior knowledge.&lt;/p&gt;&lt;p style=""background-color: rgb(238, 238"&amp;", 238);""&gt;&lt;br&gt;&lt;/p&gt;&lt;p style=""background-color: rgb(238, 238, 238);""&gt;The familiarization can be done by:&lt;/p&gt;&lt;p style=""background-color: rgb(238, 238, 238);""&gt;• One and/or more videos, from YouTube or you can record your own video in which you personally "&amp;"explain the general topic.&lt;/p&gt;&lt;p style=""background-color: rgb(238, 238, 238);""&gt;• A brief text.&lt;/p&gt;&lt;p style=""background-color: rgb(238, 238, 238);""&gt;• One and/or more links to specific websites.&lt;/p&gt;&lt;p style=""background-color: rgb(238, 238, 238);""&gt;&lt;br&gt;"&amp;"&lt;/p&gt;&lt;p style=""background-color: rgb(238, 238, 238);""&gt;In order for students to activate their prior knowledge they may:&lt;/p&gt;&lt;p style=""background-color: rgb(238, 238, 238);""&gt;• Write down, in an &lt;a href=""http://www.golabz.eu/apps/input-box"" target=""_bl"&amp;"ank""&gt;Input box&lt;/a&gt;, all the concepts and keywords that they think are related to the topic.&lt;/p&gt;&lt;p style=""background-color: rgb(238, 238, 238);""&gt;• Perform a brief multiple choice &lt;a href=""http://www.golabz.eu/apps/quizmaster"" target=""_blank""&gt;quiz&lt;/a"&amp;"&gt; related to the topic.&lt;/p&gt;&lt;p style=""background-color: rgb(238, 238, 238);""&gt;&lt;br&gt;&lt;/p&gt;&lt;p&gt;For example see the Six hats example ILS: &lt;a href=""http://graasp.eu/ils/55dc6972577a28ca7e9b4971/?lang=en"" target=""_blank""&gt;http://graasp.eu/ils/55dc6972577a28ca7e"&amp;"9b4971/?lang=en&lt;/a&gt;&lt;/p&gt;")</f>
        <v/>
      </c>
      <c r="E78" s="7">
        <f>IFERROR(__xludf.DUMMYFUNCTION("""COMPUTED_VALUE"""),"No artifact embedded")</f>
        <v/>
      </c>
      <c r="F78" s="7" t="n"/>
      <c r="G78" s="8" t="n">
        <v>0</v>
      </c>
      <c r="H78" s="8" t="n">
        <v>0</v>
      </c>
      <c r="I78" s="8" t="n">
        <v>0</v>
      </c>
      <c r="J78" s="8" t="n">
        <v>0</v>
      </c>
      <c r="K78" s="9" t="n">
        <v>0</v>
      </c>
      <c r="L78" s="9" t="n">
        <v>0</v>
      </c>
      <c r="M78" s="9" t="n">
        <v>0</v>
      </c>
      <c r="N78" s="9" t="n">
        <v>0</v>
      </c>
      <c r="O78" s="10" t="n">
        <v>0</v>
      </c>
      <c r="P78" s="10" t="n">
        <v>0</v>
      </c>
      <c r="Q78" s="10" t="n">
        <v>0</v>
      </c>
      <c r="R78" s="10" t="n">
        <v>0</v>
      </c>
      <c r="S78" s="10" t="n">
        <v>0</v>
      </c>
    </row>
    <row r="79" ht="25" customHeight="1">
      <c r="A79" s="6">
        <f>IFERROR(__xludf.DUMMYFUNCTION("""COMPUTED_VALUE"""),"Scenario-Six thinking hats")</f>
        <v/>
      </c>
      <c r="B79" s="6">
        <f>IFERROR(__xludf.DUMMYFUNCTION("""COMPUTED_VALUE"""),"Space")</f>
        <v/>
      </c>
      <c r="C79" s="6">
        <f>IFERROR(__xludf.DUMMYFUNCTION("""COMPUTED_VALUE"""),"Conceptualisation")</f>
        <v/>
      </c>
      <c r="D79" s="7">
        <f>IFERROR(__xludf.DUMMYFUNCTION("""COMPUTED_VALUE"""),"No task description")</f>
        <v/>
      </c>
      <c r="E79" s="7">
        <f>IFERROR(__xludf.DUMMYFUNCTION("""COMPUTED_VALUE"""),"No artifact embedded")</f>
        <v/>
      </c>
      <c r="F79" s="7" t="n"/>
      <c r="G79" s="8" t="n">
        <v>0</v>
      </c>
      <c r="H79" s="8" t="n">
        <v>0</v>
      </c>
      <c r="I79" s="8" t="n">
        <v>0</v>
      </c>
      <c r="J79" s="8" t="n">
        <v>0</v>
      </c>
      <c r="K79" s="9" t="n">
        <v>0</v>
      </c>
      <c r="L79" s="9" t="n">
        <v>0</v>
      </c>
      <c r="M79" s="9" t="n">
        <v>0</v>
      </c>
      <c r="N79" s="9" t="n">
        <v>0</v>
      </c>
      <c r="O79" s="10" t="n">
        <v>0</v>
      </c>
      <c r="P79" s="10" t="n">
        <v>0</v>
      </c>
      <c r="Q79" s="10" t="n">
        <v>0</v>
      </c>
      <c r="R79" s="10" t="n">
        <v>0</v>
      </c>
      <c r="S79" s="10" t="n">
        <v>0</v>
      </c>
    </row>
    <row r="80" ht="409.5" customHeight="1">
      <c r="A80" s="6">
        <f>IFERROR(__xludf.DUMMYFUNCTION("""COMPUTED_VALUE"""),"Scenario-Six thinking hats")</f>
        <v/>
      </c>
      <c r="B80" s="6">
        <f>IFERROR(__xludf.DUMMYFUNCTION("""COMPUTED_VALUE"""),"Resource")</f>
        <v/>
      </c>
      <c r="C80" s="6">
        <f>IFERROR(__xludf.DUMMYFUNCTION("""COMPUTED_VALUE"""),"ConceptualisationTextBox.graasp")</f>
        <v/>
      </c>
      <c r="D80" s="7">
        <f>IFERROR(__xludf.DUMMYFUNCTION("""COMPUTED_VALUE"""),"&lt;p&gt;In the Sub-phase Hypothesis, students think more about the main concepts that describe the phenomenon under study, and formulate specific hypotheses that are going to be investigated in the next phase in their groups.&lt;/p&gt;&lt;p style=""background-color: rg"&amp;"b(238, 238, 238);""&gt;&lt;br&gt;&lt;/p&gt;&lt;p style=""background-color: rgb(238, 238, 238);""&gt;• Students try to relate the concepts and keywords that they noted in the previous phase by creating a &lt;a href=""http://www.golabz.eu/content/go-lab-concept-mapper"" target=""_"&amp;"blank""&gt;concept map&lt;/a&gt;.&lt;/p&gt;&lt;p style=""background-color: rgb(238, 238, 238);""&gt;Before students start creating their concept map provide them with a hint about it like the example below:&lt;/p&gt;&lt;p style=""background-color: rgb(238, 238, 238);""&gt;""&lt;em&gt;A concept"&amp;" map is a visual representation of your thoughts, information and knowledge. It contains concepts and relationships between these concepts that are visually represented by means of arrows and colors. This helps you organize information and provides a stru"&amp;"cture that makes you come up with new ideas more easily.&lt;/em&gt;""&lt;/p&gt;&lt;p style=""background-color: rgb(238, 238, 238);""&gt;After students finish with their concept map, provide them with some questions to ensure that the concept map of each student contains at"&amp;" least a subset of variables that are going to be investigated in the next phase.&lt;/p&gt;&lt;p style=""background-color: rgb(238, 238, 238);""&gt;• Students in their home group formulate their hypotheses using the &lt;a href=""http://www.golabz.eu/app/hypothesis-tool#"&amp;""" target=""_blank""&gt;Hypothesis Scratchpad&lt;/a&gt;. During the hypotheses formulation students are provided with some hints like:&lt;/p&gt;&lt;p style=""background-color: rgb(238, 238, 238);""&gt;&lt;em&gt;• A good hypothesis can be formulated in the form of ""IF.. THEN.."" st"&amp;"atement, which will involve one dependent variable with at least one independent. For example: IF the independent variable increases THEN the dependent variable decreases.&lt;/em&gt;&lt;/p&gt;&lt;p style=""background-color: rgb(238, 238, 238);""&gt;&lt;em&gt;• Use only one depen"&amp;"dent variable at a time when you formulate a hypothesis.&lt;/em&gt;&lt;/p&gt;&lt;p style=""background-color: rgb(238, 238, 238);""&gt;&lt;em&gt;• Remember that a hypothesis might not be confirmed after the experimentation. This is not a problem. Many scientific experiments have "&amp;"led to valuable knowledge because they resulted in the rejection of a hypothesis.&lt;/em&gt;&lt;/p&gt;&lt;p style=""background-color: rgb(238, 238, 238);""&gt;&lt;em&gt;• Don't forget to save your hypotheses because you will need them later. Give a proper name to help you retrie"&amp;"ve them easily. For example, you can label a hypothesis using the name of the independent and dependent variable.&lt;/em&gt;&lt;/p&gt;&lt;p style=""background-color: rgb(238, 238, 238);""&gt;&lt;br&gt;&lt;/p&gt;&lt;p style=""background-color: rgb(238, 238, 238);""&gt;In general, in this pha"&amp;"se make sure that the students use the appropriate terms (variables) and encourage them to pay attention to the hints provided to them.&lt;/p&gt;&lt;p style=""background-color: rgb(238, 238, 238);""&gt;&lt;br&gt;&lt;/p&gt;&lt;p&gt;For example see the Six hats example ILS: &lt;a href=""ht"&amp;"tp://graasp.eu/ils/55dc6972577a28ca7e9b4971/?lang=en"" target=""_blank""&gt;http://graasp.eu/ils/55dc6972577a28ca7e9b4971/?lan...&lt;/a&gt;&lt;/p&gt;")</f>
        <v/>
      </c>
      <c r="E80" s="7">
        <f>IFERROR(__xludf.DUMMYFUNCTION("""COMPUTED_VALUE"""),"No artifact embedded")</f>
        <v/>
      </c>
      <c r="F80" s="7" t="n"/>
      <c r="G80" s="8" t="n">
        <v>0</v>
      </c>
      <c r="H80" s="8" t="n">
        <v>0</v>
      </c>
      <c r="I80" s="8" t="n">
        <v>0</v>
      </c>
      <c r="J80" s="8" t="n">
        <v>0</v>
      </c>
      <c r="K80" s="9" t="n">
        <v>0</v>
      </c>
      <c r="L80" s="9" t="n">
        <v>0</v>
      </c>
      <c r="M80" s="9" t="n">
        <v>0</v>
      </c>
      <c r="N80" s="9" t="n">
        <v>0</v>
      </c>
      <c r="O80" s="10" t="n">
        <v>0</v>
      </c>
      <c r="P80" s="10" t="n">
        <v>0</v>
      </c>
      <c r="Q80" s="10" t="n">
        <v>0</v>
      </c>
      <c r="R80" s="10" t="n">
        <v>0</v>
      </c>
      <c r="S80" s="10" t="n">
        <v>0</v>
      </c>
    </row>
    <row r="81" ht="25" customHeight="1">
      <c r="A81" s="6">
        <f>IFERROR(__xludf.DUMMYFUNCTION("""COMPUTED_VALUE"""),"Scenario-Six thinking hats")</f>
        <v/>
      </c>
      <c r="B81" s="6">
        <f>IFERROR(__xludf.DUMMYFUNCTION("""COMPUTED_VALUE"""),"Space")</f>
        <v/>
      </c>
      <c r="C81" s="6">
        <f>IFERROR(__xludf.DUMMYFUNCTION("""COMPUTED_VALUE"""),"Investigation")</f>
        <v/>
      </c>
      <c r="D81" s="7">
        <f>IFERROR(__xludf.DUMMYFUNCTION("""COMPUTED_VALUE"""),"No task description")</f>
        <v/>
      </c>
      <c r="E81" s="7">
        <f>IFERROR(__xludf.DUMMYFUNCTION("""COMPUTED_VALUE"""),"No artifact embedded")</f>
        <v/>
      </c>
      <c r="F81" s="7" t="n"/>
      <c r="G81" s="8" t="n">
        <v>0</v>
      </c>
      <c r="H81" s="8" t="n">
        <v>0</v>
      </c>
      <c r="I81" s="8" t="n">
        <v>0</v>
      </c>
      <c r="J81" s="8" t="n">
        <v>0</v>
      </c>
      <c r="K81" s="9" t="n">
        <v>0</v>
      </c>
      <c r="L81" s="9" t="n">
        <v>0</v>
      </c>
      <c r="M81" s="9" t="n">
        <v>0</v>
      </c>
      <c r="N81" s="9" t="n">
        <v>0</v>
      </c>
      <c r="O81" s="10" t="n">
        <v>0</v>
      </c>
      <c r="P81" s="10" t="n">
        <v>0</v>
      </c>
      <c r="Q81" s="10" t="n">
        <v>0</v>
      </c>
      <c r="R81" s="10" t="n">
        <v>0</v>
      </c>
      <c r="S81" s="10" t="n">
        <v>0</v>
      </c>
    </row>
    <row r="82" ht="409.5" customHeight="1">
      <c r="A82" s="6">
        <f>IFERROR(__xludf.DUMMYFUNCTION("""COMPUTED_VALUE"""),"Scenario-Six thinking hats")</f>
        <v/>
      </c>
      <c r="B82" s="6">
        <f>IFERROR(__xludf.DUMMYFUNCTION("""COMPUTED_VALUE"""),"Resource")</f>
        <v/>
      </c>
      <c r="C82" s="6">
        <f>IFERROR(__xludf.DUMMYFUNCTION("""COMPUTED_VALUE"""),"InvestigationTextBox.graasp")</f>
        <v/>
      </c>
      <c r="D82" s="7">
        <f>IFERROR(__xludf.DUMMYFUNCTION("""COMPUTED_VALUE"""),"&lt;p&gt;In the Experimentation phase, students design and carry out their experiments.&lt;/p&gt;&lt;p&gt;&lt;br&gt;&lt;/p&gt;&lt;p style=""background-color: rgb(238, 238, 238);""&gt;• Students need to have their first experience with the lab in order to plan their investigations in a prope"&amp;"r way. The first impression can be done by letting students familiarize with the lab for a short time (e.g. 5 mins) or by preparing a short explanatory video, which will explain the main elements and functions of the lab.&lt;/p&gt;&lt;p style=""background-color: r"&amp;"gb(238, 238, 238);""&gt;• The next step for the students is to make a detailed plan for conducting their experiments. This can be done with the &lt;a href=""http://www.golabz.eu/apps/experiment-design-tool"" target=""_blank""&gt;Experiment Design Tool&lt;/a&gt;. Before "&amp;"your students use the tool you can ask them to consider the following questions:&lt;/p&gt;&lt;p style=""background-color: rgb(238, 238, 238);""&gt;&lt;em&gt;• Which variable are you going to measure? In other words: Which is your dependent variable? Please explain why you "&amp;"have chosen this variable.&lt;br&gt;• Which variable are you going to change? In other words: Which is your independent variable? Please explain why you have chosen this variable.&lt;br&gt;• Which variables do you need to control - keep constant - in your experiment?"&amp;" In other words: Which are your control variables? Please explain why.&lt;br&gt;&lt;/em&gt;&lt;/p&gt;&lt;p style=""background-color: rgb(238, 238, 238);""&gt;• When students insert their measures in the Experiment Design Tool, all the data are saved automatically in a format tha"&amp;"t can be used by the &lt;a href=""http://www.golabz.eu/apps/data-viewer"" target=""_blank""&gt;Data Viewer&lt;/a&gt;, in the next phase. Additionally or alternatively, you can ask students to note down what they observe during their experiments by means of the &lt;a hre"&amp;"f=""http://www.golabz.eu/apps/observation-tool"" target=""_blank""&gt;Observation Tool&lt;/a&gt;.&lt;/p&gt;&lt;p style=""background-color: rgb(238, 238, 238);""&gt;&lt;br&gt;&lt;/p&gt;&lt;p style=""background-color: rgb(238, 238, 238);""&gt;For example see: &lt;a href=""http://graasp.eu/spaces/54"&amp;"ad2803ce73ab0000b0255a"" target=""_blank""&gt;http://graasp.eu/spaces/54ad2803ce73ab0000b0255a&lt;/a&gt;&lt;/p&gt;&lt;p style=""background-color: rgb(238, 238, 238);""&gt;&lt;br&gt;&lt;/p&gt;&lt;p style=""background-color: rgb(238, 238, 238);""&gt;&lt;br&gt;&lt;/p&gt;&lt;p style=""background-color: rgb(238, "&amp;"238, 238);""&gt;In the Data Interpretation phase students can use the Data Viewer to prepare data graphs and examine the relation among the variables (independent and dependent) which were investigated in the previous phase.&lt;/p&gt;&lt;p style=""background-color: r"&amp;"gb(238, 238, 238);""&gt;&lt;br&gt;&lt;/p&gt;&lt;p style=""background-color: rgb(238, 238, 238);""&gt;• The &lt;a href=""http://www.golabz.eu/apps/data-viewer"" target=""_blank""&gt;Data Viewer&lt;/a&gt; is a tool that helps students to create data graphs and/or tables for all the recorde"&amp;"d measurements for the independent and dependent variables.&lt;/p&gt;&lt;p style=""background-color: rgb(238, 238, 238);""&gt;• In addition, you can insert an &lt;a href=""http://www.golabz.eu/apps/input-box"" target=""_blank""&gt;Input Box&lt;/a&gt; and provide to the students "&amp;"some guiding questions in order to help them find relations among variables.&lt;/p&gt;&lt;p style=""background-color: rgb(238, 238, 238);""&gt;• Prompt your students to return back to the Experimentation phase, if they don't have gathered enough data.&lt;/p&gt;&lt;p style=""b"&amp;"ackground-color: rgb(238, 238, 238);""&gt;&lt;br&gt;&lt;/p&gt;&lt;p&gt;For example see the Six hats example ILS: &lt;a href=""http://graasp.eu/ils/55dc6972577a28ca7e9b4971/?lang=en"" target=""_blank""&gt;http://graasp.eu/ils/55dc6972577a28ca7e9b4971/?lan...&lt;/a&gt;&lt;/p&gt;")</f>
        <v/>
      </c>
      <c r="E82" s="7">
        <f>IFERROR(__xludf.DUMMYFUNCTION("""COMPUTED_VALUE"""),"No artifact embedded")</f>
        <v/>
      </c>
      <c r="F82" s="7" t="n"/>
      <c r="G82" s="8" t="n">
        <v>0</v>
      </c>
      <c r="H82" s="8" t="n">
        <v>0</v>
      </c>
      <c r="I82" s="8" t="n">
        <v>0</v>
      </c>
      <c r="J82" s="8" t="n">
        <v>0</v>
      </c>
      <c r="K82" s="9" t="n">
        <v>0</v>
      </c>
      <c r="L82" s="9" t="n">
        <v>0</v>
      </c>
      <c r="M82" s="9" t="n">
        <v>0</v>
      </c>
      <c r="N82" s="9" t="n">
        <v>0</v>
      </c>
      <c r="O82" s="10" t="n">
        <v>0</v>
      </c>
      <c r="P82" s="10" t="n">
        <v>0</v>
      </c>
      <c r="Q82" s="10" t="n">
        <v>0</v>
      </c>
      <c r="R82" s="10" t="n">
        <v>0</v>
      </c>
      <c r="S82" s="10" t="n">
        <v>0</v>
      </c>
    </row>
    <row r="83" ht="25" customHeight="1">
      <c r="A83" s="6">
        <f>IFERROR(__xludf.DUMMYFUNCTION("""COMPUTED_VALUE"""),"Scenario-Six thinking hats")</f>
        <v/>
      </c>
      <c r="B83" s="6">
        <f>IFERROR(__xludf.DUMMYFUNCTION("""COMPUTED_VALUE"""),"Space")</f>
        <v/>
      </c>
      <c r="C83" s="6">
        <f>IFERROR(__xludf.DUMMYFUNCTION("""COMPUTED_VALUE"""),"Conclusion")</f>
        <v/>
      </c>
      <c r="D83" s="7">
        <f>IFERROR(__xludf.DUMMYFUNCTION("""COMPUTED_VALUE"""),"No task description")</f>
        <v/>
      </c>
      <c r="E83" s="7">
        <f>IFERROR(__xludf.DUMMYFUNCTION("""COMPUTED_VALUE"""),"No artifact embedded")</f>
        <v/>
      </c>
      <c r="F83" s="7" t="n"/>
      <c r="G83" s="8" t="n">
        <v>0</v>
      </c>
      <c r="H83" s="8" t="n">
        <v>0</v>
      </c>
      <c r="I83" s="8" t="n">
        <v>0</v>
      </c>
      <c r="J83" s="8" t="n">
        <v>0</v>
      </c>
      <c r="K83" s="9" t="n">
        <v>0</v>
      </c>
      <c r="L83" s="9" t="n">
        <v>0</v>
      </c>
      <c r="M83" s="9" t="n">
        <v>0</v>
      </c>
      <c r="N83" s="9" t="n">
        <v>0</v>
      </c>
      <c r="O83" s="10" t="n">
        <v>0</v>
      </c>
      <c r="P83" s="10" t="n">
        <v>0</v>
      </c>
      <c r="Q83" s="10" t="n">
        <v>0</v>
      </c>
      <c r="R83" s="10" t="n">
        <v>0</v>
      </c>
      <c r="S83" s="10" t="n">
        <v>0</v>
      </c>
    </row>
    <row r="84" ht="409.5" customHeight="1">
      <c r="A84" s="6">
        <f>IFERROR(__xludf.DUMMYFUNCTION("""COMPUTED_VALUE"""),"Scenario-Six thinking hats")</f>
        <v/>
      </c>
      <c r="B84" s="6">
        <f>IFERROR(__xludf.DUMMYFUNCTION("""COMPUTED_VALUE"""),"Resource")</f>
        <v/>
      </c>
      <c r="C84" s="6">
        <f>IFERROR(__xludf.DUMMYFUNCTION("""COMPUTED_VALUE"""),"ConclusionTextBox.graasp")</f>
        <v/>
      </c>
      <c r="D84" s="7">
        <f>IFERROR(__xludf.DUMMYFUNCTION("""COMPUTED_VALUE"""),"&lt;p&gt;In the Conclusion phase, students in each group draw conclusions from their experiments by using the&lt;a href=""http://www.golabz.eu/apps/conclusion-tool"" target=""_blank""&gt;Conclusion Tool&lt;/a&gt;to retrieve their previous work (hypotheses, graphs, observat"&amp;"ions). In addition, they prepare presentations to communicate their results.&lt;/p&gt;&lt;p style=""background-color: rgb(238, 238, 238);""&gt;&lt;br&gt;&lt;/p&gt;&lt;p style=""background-color: rgb(238, 238, 238);""&gt;• Provide your students with some hints during the use of the &lt;a "&amp;"href=""http://www.golabz.eu/apps/conclusion-tool"" target=""_blank""&gt;Conclusion Tool&lt;/a&gt;, like below:&lt;/p&gt;&lt;p style=""background-color: rgb(238, 238, 238);""&gt;&lt;em&gt;Your conclusion should be justified based on the evidence you have collected during the Investi"&amp;"gation phase. This evidence will help you provide an answer whether your hypothesis has to be either supported or rejected.&lt;/em&gt;&lt;/p&gt;&lt;p style=""background-color: rgb(238, 238, 238);""&gt;• In addition guide your students in order to form valid conclusions. Po"&amp;"int out flawed conclusions and encourage students to repeat their experiments in order to come to a defendable conclusion.&lt;/p&gt;&lt;p style=""background-color: rgb(238, 238, 238);""&gt;• Students can prepare their presentation in a Power Point format and upload i"&amp;"t in the ILS using the &lt;a href=""http://www.golabz.eu/apps/file-drop"" target=""_blank""&gt;File Drop App&lt;/a&gt;. In their presentation students should try to give enough evidence from their experimentation to reject or confirm their hypothesis.&lt;/p&gt;&lt;p style=""b"&amp;"ackground-color: rgb(238, 238, 238);""&gt;• Provide your students with some hints during the preparation of their expert presentations, like:&lt;br&gt;&lt;/p&gt;&lt;p style=""background-color: rgb(238, 238, 238);""&gt;&lt;em&gt;A good presentation should contain information about, "&amp;"the problem studied, the hypothesis/es examined, the investigation conducted, the data collected and the conclusion extracted.&lt;br&gt;&lt;/em&gt;&lt;/p&gt;&lt;p&gt;For example see the Six hats example ILS: &lt;a href=""http://graasp.eu/ils/55dc6972577a28ca7e9b4971/?lang=en"" targ"&amp;"et=""_blank""&gt;http://graasp.eu/ils/55dc6972577a28ca7e9b4971/?lan...&lt;/a&gt;&lt;/p&gt;")</f>
        <v/>
      </c>
      <c r="E84" s="7">
        <f>IFERROR(__xludf.DUMMYFUNCTION("""COMPUTED_VALUE"""),"No artifact embedded")</f>
        <v/>
      </c>
      <c r="F84" s="7" t="n"/>
      <c r="G84" s="8" t="n">
        <v>0</v>
      </c>
      <c r="H84" s="8" t="n">
        <v>0</v>
      </c>
      <c r="I84" s="8" t="n">
        <v>0</v>
      </c>
      <c r="J84" s="8" t="n">
        <v>0</v>
      </c>
      <c r="K84" s="9" t="n">
        <v>0</v>
      </c>
      <c r="L84" s="9" t="n">
        <v>0</v>
      </c>
      <c r="M84" s="9" t="n">
        <v>0</v>
      </c>
      <c r="N84" s="9" t="n">
        <v>0</v>
      </c>
      <c r="O84" s="10" t="n">
        <v>0</v>
      </c>
      <c r="P84" s="10" t="n">
        <v>0</v>
      </c>
      <c r="Q84" s="10" t="n">
        <v>0</v>
      </c>
      <c r="R84" s="10" t="n">
        <v>0</v>
      </c>
      <c r="S84" s="10" t="n">
        <v>0</v>
      </c>
    </row>
    <row r="85" ht="25" customHeight="1">
      <c r="A85" s="6">
        <f>IFERROR(__xludf.DUMMYFUNCTION("""COMPUTED_VALUE"""),"Scenario-Six thinking hats")</f>
        <v/>
      </c>
      <c r="B85" s="6">
        <f>IFERROR(__xludf.DUMMYFUNCTION("""COMPUTED_VALUE"""),"Space")</f>
        <v/>
      </c>
      <c r="C85" s="6">
        <f>IFERROR(__xludf.DUMMYFUNCTION("""COMPUTED_VALUE"""),"Discussion")</f>
        <v/>
      </c>
      <c r="D85" s="7">
        <f>IFERROR(__xludf.DUMMYFUNCTION("""COMPUTED_VALUE"""),"No task description")</f>
        <v/>
      </c>
      <c r="E85" s="7">
        <f>IFERROR(__xludf.DUMMYFUNCTION("""COMPUTED_VALUE"""),"No artifact embedded")</f>
        <v/>
      </c>
      <c r="F85" s="7" t="n"/>
      <c r="G85" s="8" t="n">
        <v>0</v>
      </c>
      <c r="H85" s="8" t="n">
        <v>0</v>
      </c>
      <c r="I85" s="8" t="n">
        <v>0</v>
      </c>
      <c r="J85" s="8" t="n">
        <v>0</v>
      </c>
      <c r="K85" s="9" t="n">
        <v>0</v>
      </c>
      <c r="L85" s="9" t="n">
        <v>0</v>
      </c>
      <c r="M85" s="9" t="n">
        <v>0</v>
      </c>
      <c r="N85" s="9" t="n">
        <v>0</v>
      </c>
      <c r="O85" s="10" t="n">
        <v>0</v>
      </c>
      <c r="P85" s="10" t="n">
        <v>0</v>
      </c>
      <c r="Q85" s="10" t="n">
        <v>0</v>
      </c>
      <c r="R85" s="10" t="n">
        <v>0</v>
      </c>
      <c r="S85" s="10" t="n">
        <v>0</v>
      </c>
    </row>
    <row r="86" ht="409.5" customHeight="1">
      <c r="A86" s="6">
        <f>IFERROR(__xludf.DUMMYFUNCTION("""COMPUTED_VALUE"""),"Scenario-Six thinking hats")</f>
        <v/>
      </c>
      <c r="B86" s="6">
        <f>IFERROR(__xludf.DUMMYFUNCTION("""COMPUTED_VALUE"""),"Resource")</f>
        <v/>
      </c>
      <c r="C86" s="6">
        <f>IFERROR(__xludf.DUMMYFUNCTION("""COMPUTED_VALUE"""),"DiscussionTextBox.graasp")</f>
        <v/>
      </c>
      <c r="D86" s="7">
        <f>IFERROR(__xludf.DUMMYFUNCTION("""COMPUTED_VALUE"""),"&lt;p&gt;In the Communication phase, students share their conclusions with others.&lt;/p&gt;&lt;p style=""background-color: rgb(238, 238, 238);""&gt;&lt;br&gt;&lt;/p&gt;&lt;p style=""background-color: rgb(238, 238, 238);""&gt;Discuss with your students about their final conclusions. In addi"&amp;"tion, a discussion about how their work and outcomes can be applied in different settings can be made, so that to help students identify the way a scientist works.&lt;/p&gt;&lt;p style=""background-color: rgb(238, 238, 238);""&gt;&lt;br&gt;&lt;/p&gt;&lt;p&gt;For example see the Six ha"&amp;"ts example ILS: &lt;a href=""http://graasp.eu/ils/55dc6972577a28ca7e9b4971/?lang=en"" target=""_blank""&gt;http://graasp.eu/ils/55dc6972577a28ca7e9b4971/?lan...&lt;/a&gt;&lt;/p&gt;")</f>
        <v/>
      </c>
      <c r="E86" s="7">
        <f>IFERROR(__xludf.DUMMYFUNCTION("""COMPUTED_VALUE"""),"No artifact embedded")</f>
        <v/>
      </c>
      <c r="F86" s="7" t="n"/>
      <c r="G86" s="8" t="n">
        <v>0</v>
      </c>
      <c r="H86" s="8" t="n">
        <v>0</v>
      </c>
      <c r="I86" s="8" t="n">
        <v>0</v>
      </c>
      <c r="J86" s="8" t="n">
        <v>0</v>
      </c>
      <c r="K86" s="9" t="n">
        <v>0</v>
      </c>
      <c r="L86" s="9" t="n">
        <v>0</v>
      </c>
      <c r="M86" s="9" t="n">
        <v>0</v>
      </c>
      <c r="N86" s="9" t="n">
        <v>0</v>
      </c>
      <c r="O86" s="10" t="n">
        <v>0</v>
      </c>
      <c r="P86" s="10" t="n">
        <v>0</v>
      </c>
      <c r="Q86" s="10" t="n">
        <v>0</v>
      </c>
      <c r="R86" s="10" t="n">
        <v>0</v>
      </c>
      <c r="S86" s="10" t="n">
        <v>0</v>
      </c>
    </row>
    <row r="87" ht="409.5" customHeight="1">
      <c r="A87" s="6">
        <f>IFERROR(__xludf.DUMMYFUNCTION("""COMPUTED_VALUE"""),"Scenario-Six thinking hats")</f>
        <v/>
      </c>
      <c r="B87" s="6">
        <f>IFERROR(__xludf.DUMMYFUNCTION("""COMPUTED_VALUE"""),"Resource")</f>
        <v/>
      </c>
      <c r="C87" s="6">
        <f>IFERROR(__xludf.DUMMYFUNCTION("""COMPUTED_VALUE"""),"Six-Thinking-Hats.pdf")</f>
        <v/>
      </c>
      <c r="D87" s="7">
        <f>IFERROR(__xludf.DUMMYFUNCTION("""COMPUTED_VALUE"""),"Six Thinking Hats Edward de Bono's (2000) Six Thinking Hats is a widely adopted creativity technique in various fields such as business management, education, and human-computer interaction. Essentially, Six Thinking Hats provides directions for adopting "&amp;"different modes of thinking, characterized by six coloured hats: White, Red, Black, Yellow, Green and Blue (Table 1). Table 1: Six colour hats, focus of thinking and implication to Go-Lab inquiry learning phases Thinking hats Focus Inquiry Learning Phases"&amp;" Applicable Facts Figures Facts, Orientation, Conclusion, Discussion: Information Figures Call for information known and Information needed, which can be provided by a teacher, peers and other sources. Such information may need to be referenced for suppor"&amp;"ting discussion as well as conclusion. Intuition Intuition, Discussion: In reflecting and Emotion Feeling &amp; communicating experiences and Emotion insights gained in the learning Judgment process, students may express Caution feelings and emotions (e.g., f"&amp;"un, pride, frustration, surprise) to make their points. Judgment Conceptualization, Investigation: &amp; Caution Spot the difficulties and risks; find out where and why things may go wrong. In formulating questions and hypotheses, it is critical to think abou"&amp;"t counterarguments and potential pitfalls. Logical Positive Logical Conceptualization, Investigation, Positive Conclusion: Explore the positives and probe for value and benefit. Optimism (but remain alert to biases) sustains engagement in the process. Cre"&amp;"ativity Creativity &amp; Conceptualization: Identify the Changes Alternatives possibilities, alternatives and new ideas; an opportunity to express new concepts and new perceptions. Overview Overview All phases: It works as a control Process control Process me"&amp;"chanism to ensure that the control guidelines for different modes of thinking are observed. It is essentially a meta-cognitive strategy. Normally this creativity technique is applied in a group setting. Participants can wear real physical hats or mental o"&amp;"nes (i.e., by asking all group members to utter loudly together the colour of the hat or presenting the image of the hat in a way perceivable by all of them). To ensure that participants are aware of the specific thinking mode they are in, thereby thinkin"&amp;"g with the same focus, it is important that putting on and taking off hats are performed as explicit actions (i.e., gesturing or verbalizing the change of hat). Also, group members should use the same colour hat simultaneously. By switching hats, particip"&amp;"ants can refocus or redirect their thoughts and interactions (verbal as well as non-verbal). Furthermore, the hats can be used in any order that is deemed appropriate and can be repeated as many times as necessary to address the issue at hand. In fact, th"&amp;"e Six Thinking Hats technique has been applied to teach STEM subjects (Childs, 2012; Garner &amp; Lock, 2010) with several advantages being identified. In summary, it can: reflect the process of experimentation within STEM subjects; help simplify and hence pr"&amp;"ovide focus on one process at a time; enable a collaborative group learning activity; provide a common language within a group, while removing ego and reducing confrontation; promote creativity and problem solving; stimulate diversity of thought and empat"&amp;"hy; foster evaluation skills leading back to improving processes and testing new hypothesis; Implementing Six Thinking Hats in the Go-Lab basic pedagogical model is relatively straightforward, as illustrated and described in Figure 1. Note that the teache"&amp;"r is required to orchestrate the process of switching hats, because it is a collaborative activity. However, if the class size is big, synchronizing the process may be somewhat difficult. Alternatively, the class can be split into smaller groups. For each"&amp;" group, a group leader is identified; he or she is responsible to coordinate the timing for changing hats and to ensure that members are applying the same focus (Table 1) to think about the issue under scrutiny. Figure 1: Example of applying different col"&amp;"our Thinking Hats to the inquiry learning phases While Figure 1 exemplifies which colour Hats are applicable for which inquiry learning phases, there is much leeway for a teacher (or a student group leader) to adapt the use of Hats based on the abilities "&amp;"as well as preferences of group members, the group dynamics, and certain situational factors. References: De Bono, E. (1999) Six thinking hats. Penguin. Childs, P. (2012). Use of Six Hats in STEM subjects. High Education Academy. http://www.heacademy.ac.u"&amp;"k/assets/documents/stem-conference/Engineering1/Peter_Childs.pdf Garner, A. &amp; Lock. R (2010) Evaluating practical work using de Bono's 'Thinking Hats'. SSR Science Notes. http://www.rogerlock.novawebs.co.uk/files/SSR337_Garner.pdf")</f>
        <v/>
      </c>
      <c r="E87" s="7">
        <f>IFERROR(__xludf.DUMMYFUNCTION("""COMPUTED_VALUE"""),"No artifact embedded")</f>
        <v/>
      </c>
      <c r="F87" s="7" t="n"/>
      <c r="G87" s="8" t="n">
        <v>0</v>
      </c>
      <c r="H87" s="8" t="n">
        <v>0</v>
      </c>
      <c r="I87" s="8" t="n">
        <v>0</v>
      </c>
      <c r="J87" s="8" t="n">
        <v>0</v>
      </c>
      <c r="K87" s="9" t="n">
        <v>0</v>
      </c>
      <c r="L87" s="9" t="n">
        <v>0</v>
      </c>
      <c r="M87" s="9" t="n">
        <v>0</v>
      </c>
      <c r="N87" s="9" t="n">
        <v>0</v>
      </c>
      <c r="O87" s="10" t="n">
        <v>0</v>
      </c>
      <c r="P87" s="10" t="n">
        <v>0</v>
      </c>
      <c r="Q87" s="10" t="n">
        <v>0</v>
      </c>
      <c r="R87" s="10" t="n">
        <v>0</v>
      </c>
      <c r="S87" s="10" t="n">
        <v>0</v>
      </c>
    </row>
    <row r="88" ht="25" customHeight="1">
      <c r="A88" s="6">
        <f>IFERROR(__xludf.DUMMYFUNCTION("""COMPUTED_VALUE"""),"Trigonometry (Math)")</f>
        <v/>
      </c>
      <c r="B88" s="6">
        <f>IFERROR(__xludf.DUMMYFUNCTION("""COMPUTED_VALUE"""),"Space")</f>
        <v/>
      </c>
      <c r="C88" s="6">
        <f>IFERROR(__xludf.DUMMYFUNCTION("""COMPUTED_VALUE"""),"Orientation")</f>
        <v/>
      </c>
      <c r="D88" s="7">
        <f>IFERROR(__xludf.DUMMYFUNCTION("""COMPUTED_VALUE"""),"&lt;p&gt;Trigonometry&lt;/p&gt;")</f>
        <v/>
      </c>
      <c r="E88" s="7">
        <f>IFERROR(__xludf.DUMMYFUNCTION("""COMPUTED_VALUE"""),"No artifact embedded")</f>
        <v/>
      </c>
      <c r="F88" s="7" t="n"/>
      <c r="G88" s="8" t="n">
        <v>0</v>
      </c>
      <c r="H88" s="8" t="n">
        <v>0</v>
      </c>
      <c r="I88" s="8" t="n">
        <v>0</v>
      </c>
      <c r="J88" s="8" t="n">
        <v>0</v>
      </c>
      <c r="K88" s="9" t="n">
        <v>0</v>
      </c>
      <c r="L88" s="9" t="n">
        <v>0</v>
      </c>
      <c r="M88" s="9" t="n">
        <v>0</v>
      </c>
      <c r="N88" s="9" t="n">
        <v>0</v>
      </c>
      <c r="O88" s="10" t="n">
        <v>0</v>
      </c>
      <c r="P88" s="10" t="n">
        <v>0</v>
      </c>
      <c r="Q88" s="10" t="n">
        <v>0</v>
      </c>
      <c r="R88" s="10" t="n">
        <v>0</v>
      </c>
      <c r="S88" s="10" t="n">
        <v>0</v>
      </c>
    </row>
    <row r="89" ht="121" customHeight="1">
      <c r="A89" s="6">
        <f>IFERROR(__xludf.DUMMYFUNCTION("""COMPUTED_VALUE"""),"Trigonometry (Math)")</f>
        <v/>
      </c>
      <c r="B89" s="6">
        <f>IFERROR(__xludf.DUMMYFUNCTION("""COMPUTED_VALUE"""),"Resource")</f>
        <v/>
      </c>
      <c r="C89" s="6">
        <f>IFERROR(__xludf.DUMMYFUNCTION("""COMPUTED_VALUE"""),"Optimized-shutterstock_277837433-768x576.jpg")</f>
        <v/>
      </c>
      <c r="D89" s="7">
        <f>IFERROR(__xludf.DUMMYFUNCTION("""COMPUTED_VALUE"""),"No task description")</f>
        <v/>
      </c>
      <c r="E89" s="7">
        <f>IFERROR(__xludf.DUMMYFUNCTION("""COMPUTED_VALUE"""),"image/jpeg – A digital photograph or web image stored in a compressed format, often used for photography and web graphics.")</f>
        <v/>
      </c>
      <c r="F89" s="7" t="n"/>
      <c r="G89" s="8" t="n">
        <v>0</v>
      </c>
      <c r="H89" s="8" t="n">
        <v>0</v>
      </c>
      <c r="I89" s="8" t="n">
        <v>0</v>
      </c>
      <c r="J89" s="8" t="n">
        <v>0</v>
      </c>
      <c r="K89" s="9" t="n">
        <v>0</v>
      </c>
      <c r="L89" s="9" t="n">
        <v>0</v>
      </c>
      <c r="M89" s="9" t="n">
        <v>0</v>
      </c>
      <c r="N89" s="9" t="n">
        <v>0</v>
      </c>
      <c r="O89" s="10" t="n">
        <v>0</v>
      </c>
      <c r="P89" s="10" t="n">
        <v>0</v>
      </c>
      <c r="Q89" s="10" t="n">
        <v>0</v>
      </c>
      <c r="R89" s="10" t="n">
        <v>0</v>
      </c>
      <c r="S89" s="10" t="n">
        <v>0</v>
      </c>
    </row>
    <row r="90" ht="384" customHeight="1">
      <c r="A90" s="6">
        <f>IFERROR(__xludf.DUMMYFUNCTION("""COMPUTED_VALUE"""),"Trigonometry (Math)")</f>
        <v/>
      </c>
      <c r="B90" s="6">
        <f>IFERROR(__xludf.DUMMYFUNCTION("""COMPUTED_VALUE"""),"Resource")</f>
        <v/>
      </c>
      <c r="C90" s="6">
        <f>IFERROR(__xludf.DUMMYFUNCTION("""COMPUTED_VALUE"""),"Intro.graasp")</f>
        <v/>
      </c>
      <c r="D90" s="7">
        <f>IFERROR(__xludf.DUMMYFUNCTION("""COMPUTED_VALUE"""),"&lt;p&gt;Ever wondered how buildings are measured and structured orderly so we can live safely in it?&lt;/p&gt;&lt;p&gt;&lt;br&gt;&lt;/p&gt;&lt;p&gt;Oh Yes!  With the knowledge of Trigonometry you can know the correct slope of a roof, the proper height of a building, rise of a stairway and "&amp;"many much more fun stuffs like working on a video game, building different industrial machines and automobiles etc.&lt;/p&gt;&lt;p&gt;&lt;br&gt;&lt;/p&gt;&lt;p&gt;Isn't this fun to know, so lets dive in to know more about Trigonometry!!!&lt;/p&gt;")</f>
        <v/>
      </c>
      <c r="E90" s="7">
        <f>IFERROR(__xludf.DUMMYFUNCTION("""COMPUTED_VALUE"""),"No artifact embedded")</f>
        <v/>
      </c>
      <c r="F90" s="7" t="n"/>
      <c r="G90" s="8" t="n">
        <v>1</v>
      </c>
      <c r="H90" s="8" t="n">
        <v>0</v>
      </c>
      <c r="I90" s="8" t="n">
        <v>0</v>
      </c>
      <c r="J90" s="8" t="n">
        <v>0</v>
      </c>
      <c r="K90" s="9" t="n">
        <v>1</v>
      </c>
      <c r="L90" s="9" t="n">
        <v>0</v>
      </c>
      <c r="M90" s="9" t="n">
        <v>0</v>
      </c>
      <c r="N90" s="9" t="n">
        <v>0</v>
      </c>
      <c r="O90" s="10" t="n">
        <v>1</v>
      </c>
      <c r="P90" s="10" t="n">
        <v>0</v>
      </c>
      <c r="Q90" s="10" t="n">
        <v>0</v>
      </c>
      <c r="R90" s="10" t="n">
        <v>0</v>
      </c>
      <c r="S90" s="10" t="n">
        <v>0</v>
      </c>
    </row>
    <row r="91" ht="121" customHeight="1">
      <c r="A91" s="6">
        <f>IFERROR(__xludf.DUMMYFUNCTION("""COMPUTED_VALUE"""),"Trigonometry (Math)")</f>
        <v/>
      </c>
      <c r="B91" s="6">
        <f>IFERROR(__xludf.DUMMYFUNCTION("""COMPUTED_VALUE"""),"Resource")</f>
        <v/>
      </c>
      <c r="C91" s="6">
        <f>IFERROR(__xludf.DUMMYFUNCTION("""COMPUTED_VALUE"""),"Trig Tour Video - Made with Clipchamp.mp4")</f>
        <v/>
      </c>
      <c r="D91" s="7">
        <f>IFERROR(__xludf.DUMMYFUNCTION("""COMPUTED_VALUE"""),"No task description")</f>
        <v/>
      </c>
      <c r="E91" s="7">
        <f>IFERROR(__xludf.DUMMYFUNCTION("""COMPUTED_VALUE"""),"video/mp4 – A video file containing moving images and possibly audio, suitable for playback on most modern devices and platforms.")</f>
        <v/>
      </c>
      <c r="F91" s="7" t="n"/>
      <c r="G91" s="8" t="n">
        <v>1</v>
      </c>
      <c r="H91" s="8" t="n">
        <v>0</v>
      </c>
      <c r="I91" s="8" t="n">
        <v>0</v>
      </c>
      <c r="J91" s="8" t="n">
        <v>0</v>
      </c>
      <c r="K91" s="9" t="n">
        <v>1</v>
      </c>
      <c r="L91" s="9" t="n">
        <v>0</v>
      </c>
      <c r="M91" s="9" t="n">
        <v>0</v>
      </c>
      <c r="N91" s="9" t="n">
        <v>0</v>
      </c>
      <c r="O91" s="10" t="n">
        <v>0</v>
      </c>
      <c r="P91" s="10" t="n">
        <v>0</v>
      </c>
      <c r="Q91" s="10" t="n">
        <v>0</v>
      </c>
      <c r="R91" s="10" t="n">
        <v>0</v>
      </c>
      <c r="S91" s="10" t="n">
        <v>0</v>
      </c>
    </row>
    <row r="92" ht="121" customHeight="1">
      <c r="A92" s="6">
        <f>IFERROR(__xludf.DUMMYFUNCTION("""COMPUTED_VALUE"""),"Trigonometry (Math)")</f>
        <v/>
      </c>
      <c r="B92" s="6">
        <f>IFERROR(__xludf.DUMMYFUNCTION("""COMPUTED_VALUE"""),"Resource")</f>
        <v/>
      </c>
      <c r="C92" s="6">
        <f>IFERROR(__xludf.DUMMYFUNCTION("""COMPUTED_VALUE"""),"a3.JPG")</f>
        <v/>
      </c>
      <c r="D92" s="7">
        <f>IFERROR(__xludf.DUMMYFUNCTION("""COMPUTED_VALUE"""),"No task description")</f>
        <v/>
      </c>
      <c r="E92" s="7">
        <f>IFERROR(__xludf.DUMMYFUNCTION("""COMPUTED_VALUE"""),"image/jpeg – A digital photograph or web image stored in a compressed format, often used for photography and web graphics.")</f>
        <v/>
      </c>
      <c r="F92" s="7" t="n"/>
      <c r="G92" s="8" t="n">
        <v>0</v>
      </c>
      <c r="H92" s="8" t="n">
        <v>0</v>
      </c>
      <c r="I92" s="8" t="n">
        <v>0</v>
      </c>
      <c r="J92" s="8" t="n">
        <v>0</v>
      </c>
      <c r="K92" s="9" t="n">
        <v>0</v>
      </c>
      <c r="L92" s="9" t="n">
        <v>0</v>
      </c>
      <c r="M92" s="9" t="n">
        <v>0</v>
      </c>
      <c r="N92" s="9" t="n">
        <v>0</v>
      </c>
      <c r="O92" s="10" t="n">
        <v>0</v>
      </c>
      <c r="P92" s="10" t="n">
        <v>0</v>
      </c>
      <c r="Q92" s="10" t="n">
        <v>0</v>
      </c>
      <c r="R92" s="10" t="n">
        <v>0</v>
      </c>
      <c r="S92" s="10" t="n">
        <v>0</v>
      </c>
    </row>
    <row r="93" ht="25" customHeight="1">
      <c r="A93" s="6">
        <f>IFERROR(__xludf.DUMMYFUNCTION("""COMPUTED_VALUE"""),"Trigonometry (Math)")</f>
        <v/>
      </c>
      <c r="B93" s="6">
        <f>IFERROR(__xludf.DUMMYFUNCTION("""COMPUTED_VALUE"""),"Space")</f>
        <v/>
      </c>
      <c r="C93" s="6">
        <f>IFERROR(__xludf.DUMMYFUNCTION("""COMPUTED_VALUE"""),"Conceptualisation")</f>
        <v/>
      </c>
      <c r="D93" s="7">
        <f>IFERROR(__xludf.DUMMYFUNCTION("""COMPUTED_VALUE"""),"No task description")</f>
        <v/>
      </c>
      <c r="E93" s="7">
        <f>IFERROR(__xludf.DUMMYFUNCTION("""COMPUTED_VALUE"""),"No artifact embedded")</f>
        <v/>
      </c>
      <c r="F93" s="7" t="n"/>
      <c r="G93" s="8" t="n">
        <v>0</v>
      </c>
      <c r="H93" s="8" t="n">
        <v>0</v>
      </c>
      <c r="I93" s="8" t="n">
        <v>0</v>
      </c>
      <c r="J93" s="8" t="n">
        <v>0</v>
      </c>
      <c r="K93" s="9" t="n">
        <v>0</v>
      </c>
      <c r="L93" s="9" t="n">
        <v>0</v>
      </c>
      <c r="M93" s="9" t="n">
        <v>0</v>
      </c>
      <c r="N93" s="9" t="n">
        <v>0</v>
      </c>
      <c r="O93" s="10" t="n">
        <v>0</v>
      </c>
      <c r="P93" s="10" t="n">
        <v>0</v>
      </c>
      <c r="Q93" s="10" t="n">
        <v>0</v>
      </c>
      <c r="R93" s="10" t="n">
        <v>0</v>
      </c>
      <c r="S93" s="10" t="n">
        <v>0</v>
      </c>
    </row>
    <row r="94" ht="121" customHeight="1">
      <c r="A94" s="6">
        <f>IFERROR(__xludf.DUMMYFUNCTION("""COMPUTED_VALUE"""),"Trigonometry (Math)")</f>
        <v/>
      </c>
      <c r="B94" s="6">
        <f>IFERROR(__xludf.DUMMYFUNCTION("""COMPUTED_VALUE"""),"Resource")</f>
        <v/>
      </c>
      <c r="C94" s="6">
        <f>IFERROR(__xludf.DUMMYFUNCTION("""COMPUTED_VALUE"""),"img_6501.jpg")</f>
        <v/>
      </c>
      <c r="D94" s="7">
        <f>IFERROR(__xludf.DUMMYFUNCTION("""COMPUTED_VALUE"""),"No task description")</f>
        <v/>
      </c>
      <c r="E94" s="7">
        <f>IFERROR(__xludf.DUMMYFUNCTION("""COMPUTED_VALUE"""),"image/jpeg – A digital photograph or web image stored in a compressed format, often used for photography and web graphics.")</f>
        <v/>
      </c>
      <c r="F94" s="7" t="n"/>
      <c r="G94" s="8" t="n">
        <v>0</v>
      </c>
      <c r="H94" s="8" t="n">
        <v>0</v>
      </c>
      <c r="I94" s="8" t="n">
        <v>0</v>
      </c>
      <c r="J94" s="8" t="n">
        <v>0</v>
      </c>
      <c r="K94" s="9" t="n">
        <v>0</v>
      </c>
      <c r="L94" s="9" t="n">
        <v>0</v>
      </c>
      <c r="M94" s="9" t="n">
        <v>0</v>
      </c>
      <c r="N94" s="9" t="n">
        <v>0</v>
      </c>
      <c r="O94" s="10" t="n">
        <v>0</v>
      </c>
      <c r="P94" s="10" t="n">
        <v>0</v>
      </c>
      <c r="Q94" s="10" t="n">
        <v>0</v>
      </c>
      <c r="R94" s="10" t="n">
        <v>0</v>
      </c>
      <c r="S94" s="10" t="n">
        <v>0</v>
      </c>
    </row>
    <row r="95" ht="97" customHeight="1">
      <c r="A95" s="6">
        <f>IFERROR(__xludf.DUMMYFUNCTION("""COMPUTED_VALUE"""),"Trigonometry (Math)")</f>
        <v/>
      </c>
      <c r="B95" s="6">
        <f>IFERROR(__xludf.DUMMYFUNCTION("""COMPUTED_VALUE"""),"Resource")</f>
        <v/>
      </c>
      <c r="C95" s="6">
        <f>IFERROR(__xludf.DUMMYFUNCTION("""COMPUTED_VALUE"""),"unit circle.png")</f>
        <v/>
      </c>
      <c r="D95" s="7">
        <f>IFERROR(__xludf.DUMMYFUNCTION("""COMPUTED_VALUE"""),"&lt;p&gt;                                                                   &lt;strong&gt; All About the Unit Circle&lt;/strong&gt; &lt;/p&gt;")</f>
        <v/>
      </c>
      <c r="E95" s="7">
        <f>IFERROR(__xludf.DUMMYFUNCTION("""COMPUTED_VALUE"""),"image/png – A high-quality image with support for transparency, often used in design and web applications.")</f>
        <v/>
      </c>
      <c r="F95" s="7" t="n"/>
      <c r="G95" s="8" t="n">
        <v>0</v>
      </c>
      <c r="H95" s="8" t="n">
        <v>0</v>
      </c>
      <c r="I95" s="8" t="n">
        <v>0</v>
      </c>
      <c r="J95" s="8" t="n">
        <v>0</v>
      </c>
      <c r="K95" s="9" t="n">
        <v>0</v>
      </c>
      <c r="L95" s="9" t="n">
        <v>0</v>
      </c>
      <c r="M95" s="9" t="n">
        <v>0</v>
      </c>
      <c r="N95" s="9" t="n">
        <v>0</v>
      </c>
      <c r="O95" s="10" t="n">
        <v>0</v>
      </c>
      <c r="P95" s="10" t="n">
        <v>0</v>
      </c>
      <c r="Q95" s="10" t="n">
        <v>0</v>
      </c>
      <c r="R95" s="10" t="n">
        <v>0</v>
      </c>
      <c r="S95" s="10" t="n">
        <v>0</v>
      </c>
    </row>
    <row r="96" ht="409.5" customHeight="1">
      <c r="A96" s="6">
        <f>IFERROR(__xludf.DUMMYFUNCTION("""COMPUTED_VALUE"""),"Trigonometry (Math)")</f>
        <v/>
      </c>
      <c r="B96" s="6">
        <f>IFERROR(__xludf.DUMMYFUNCTION("""COMPUTED_VALUE"""),"Resource")</f>
        <v/>
      </c>
      <c r="C96" s="6">
        <f>IFERROR(__xludf.DUMMYFUNCTION("""COMPUTED_VALUE"""),"concept.graasp")</f>
        <v/>
      </c>
      <c r="D96" s="7">
        <f>IFERROR(__xludf.DUMMYFUNCTION("""COMPUTED_VALUE"""),"&lt;p&gt;With the unit circle, we see this correspondence (or direct relationship) by definition between the functions sin θ and cos θ and the y-coordinate and the x-coordinate, respectively, of point P much more clearly. When considering the unit circle, we’re"&amp;" dealing with a circle whose center is at the origin O (0,0) and whose radius is one unit in length.  &lt;/p&gt;&lt;p&gt;In the unit circle, the terminal side of any angle θ in standard position intersects the unit circle at a point P(x,y), so that the length of segm"&amp;"ent OP = r = 1.  Now, substituting r = 1 into the definitions of sine and cosine, we have the following results:&lt;br&gt;sin θ = y/r &lt;br&gt;       = y/1&lt;br&gt;sin θ = y&lt;br&gt; cos θ = x/r &lt;br&gt;       = x/1 &lt;br&gt;cos θ = x&lt;/p&gt;")</f>
        <v/>
      </c>
      <c r="E96" s="7">
        <f>IFERROR(__xludf.DUMMYFUNCTION("""COMPUTED_VALUE"""),"No artifact embedded")</f>
        <v/>
      </c>
      <c r="F96" s="7" t="n"/>
      <c r="G96" s="8" t="n">
        <v>1</v>
      </c>
      <c r="H96" s="8" t="n">
        <v>0</v>
      </c>
      <c r="I96" s="8" t="n">
        <v>0</v>
      </c>
      <c r="J96" s="8" t="n">
        <v>0</v>
      </c>
      <c r="K96" s="9" t="n">
        <v>1</v>
      </c>
      <c r="L96" s="9" t="n">
        <v>0</v>
      </c>
      <c r="M96" s="9" t="n">
        <v>0</v>
      </c>
      <c r="N96" s="9" t="n">
        <v>0</v>
      </c>
      <c r="O96" s="10" t="n">
        <v>1</v>
      </c>
      <c r="P96" s="10" t="n">
        <v>0</v>
      </c>
      <c r="Q96" s="10" t="n">
        <v>0</v>
      </c>
      <c r="R96" s="10" t="n">
        <v>0</v>
      </c>
      <c r="S96" s="10" t="n">
        <v>0</v>
      </c>
    </row>
    <row r="97" ht="25" customHeight="1">
      <c r="A97" s="6">
        <f>IFERROR(__xludf.DUMMYFUNCTION("""COMPUTED_VALUE"""),"Trigonometry (Math)")</f>
        <v/>
      </c>
      <c r="B97" s="6">
        <f>IFERROR(__xludf.DUMMYFUNCTION("""COMPUTED_VALUE"""),"Space")</f>
        <v/>
      </c>
      <c r="C97" s="6">
        <f>IFERROR(__xludf.DUMMYFUNCTION("""COMPUTED_VALUE"""),"Investigation")</f>
        <v/>
      </c>
      <c r="D97" s="7">
        <f>IFERROR(__xludf.DUMMYFUNCTION("""COMPUTED_VALUE"""),"No task description")</f>
        <v/>
      </c>
      <c r="E97" s="7">
        <f>IFERROR(__xludf.DUMMYFUNCTION("""COMPUTED_VALUE"""),"No artifact embedded")</f>
        <v/>
      </c>
      <c r="F97" s="7" t="n"/>
      <c r="G97" s="8" t="n">
        <v>0</v>
      </c>
      <c r="H97" s="8" t="n">
        <v>0</v>
      </c>
      <c r="I97" s="8" t="n">
        <v>0</v>
      </c>
      <c r="J97" s="8" t="n">
        <v>0</v>
      </c>
      <c r="K97" s="9" t="n">
        <v>0</v>
      </c>
      <c r="L97" s="9" t="n">
        <v>0</v>
      </c>
      <c r="M97" s="9" t="n">
        <v>0</v>
      </c>
      <c r="N97" s="9" t="n">
        <v>0</v>
      </c>
      <c r="O97" s="10" t="n">
        <v>0</v>
      </c>
      <c r="P97" s="10" t="n">
        <v>0</v>
      </c>
      <c r="Q97" s="10" t="n">
        <v>0</v>
      </c>
      <c r="R97" s="10" t="n">
        <v>0</v>
      </c>
      <c r="S97" s="10" t="n">
        <v>0</v>
      </c>
    </row>
    <row r="98" ht="169" customHeight="1">
      <c r="A98" s="6">
        <f>IFERROR(__xludf.DUMMYFUNCTION("""COMPUTED_VALUE"""),"Trigonometry (Math)")</f>
        <v/>
      </c>
      <c r="B98" s="6">
        <f>IFERROR(__xludf.DUMMYFUNCTION("""COMPUTED_VALUE"""),"Application")</f>
        <v/>
      </c>
      <c r="C98" s="6">
        <f>IFERROR(__xludf.DUMMYFUNCTION("""COMPUTED_VALUE"""),"Trig Tour")</f>
        <v/>
      </c>
      <c r="D98" s="7">
        <f>IFERROR(__xludf.DUMMYFUNCTION("""COMPUTED_VALUE"""),"&lt;p&gt;Explore the Simulation by moving the red dot and write down your observation below;&lt;/p&gt;")</f>
        <v/>
      </c>
      <c r="E98" s="7">
        <f>IFERROR(__xludf.DUMMYFUNCTION("""COMPUTED_VALUE"""),"Golabz app/lab: ""&lt;p&gt;Take a tour of trigonometry using degrees or radians! Look for patterns in the values and on the graph when you change the value of theta. Compare the graphs of sine, cosine, and tangent.&lt;/p&gt;\r\n""")</f>
        <v/>
      </c>
      <c r="F98" s="7" t="n"/>
      <c r="G98" s="8" t="n">
        <v>0</v>
      </c>
      <c r="H98" s="8" t="n">
        <v>0</v>
      </c>
      <c r="I98" s="8" t="n">
        <v>1</v>
      </c>
      <c r="J98" s="8" t="n">
        <v>0</v>
      </c>
      <c r="K98" s="9" t="n">
        <v>0</v>
      </c>
      <c r="L98" s="9" t="n">
        <v>1</v>
      </c>
      <c r="M98" s="9" t="n">
        <v>0</v>
      </c>
      <c r="N98" s="9" t="n">
        <v>0</v>
      </c>
      <c r="O98" s="10" t="n">
        <v>0</v>
      </c>
      <c r="P98" s="10" t="n">
        <v>0</v>
      </c>
      <c r="Q98" s="10" t="n">
        <v>1</v>
      </c>
      <c r="R98" s="10" t="n">
        <v>0</v>
      </c>
      <c r="S98" s="10" t="n">
        <v>0</v>
      </c>
    </row>
    <row r="99" ht="329" customHeight="1">
      <c r="A99" s="6">
        <f>IFERROR(__xludf.DUMMYFUNCTION("""COMPUTED_VALUE"""),"Trigonometry (Math)")</f>
        <v/>
      </c>
      <c r="B99" s="6">
        <f>IFERROR(__xludf.DUMMYFUNCTION("""COMPUTED_VALUE"""),"Application")</f>
        <v/>
      </c>
      <c r="C99" s="6">
        <f>IFERROR(__xludf.DUMMYFUNCTION("""COMPUTED_VALUE"""),"Input Box (3)")</f>
        <v/>
      </c>
      <c r="D99" s="7">
        <f>IFERROR(__xludf.DUMMYFUNCTION("""COMPUTED_VALUE"""),"&lt;p&gt;From the unit circle on the lab, what is the radius of the circle and how do you know?&lt;/p&gt;")</f>
        <v/>
      </c>
      <c r="E9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9" s="7" t="n"/>
      <c r="G99" s="8" t="n">
        <v>0</v>
      </c>
      <c r="H99" s="8" t="n">
        <v>0</v>
      </c>
      <c r="I99" s="8" t="n">
        <v>1</v>
      </c>
      <c r="J99" s="8" t="n">
        <v>0</v>
      </c>
      <c r="K99" s="9" t="n">
        <v>0</v>
      </c>
      <c r="L99" s="9" t="n">
        <v>1</v>
      </c>
      <c r="M99" s="9" t="n">
        <v>0</v>
      </c>
      <c r="N99" s="9" t="n">
        <v>0</v>
      </c>
      <c r="O99" s="10" t="n">
        <v>0</v>
      </c>
      <c r="P99" s="10" t="n">
        <v>0</v>
      </c>
      <c r="Q99" s="10" t="n">
        <v>1</v>
      </c>
      <c r="R99" s="10" t="n">
        <v>0</v>
      </c>
      <c r="S99" s="10" t="n">
        <v>0</v>
      </c>
    </row>
    <row r="100" ht="329" customHeight="1">
      <c r="A100" s="6">
        <f>IFERROR(__xludf.DUMMYFUNCTION("""COMPUTED_VALUE"""),"Trigonometry (Math)")</f>
        <v/>
      </c>
      <c r="B100" s="6">
        <f>IFERROR(__xludf.DUMMYFUNCTION("""COMPUTED_VALUE"""),"Application")</f>
        <v/>
      </c>
      <c r="C100" s="6">
        <f>IFERROR(__xludf.DUMMYFUNCTION("""COMPUTED_VALUE"""),"Input Box (4)")</f>
        <v/>
      </c>
      <c r="D100" s="7">
        <f>IFERROR(__xludf.DUMMYFUNCTION("""COMPUTED_VALUE"""),"&lt;p&gt;Click on any Trigonometric function (either sin, cos or tan) and move the red dot in an anti-clock wise direction to any angle of your choice between 0 and 90 degrees(Please state the angle you chose), then record below in the input box the unit size o"&amp;"f each side of the right angle triangle?  That is the hypotenuse, Opposite and Adjacent.&lt;/p&gt;")</f>
        <v/>
      </c>
      <c r="E1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0" s="7" t="n"/>
      <c r="G100" s="8" t="n">
        <v>0</v>
      </c>
      <c r="H100" s="8" t="n">
        <v>0</v>
      </c>
      <c r="I100" s="8" t="n">
        <v>1</v>
      </c>
      <c r="J100" s="8" t="n">
        <v>0</v>
      </c>
      <c r="K100" s="9" t="n">
        <v>0</v>
      </c>
      <c r="L100" s="9" t="n">
        <v>1</v>
      </c>
      <c r="M100" s="9" t="n">
        <v>0</v>
      </c>
      <c r="N100" s="9" t="n">
        <v>0</v>
      </c>
      <c r="O100" s="10" t="n">
        <v>0</v>
      </c>
      <c r="P100" s="10" t="n">
        <v>0</v>
      </c>
      <c r="Q100" s="10" t="n">
        <v>1</v>
      </c>
      <c r="R100" s="10" t="n">
        <v>0</v>
      </c>
      <c r="S100" s="10" t="n">
        <v>0</v>
      </c>
    </row>
    <row r="101" ht="329" customHeight="1">
      <c r="A101" s="6">
        <f>IFERROR(__xludf.DUMMYFUNCTION("""COMPUTED_VALUE"""),"Trigonometry (Math)")</f>
        <v/>
      </c>
      <c r="B101" s="6">
        <f>IFERROR(__xludf.DUMMYFUNCTION("""COMPUTED_VALUE"""),"Application")</f>
        <v/>
      </c>
      <c r="C101" s="6">
        <f>IFERROR(__xludf.DUMMYFUNCTION("""COMPUTED_VALUE"""),"Input Box")</f>
        <v/>
      </c>
      <c r="D101" s="7">
        <f>IFERROR(__xludf.DUMMYFUNCTION("""COMPUTED_VALUE"""),"&lt;p&gt;Click on sin, then look at the values of SIN \theta as you move the red dot in an anti-clock direction round about the circle. What do you notice?&lt;/p&gt;")</f>
        <v/>
      </c>
      <c r="E10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1" s="7" t="n"/>
      <c r="G101" s="8" t="n">
        <v>0</v>
      </c>
      <c r="H101" s="8" t="n">
        <v>0</v>
      </c>
      <c r="I101" s="8" t="n">
        <v>1</v>
      </c>
      <c r="J101" s="8" t="n">
        <v>0</v>
      </c>
      <c r="K101" s="9" t="n">
        <v>0</v>
      </c>
      <c r="L101" s="9" t="n">
        <v>1</v>
      </c>
      <c r="M101" s="9" t="n">
        <v>0</v>
      </c>
      <c r="N101" s="9" t="n">
        <v>0</v>
      </c>
      <c r="O101" s="10" t="n">
        <v>0</v>
      </c>
      <c r="P101" s="10" t="n">
        <v>0</v>
      </c>
      <c r="Q101" s="10" t="n">
        <v>1</v>
      </c>
      <c r="R101" s="10" t="n">
        <v>0</v>
      </c>
      <c r="S101" s="10" t="n">
        <v>0</v>
      </c>
    </row>
    <row r="102" ht="329" customHeight="1">
      <c r="A102" s="6">
        <f>IFERROR(__xludf.DUMMYFUNCTION("""COMPUTED_VALUE"""),"Trigonometry (Math)")</f>
        <v/>
      </c>
      <c r="B102" s="6">
        <f>IFERROR(__xludf.DUMMYFUNCTION("""COMPUTED_VALUE"""),"Application")</f>
        <v/>
      </c>
      <c r="C102" s="6">
        <f>IFERROR(__xludf.DUMMYFUNCTION("""COMPUTED_VALUE"""),"Input Box (1)")</f>
        <v/>
      </c>
      <c r="D102" s="7">
        <f>IFERROR(__xludf.DUMMYFUNCTION("""COMPUTED_VALUE"""),"&lt;p&gt;Click on cos, then look at the values of COS theta as you move the red dot in an anti-clock direction round about the circle. What do you notice?&lt;/p&gt;")</f>
        <v/>
      </c>
      <c r="E1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2" s="7" t="n"/>
      <c r="G102" s="8" t="n">
        <v>0</v>
      </c>
      <c r="H102" s="8" t="n">
        <v>0</v>
      </c>
      <c r="I102" s="8" t="n">
        <v>1</v>
      </c>
      <c r="J102" s="8" t="n">
        <v>0</v>
      </c>
      <c r="K102" s="9" t="n">
        <v>0</v>
      </c>
      <c r="L102" s="9" t="n">
        <v>1</v>
      </c>
      <c r="M102" s="9" t="n">
        <v>0</v>
      </c>
      <c r="N102" s="9" t="n">
        <v>0</v>
      </c>
      <c r="O102" s="10" t="n">
        <v>0</v>
      </c>
      <c r="P102" s="10" t="n">
        <v>0</v>
      </c>
      <c r="Q102" s="10" t="n">
        <v>1</v>
      </c>
      <c r="R102" s="10" t="n">
        <v>0</v>
      </c>
      <c r="S102" s="10" t="n">
        <v>0</v>
      </c>
    </row>
    <row r="103" ht="329" customHeight="1">
      <c r="A103" s="6">
        <f>IFERROR(__xludf.DUMMYFUNCTION("""COMPUTED_VALUE"""),"Trigonometry (Math)")</f>
        <v/>
      </c>
      <c r="B103" s="6">
        <f>IFERROR(__xludf.DUMMYFUNCTION("""COMPUTED_VALUE"""),"Application")</f>
        <v/>
      </c>
      <c r="C103" s="6">
        <f>IFERROR(__xludf.DUMMYFUNCTION("""COMPUTED_VALUE"""),"Input Box (2)")</f>
        <v/>
      </c>
      <c r="D103" s="7">
        <f>IFERROR(__xludf.DUMMYFUNCTION("""COMPUTED_VALUE"""),"&lt;p&gt;Click on tan, then look at the values of TAN theta as you move the red dot in an anti-clock direction round about the circle. What do you notice?&lt;/p&gt;")</f>
        <v/>
      </c>
      <c r="E1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3" s="7" t="n"/>
      <c r="G103" s="8" t="n">
        <v>0</v>
      </c>
      <c r="H103" s="8" t="n">
        <v>0</v>
      </c>
      <c r="I103" s="8" t="n">
        <v>1</v>
      </c>
      <c r="J103" s="8" t="n">
        <v>0</v>
      </c>
      <c r="K103" s="9" t="n">
        <v>0</v>
      </c>
      <c r="L103" s="9" t="n">
        <v>1</v>
      </c>
      <c r="M103" s="9" t="n">
        <v>0</v>
      </c>
      <c r="N103" s="9" t="n">
        <v>0</v>
      </c>
      <c r="O103" s="10" t="n">
        <v>0</v>
      </c>
      <c r="P103" s="10" t="n">
        <v>0</v>
      </c>
      <c r="Q103" s="10" t="n">
        <v>1</v>
      </c>
      <c r="R103" s="10" t="n">
        <v>0</v>
      </c>
      <c r="S103" s="10" t="n">
        <v>0</v>
      </c>
    </row>
    <row r="104" ht="217" customHeight="1">
      <c r="A104" s="6">
        <f>IFERROR(__xludf.DUMMYFUNCTION("""COMPUTED_VALUE"""),"Trigonometry (Math)")</f>
        <v/>
      </c>
      <c r="B104" s="6">
        <f>IFERROR(__xludf.DUMMYFUNCTION("""COMPUTED_VALUE"""),"Resource")</f>
        <v/>
      </c>
      <c r="C104" s="6">
        <f>IFERROR(__xludf.DUMMYFUNCTION("""COMPUTED_VALUE"""),"table text.graasp")</f>
        <v/>
      </c>
      <c r="D104" s="7">
        <f>IFERROR(__xludf.DUMMYFUNCTION("""COMPUTED_VALUE"""),"&lt;p&gt;Now Click on the Special Angles Button, then record the values of the hypotenuse, Adjacent and Opposite sides of the various trigonometry functions stated in the below table and give your answer for each. Sin 30 has been used as an example for you to f"&amp;"ollow.&lt;/p&gt;")</f>
        <v/>
      </c>
      <c r="E104" s="7">
        <f>IFERROR(__xludf.DUMMYFUNCTION("""COMPUTED_VALUE"""),"No artifact embedded")</f>
        <v/>
      </c>
      <c r="F104" s="7" t="n"/>
      <c r="G104" s="8" t="n">
        <v>0</v>
      </c>
      <c r="H104" s="8" t="n">
        <v>0</v>
      </c>
      <c r="I104" s="8" t="n">
        <v>1</v>
      </c>
      <c r="J104" s="8" t="n">
        <v>0</v>
      </c>
      <c r="K104" s="9" t="n">
        <v>0</v>
      </c>
      <c r="L104" s="9" t="n">
        <v>1</v>
      </c>
      <c r="M104" s="9" t="n">
        <v>0</v>
      </c>
      <c r="N104" s="9" t="n">
        <v>0</v>
      </c>
      <c r="O104" s="10" t="n">
        <v>0</v>
      </c>
      <c r="P104" s="10" t="n">
        <v>0</v>
      </c>
      <c r="Q104" s="10" t="n">
        <v>1</v>
      </c>
      <c r="R104" s="10" t="n">
        <v>0</v>
      </c>
      <c r="S104" s="10" t="n">
        <v>0</v>
      </c>
    </row>
    <row r="105" ht="97" customHeight="1">
      <c r="A105" s="6">
        <f>IFERROR(__xludf.DUMMYFUNCTION("""COMPUTED_VALUE"""),"Trigonometry (Math)")</f>
        <v/>
      </c>
      <c r="B105" s="6">
        <f>IFERROR(__xludf.DUMMYFUNCTION("""COMPUTED_VALUE"""),"Resource")</f>
        <v/>
      </c>
      <c r="C105" s="6">
        <f>IFERROR(__xludf.DUMMYFUNCTION("""COMPUTED_VALUE"""),"Untitled.png2.png")</f>
        <v/>
      </c>
      <c r="D105" s="7">
        <f>IFERROR(__xludf.DUMMYFUNCTION("""COMPUTED_VALUE"""),"No task description")</f>
        <v/>
      </c>
      <c r="E105" s="7">
        <f>IFERROR(__xludf.DUMMYFUNCTION("""COMPUTED_VALUE"""),"image/png – A high-quality image with support for transparency, often used in design and web applications.")</f>
        <v/>
      </c>
      <c r="F105" s="7" t="n"/>
      <c r="G105" s="8" t="n">
        <v>1</v>
      </c>
      <c r="H105" s="8" t="n">
        <v>0</v>
      </c>
      <c r="I105" s="8" t="n">
        <v>0</v>
      </c>
      <c r="J105" s="8" t="n">
        <v>0</v>
      </c>
      <c r="K105" s="9" t="n">
        <v>1</v>
      </c>
      <c r="L105" s="9" t="n">
        <v>0</v>
      </c>
      <c r="M105" s="9" t="n">
        <v>0</v>
      </c>
      <c r="N105" s="9" t="n">
        <v>0</v>
      </c>
      <c r="O105" s="10" t="n">
        <v>0</v>
      </c>
      <c r="P105" s="10" t="n">
        <v>0</v>
      </c>
      <c r="Q105" s="10" t="n">
        <v>0</v>
      </c>
      <c r="R105" s="10" t="n">
        <v>0</v>
      </c>
      <c r="S105" s="10" t="n">
        <v>0</v>
      </c>
    </row>
    <row r="106" ht="409.5" customHeight="1">
      <c r="A106" s="6">
        <f>IFERROR(__xludf.DUMMYFUNCTION("""COMPUTED_VALUE"""),"Trigonometry (Math)")</f>
        <v/>
      </c>
      <c r="B106" s="6">
        <f>IFERROR(__xludf.DUMMYFUNCTION("""COMPUTED_VALUE"""),"Application")</f>
        <v/>
      </c>
      <c r="C106" s="6">
        <f>IFERROR(__xludf.DUMMYFUNCTION("""COMPUTED_VALUE"""),"Table Tool")</f>
        <v/>
      </c>
      <c r="D106" s="7">
        <f>IFERROR(__xludf.DUMMYFUNCTION("""COMPUTED_VALUE"""),"No task description")</f>
        <v/>
      </c>
      <c r="E10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06" s="7" t="n"/>
      <c r="G106" s="8" t="n">
        <v>0</v>
      </c>
      <c r="H106" s="8" t="n">
        <v>0</v>
      </c>
      <c r="I106" s="8" t="n">
        <v>1</v>
      </c>
      <c r="J106" s="8" t="n">
        <v>0</v>
      </c>
      <c r="K106" s="9" t="n">
        <v>0</v>
      </c>
      <c r="L106" s="9" t="n">
        <v>1</v>
      </c>
      <c r="M106" s="9" t="n">
        <v>0</v>
      </c>
      <c r="N106" s="9" t="n">
        <v>0</v>
      </c>
      <c r="O106" s="10" t="n">
        <v>0</v>
      </c>
      <c r="P106" s="10" t="n">
        <v>0</v>
      </c>
      <c r="Q106" s="10" t="n">
        <v>0</v>
      </c>
      <c r="R106" s="10" t="n">
        <v>0</v>
      </c>
      <c r="S106" s="10" t="n">
        <v>0</v>
      </c>
    </row>
    <row r="107" ht="25" customHeight="1">
      <c r="A107" s="6">
        <f>IFERROR(__xludf.DUMMYFUNCTION("""COMPUTED_VALUE"""),"Trigonometry (Math)")</f>
        <v/>
      </c>
      <c r="B107" s="6">
        <f>IFERROR(__xludf.DUMMYFUNCTION("""COMPUTED_VALUE"""),"Resource")</f>
        <v/>
      </c>
      <c r="C107" s="6">
        <f>IFERROR(__xludf.DUMMYFUNCTION("""COMPUTED_VALUE"""),"investigate.graasp")</f>
        <v/>
      </c>
      <c r="D107" s="7">
        <f>IFERROR(__xludf.DUMMYFUNCTION("""COMPUTED_VALUE"""),"No task description")</f>
        <v/>
      </c>
      <c r="E107" s="7">
        <f>IFERROR(__xludf.DUMMYFUNCTION("""COMPUTED_VALUE"""),"No artifact embedded")</f>
        <v/>
      </c>
      <c r="F107" s="7" t="n"/>
      <c r="G107" s="8" t="n">
        <v>0</v>
      </c>
      <c r="H107" s="8" t="n">
        <v>0</v>
      </c>
      <c r="I107" s="8" t="n">
        <v>0</v>
      </c>
      <c r="J107" s="8" t="n">
        <v>0</v>
      </c>
      <c r="K107" s="9" t="n">
        <v>0</v>
      </c>
      <c r="L107" s="9" t="n">
        <v>0</v>
      </c>
      <c r="M107" s="9" t="n">
        <v>0</v>
      </c>
      <c r="N107" s="9" t="n">
        <v>0</v>
      </c>
      <c r="O107" s="10" t="n">
        <v>0</v>
      </c>
      <c r="P107" s="10" t="n">
        <v>0</v>
      </c>
      <c r="Q107" s="10" t="n">
        <v>0</v>
      </c>
      <c r="R107" s="10" t="n">
        <v>0</v>
      </c>
      <c r="S107" s="10" t="n">
        <v>0</v>
      </c>
    </row>
    <row r="108" ht="25" customHeight="1">
      <c r="A108" s="6">
        <f>IFERROR(__xludf.DUMMYFUNCTION("""COMPUTED_VALUE"""),"Trigonometry (Math)")</f>
        <v/>
      </c>
      <c r="B108" s="6">
        <f>IFERROR(__xludf.DUMMYFUNCTION("""COMPUTED_VALUE"""),"Space")</f>
        <v/>
      </c>
      <c r="C108" s="6">
        <f>IFERROR(__xludf.DUMMYFUNCTION("""COMPUTED_VALUE"""),"Conclusion")</f>
        <v/>
      </c>
      <c r="D108" s="7">
        <f>IFERROR(__xludf.DUMMYFUNCTION("""COMPUTED_VALUE"""),"No task description")</f>
        <v/>
      </c>
      <c r="E108" s="7">
        <f>IFERROR(__xludf.DUMMYFUNCTION("""COMPUTED_VALUE"""),"No artifact embedded")</f>
        <v/>
      </c>
      <c r="F108" s="7" t="n"/>
      <c r="G108" s="8" t="n">
        <v>0</v>
      </c>
      <c r="H108" s="8" t="n">
        <v>0</v>
      </c>
      <c r="I108" s="8" t="n">
        <v>0</v>
      </c>
      <c r="J108" s="8" t="n">
        <v>0</v>
      </c>
      <c r="K108" s="9" t="n">
        <v>0</v>
      </c>
      <c r="L108" s="9" t="n">
        <v>0</v>
      </c>
      <c r="M108" s="9" t="n">
        <v>0</v>
      </c>
      <c r="N108" s="9" t="n">
        <v>0</v>
      </c>
      <c r="O108" s="10" t="n">
        <v>0</v>
      </c>
      <c r="P108" s="10" t="n">
        <v>0</v>
      </c>
      <c r="Q108" s="10" t="n">
        <v>0</v>
      </c>
      <c r="R108" s="10" t="n">
        <v>0</v>
      </c>
      <c r="S108" s="10" t="n">
        <v>0</v>
      </c>
    </row>
    <row r="109" ht="121" customHeight="1">
      <c r="A109" s="6">
        <f>IFERROR(__xludf.DUMMYFUNCTION("""COMPUTED_VALUE"""),"Trigonometry (Math)")</f>
        <v/>
      </c>
      <c r="B109" s="6">
        <f>IFERROR(__xludf.DUMMYFUNCTION("""COMPUTED_VALUE"""),"Resource")</f>
        <v/>
      </c>
      <c r="C109" s="6">
        <f>IFERROR(__xludf.DUMMYFUNCTION("""COMPUTED_VALUE"""),"mathematics-in-our-daily-life-21-638.jpg")</f>
        <v/>
      </c>
      <c r="D109" s="7">
        <f>IFERROR(__xludf.DUMMYFUNCTION("""COMPUTED_VALUE"""),"No task description")</f>
        <v/>
      </c>
      <c r="E109" s="7">
        <f>IFERROR(__xludf.DUMMYFUNCTION("""COMPUTED_VALUE"""),"image/jpeg – A digital photograph or web image stored in a compressed format, often used for photography and web graphics.")</f>
        <v/>
      </c>
      <c r="F109" s="7" t="n"/>
      <c r="G109" s="8" t="n">
        <v>0</v>
      </c>
      <c r="H109" s="8" t="n">
        <v>0</v>
      </c>
      <c r="I109" s="8" t="n">
        <v>0</v>
      </c>
      <c r="J109" s="8" t="n">
        <v>0</v>
      </c>
      <c r="K109" s="9" t="n">
        <v>0</v>
      </c>
      <c r="L109" s="9" t="n">
        <v>0</v>
      </c>
      <c r="M109" s="9" t="n">
        <v>0</v>
      </c>
      <c r="N109" s="9" t="n">
        <v>0</v>
      </c>
      <c r="O109" s="10" t="n">
        <v>0</v>
      </c>
      <c r="P109" s="10" t="n">
        <v>0</v>
      </c>
      <c r="Q109" s="10" t="n">
        <v>0</v>
      </c>
      <c r="R109" s="10" t="n">
        <v>0</v>
      </c>
      <c r="S109" s="10" t="n">
        <v>0</v>
      </c>
    </row>
    <row r="110" ht="409.5" customHeight="1">
      <c r="A110" s="6">
        <f>IFERROR(__xludf.DUMMYFUNCTION("""COMPUTED_VALUE"""),"Trigonometry (Math)")</f>
        <v/>
      </c>
      <c r="B110" s="6">
        <f>IFERROR(__xludf.DUMMYFUNCTION("""COMPUTED_VALUE"""),"Resource")</f>
        <v/>
      </c>
      <c r="C110" s="6">
        <f>IFERROR(__xludf.DUMMYFUNCTION("""COMPUTED_VALUE"""),"conclude.graasp")</f>
        <v/>
      </c>
      <c r="D110" s="7">
        <f>IFERROR(__xludf.DUMMYFUNCTION("""COMPUTED_VALUE"""),"&lt;p&gt;They are a handful of prominent technological fields where there’s an extensive use of trigonometric concepts. Some technological fields are;&lt;/p&gt;&lt;p&gt;Astronomy,&lt;br&gt;Navigation,&lt;br&gt;Optics,&lt;br&gt;Acoustics (The science of studying mechanical waves in solids, l"&amp;"iquids and gases that also topics like sound, infrasound, ultrasound and vibration),&lt;br&gt;Electronics,&lt;br&gt;Statistics,&lt;br&gt;Number theory,&lt;br&gt;Electrical engineering,&lt;br&gt;Mechanical engineering,&lt;br&gt;Computer graphics,&lt;br&gt;Game development,&lt;br&gt;Civil engineering,&lt;br"&amp;"&gt;Medical imaging,&lt;br&gt;Pharmacy,&lt;br&gt;Cartography (creating maps),&lt;br&gt;Seismology (It’s the science of studying earthquakes),&lt;br&gt;Crystallography (The study of atom arrangements in a crystalline solid).&lt;/p&gt;&lt;p&gt;&lt;br&gt;&lt;/p&gt;&lt;p&gt;Now you know some career field where Trig"&amp;"onometry is applied and its importance in our daily living. &lt;/p&gt;&lt;p&gt;Therefore, do take the quiz below to further affirm your knowledge in trigonometry.&lt;/p&gt;")</f>
        <v/>
      </c>
      <c r="E110" s="7">
        <f>IFERROR(__xludf.DUMMYFUNCTION("""COMPUTED_VALUE"""),"No artifact embedded")</f>
        <v/>
      </c>
      <c r="F110" s="7" t="n"/>
      <c r="G110" s="8" t="n">
        <v>0</v>
      </c>
      <c r="H110" s="8" t="n">
        <v>0</v>
      </c>
      <c r="I110" s="8" t="n">
        <v>1</v>
      </c>
      <c r="J110" s="8" t="n">
        <v>0</v>
      </c>
      <c r="K110" s="9" t="n">
        <v>0</v>
      </c>
      <c r="L110" s="9" t="n">
        <v>1</v>
      </c>
      <c r="M110" s="9" t="n">
        <v>0</v>
      </c>
      <c r="N110" s="9" t="n">
        <v>0</v>
      </c>
      <c r="O110" s="10" t="n">
        <v>1</v>
      </c>
      <c r="P110" s="10" t="n">
        <v>0</v>
      </c>
      <c r="Q110" s="10" t="n">
        <v>0</v>
      </c>
      <c r="R110" s="10" t="n">
        <v>0</v>
      </c>
      <c r="S110" s="10" t="n">
        <v>0</v>
      </c>
    </row>
    <row r="111" ht="296" customHeight="1">
      <c r="A111" s="6">
        <f>IFERROR(__xludf.DUMMYFUNCTION("""COMPUTED_VALUE"""),"Trigonometry (Math)")</f>
        <v/>
      </c>
      <c r="B111" s="6">
        <f>IFERROR(__xludf.DUMMYFUNCTION("""COMPUTED_VALUE"""),"Application")</f>
        <v/>
      </c>
      <c r="C111" s="6">
        <f>IFERROR(__xludf.DUMMYFUNCTION("""COMPUTED_VALUE"""),"Quiz Tool")</f>
        <v/>
      </c>
      <c r="D111" s="7">
        <f>IFERROR(__xludf.DUMMYFUNCTION("""COMPUTED_VALUE"""),"No task description")</f>
        <v/>
      </c>
      <c r="E11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11" s="7" t="n"/>
      <c r="G111" s="8" t="n">
        <v>0</v>
      </c>
      <c r="H111" s="8" t="n">
        <v>0</v>
      </c>
      <c r="I111" s="8" t="n">
        <v>0</v>
      </c>
      <c r="J111" s="8" t="n">
        <v>1</v>
      </c>
      <c r="K111" s="9" t="n">
        <v>0</v>
      </c>
      <c r="L111" s="9" t="n">
        <v>1</v>
      </c>
      <c r="M111" s="9" t="n">
        <v>0</v>
      </c>
      <c r="N111" s="9" t="n">
        <v>0</v>
      </c>
      <c r="O111" s="10" t="n">
        <v>0</v>
      </c>
      <c r="P111" s="10" t="n">
        <v>0</v>
      </c>
      <c r="Q111" s="10" t="n">
        <v>0</v>
      </c>
      <c r="R111" s="10" t="n">
        <v>0</v>
      </c>
      <c r="S111" s="10" t="n">
        <v>1</v>
      </c>
    </row>
    <row r="112" ht="121" customHeight="1">
      <c r="A112" s="6">
        <f>IFERROR(__xludf.DUMMYFUNCTION("""COMPUTED_VALUE"""),"Trigonometry (Math)")</f>
        <v/>
      </c>
      <c r="B112" s="6">
        <f>IFERROR(__xludf.DUMMYFUNCTION("""COMPUTED_VALUE"""),"Space")</f>
        <v/>
      </c>
      <c r="C112" s="6">
        <f>IFERROR(__xludf.DUMMYFUNCTION("""COMPUTED_VALUE"""),"Discussion")</f>
        <v/>
      </c>
      <c r="D112" s="7">
        <f>IFERROR(__xludf.DUMMYFUNCTION("""COMPUTED_VALUE"""),"&lt;p&gt;Feel free to tell what you have learnt in Trigonometry and ask questions for further clarification. &lt;/p&gt;&lt;p&gt;Thank you!&lt;/p&gt;")</f>
        <v/>
      </c>
      <c r="E112" s="7">
        <f>IFERROR(__xludf.DUMMYFUNCTION("""COMPUTED_VALUE"""),"No artifact embedded")</f>
        <v/>
      </c>
      <c r="F112" s="7" t="n"/>
      <c r="G112" s="8" t="n">
        <v>0</v>
      </c>
      <c r="H112" s="8" t="n">
        <v>0</v>
      </c>
      <c r="I112" s="8" t="n">
        <v>0</v>
      </c>
      <c r="J112" s="8" t="n">
        <v>1</v>
      </c>
      <c r="K112" s="9" t="n">
        <v>0</v>
      </c>
      <c r="L112" s="9" t="n">
        <v>0</v>
      </c>
      <c r="M112" s="9" t="n">
        <v>1</v>
      </c>
      <c r="N112" s="9" t="n">
        <v>0</v>
      </c>
      <c r="O112" s="10" t="n">
        <v>0</v>
      </c>
      <c r="P112" s="10" t="n">
        <v>0</v>
      </c>
      <c r="Q112" s="10" t="n">
        <v>0</v>
      </c>
      <c r="R112" s="10" t="n">
        <v>0</v>
      </c>
      <c r="S112" s="10" t="n">
        <v>1</v>
      </c>
    </row>
    <row r="113" ht="409.5" customHeight="1">
      <c r="A113" s="6">
        <f>IFERROR(__xludf.DUMMYFUNCTION("""COMPUTED_VALUE"""),"Trigonometry (Math)")</f>
        <v/>
      </c>
      <c r="B113" s="6">
        <f>IFERROR(__xludf.DUMMYFUNCTION("""COMPUTED_VALUE"""),"Application")</f>
        <v/>
      </c>
      <c r="C113" s="6">
        <f>IFERROR(__xludf.DUMMYFUNCTION("""COMPUTED_VALUE"""),"SpeakUp")</f>
        <v/>
      </c>
      <c r="D113" s="7">
        <f>IFERROR(__xludf.DUMMYFUNCTION("""COMPUTED_VALUE"""),"No task description")</f>
        <v/>
      </c>
      <c r="E113"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113" s="7" t="n"/>
      <c r="G113" s="8" t="n">
        <v>0</v>
      </c>
      <c r="H113" s="8" t="n">
        <v>0</v>
      </c>
      <c r="I113" s="8" t="n">
        <v>0</v>
      </c>
      <c r="J113" s="8" t="n">
        <v>1</v>
      </c>
      <c r="K113" s="9" t="n">
        <v>0</v>
      </c>
      <c r="L113" s="9" t="n">
        <v>0</v>
      </c>
      <c r="M113" s="9" t="n">
        <v>1</v>
      </c>
      <c r="N113" s="9" t="n">
        <v>0</v>
      </c>
      <c r="O113" s="10" t="n">
        <v>0</v>
      </c>
      <c r="P113" s="10" t="n">
        <v>0</v>
      </c>
      <c r="Q113" s="10" t="n">
        <v>0</v>
      </c>
      <c r="R113" s="10" t="n">
        <v>0</v>
      </c>
      <c r="S113" s="10" t="n">
        <v>1</v>
      </c>
    </row>
    <row r="114" ht="25" customHeight="1">
      <c r="A114" s="6">
        <f>IFERROR(__xludf.DUMMYFUNCTION("""COMPUTED_VALUE"""),"The color of the light")</f>
        <v/>
      </c>
      <c r="B114" s="6">
        <f>IFERROR(__xludf.DUMMYFUNCTION("""COMPUTED_VALUE"""),"Space")</f>
        <v/>
      </c>
      <c r="C114" s="6">
        <f>IFERROR(__xludf.DUMMYFUNCTION("""COMPUTED_VALUE"""),"Introduction")</f>
        <v/>
      </c>
      <c r="D114" s="7">
        <f>IFERROR(__xludf.DUMMYFUNCTION("""COMPUTED_VALUE"""),"No task description")</f>
        <v/>
      </c>
      <c r="E114" s="7">
        <f>IFERROR(__xludf.DUMMYFUNCTION("""COMPUTED_VALUE"""),"No artifact embedded")</f>
        <v/>
      </c>
      <c r="F114" s="7" t="n"/>
      <c r="G114" s="8" t="n">
        <v>0</v>
      </c>
      <c r="H114" s="8" t="n">
        <v>0</v>
      </c>
      <c r="I114" s="8" t="n">
        <v>0</v>
      </c>
      <c r="J114" s="8" t="n">
        <v>0</v>
      </c>
      <c r="K114" s="9" t="n">
        <v>0</v>
      </c>
      <c r="L114" s="9" t="n">
        <v>0</v>
      </c>
      <c r="M114" s="9" t="n">
        <v>0</v>
      </c>
      <c r="N114" s="9" t="n">
        <v>0</v>
      </c>
      <c r="O114" s="10" t="n">
        <v>0</v>
      </c>
      <c r="P114" s="10" t="n">
        <v>0</v>
      </c>
      <c r="Q114" s="10" t="n">
        <v>0</v>
      </c>
      <c r="R114" s="10" t="n">
        <v>0</v>
      </c>
      <c r="S114" s="10" t="n">
        <v>0</v>
      </c>
    </row>
    <row r="115" ht="409.5" customHeight="1">
      <c r="A115" s="6">
        <f>IFERROR(__xludf.DUMMYFUNCTION("""COMPUTED_VALUE"""),"The color of the light")</f>
        <v/>
      </c>
      <c r="B115" s="6">
        <f>IFERROR(__xludf.DUMMYFUNCTION("""COMPUTED_VALUE"""),"Resource")</f>
        <v/>
      </c>
      <c r="C115" s="6">
        <f>IFERROR(__xludf.DUMMYFUNCTION("""COMPUTED_VALUE"""),"Intro.graasp")</f>
        <v/>
      </c>
      <c r="D115" s="7">
        <f>IFERROR(__xludf.DUMMYFUNCTION("""COMPUTED_VALUE"""),"&lt;p&gt;With this ILS you can learn about the vision and perception of colors:&lt;br&gt;&lt;/p&gt;&lt;ul&gt;&lt;li&gt;Colors in the nature.&lt;/li&gt;&lt;li&gt; Digital or RGB colors in technology.&lt;/li&gt;&lt;li&gt; Color perception.&lt;/li&gt;&lt;/ul&gt;&lt;p&gt;Target group: &lt;/p&gt;&lt;ul&gt;&lt;li&gt;Age: 10-14 years old.&lt;/li&gt;&lt;/ul&gt;&lt;u"&amp;"l&gt;&lt;li&gt;You can use ""The color of the light"" laboratory as tool: Use the threesliders (red, green and blue) to select your color combination. Then send the new values to the RGB led and compare the real result with the virtual color square below the slide"&amp;"rs.&lt;/li&gt;&lt;/ul&gt;")</f>
        <v/>
      </c>
      <c r="E115" s="7">
        <f>IFERROR(__xludf.DUMMYFUNCTION("""COMPUTED_VALUE"""),"No artifact embedded")</f>
        <v/>
      </c>
      <c r="F115" s="7" t="n"/>
      <c r="G115" s="8" t="n">
        <v>0</v>
      </c>
      <c r="H115" s="8" t="n">
        <v>1</v>
      </c>
      <c r="I115" s="8" t="n">
        <v>0</v>
      </c>
      <c r="J115" s="8" t="n">
        <v>0</v>
      </c>
      <c r="K115" s="9" t="n">
        <v>1</v>
      </c>
      <c r="L115" s="9" t="n">
        <v>0</v>
      </c>
      <c r="M115" s="9" t="n">
        <v>0</v>
      </c>
      <c r="N115" s="9" t="n">
        <v>0</v>
      </c>
      <c r="O115" s="10" t="n">
        <v>1</v>
      </c>
      <c r="P115" s="10" t="n">
        <v>0</v>
      </c>
      <c r="Q115" s="10" t="n">
        <v>1</v>
      </c>
      <c r="R115" s="10" t="n">
        <v>0</v>
      </c>
      <c r="S115" s="10" t="n">
        <v>0</v>
      </c>
    </row>
    <row r="116" ht="25" customHeight="1">
      <c r="A116" s="6">
        <f>IFERROR(__xludf.DUMMYFUNCTION("""COMPUTED_VALUE"""),"The color of the light")</f>
        <v/>
      </c>
      <c r="B116" s="6">
        <f>IFERROR(__xludf.DUMMYFUNCTION("""COMPUTED_VALUE"""),"Space")</f>
        <v/>
      </c>
      <c r="C116" s="6">
        <f>IFERROR(__xludf.DUMMYFUNCTION("""COMPUTED_VALUE"""),"Orientation")</f>
        <v/>
      </c>
      <c r="D116" s="7">
        <f>IFERROR(__xludf.DUMMYFUNCTION("""COMPUTED_VALUE"""),"No task description")</f>
        <v/>
      </c>
      <c r="E116" s="7">
        <f>IFERROR(__xludf.DUMMYFUNCTION("""COMPUTED_VALUE"""),"No artifact embedded")</f>
        <v/>
      </c>
      <c r="F116" s="7" t="n"/>
      <c r="G116" s="8" t="n">
        <v>0</v>
      </c>
      <c r="H116" s="8" t="n">
        <v>0</v>
      </c>
      <c r="I116" s="8" t="n">
        <v>0</v>
      </c>
      <c r="J116" s="8" t="n">
        <v>0</v>
      </c>
      <c r="K116" s="9" t="n">
        <v>0</v>
      </c>
      <c r="L116" s="9" t="n">
        <v>0</v>
      </c>
      <c r="M116" s="9" t="n">
        <v>0</v>
      </c>
      <c r="N116" s="9" t="n">
        <v>0</v>
      </c>
      <c r="O116" s="10" t="n">
        <v>0</v>
      </c>
      <c r="P116" s="10" t="n">
        <v>0</v>
      </c>
      <c r="Q116" s="10" t="n">
        <v>0</v>
      </c>
      <c r="R116" s="10" t="n">
        <v>0</v>
      </c>
      <c r="S116" s="10" t="n">
        <v>0</v>
      </c>
    </row>
    <row r="117" ht="409.5" customHeight="1">
      <c r="A117" s="6">
        <f>IFERROR(__xludf.DUMMYFUNCTION("""COMPUTED_VALUE"""),"The color of the light")</f>
        <v/>
      </c>
      <c r="B117" s="6">
        <f>IFERROR(__xludf.DUMMYFUNCTION("""COMPUTED_VALUE"""),"Resource")</f>
        <v/>
      </c>
      <c r="C117" s="6">
        <f>IFERROR(__xludf.DUMMYFUNCTION("""COMPUTED_VALUE"""),"Before video.graasp")</f>
        <v/>
      </c>
      <c r="D117" s="7">
        <f>IFERROR(__xludf.DUMMYFUNCTION("""COMPUTED_VALUE"""),"&lt;p&gt;Take a look around the room that you are in. Notice how the various images and colors that you see update constantly as you turn your head and re-direct your attention. Although the images appear to be seamless, each blending imperceptibly into the nex"&amp;"t, they are in reality being updated almost continuously by the vision apparatus of your eyes and brain. The seamless quality in the images that you see is possible because human vision updates images, including the details of motion and color, on a time "&amp;"scale so rapid that a ""break in the action"" is almost never perceived.&lt;/p&gt;&lt;p&gt;&lt;br&gt;Watch the video ""Simply color mixing"" below:&lt;/p&gt;")</f>
        <v/>
      </c>
      <c r="E117" s="7">
        <f>IFERROR(__xludf.DUMMYFUNCTION("""COMPUTED_VALUE"""),"No artifact embedded")</f>
        <v/>
      </c>
      <c r="F117" s="7" t="n"/>
      <c r="G117" s="8" t="n">
        <v>1</v>
      </c>
      <c r="H117" s="8" t="n">
        <v>0</v>
      </c>
      <c r="I117" s="8" t="n">
        <v>0</v>
      </c>
      <c r="J117" s="8" t="n">
        <v>0</v>
      </c>
      <c r="K117" s="9" t="n">
        <v>1</v>
      </c>
      <c r="L117" s="9" t="n">
        <v>0</v>
      </c>
      <c r="M117" s="9" t="n">
        <v>0</v>
      </c>
      <c r="N117" s="9" t="n">
        <v>0</v>
      </c>
      <c r="O117" s="10" t="n">
        <v>1</v>
      </c>
      <c r="P117" s="10" t="n">
        <v>0</v>
      </c>
      <c r="Q117" s="10" t="n">
        <v>0</v>
      </c>
      <c r="R117" s="10" t="n">
        <v>0</v>
      </c>
      <c r="S117" s="10" t="n">
        <v>0</v>
      </c>
    </row>
    <row r="118" ht="121" customHeight="1">
      <c r="A118" s="6">
        <f>IFERROR(__xludf.DUMMYFUNCTION("""COMPUTED_VALUE"""),"The color of the light")</f>
        <v/>
      </c>
      <c r="B118" s="6">
        <f>IFERROR(__xludf.DUMMYFUNCTION("""COMPUTED_VALUE"""),"Resource")</f>
        <v/>
      </c>
      <c r="C118" s="6">
        <f>IFERROR(__xludf.DUMMYFUNCTION("""COMPUTED_VALUE"""),"Simply Color Mixing")</f>
        <v/>
      </c>
      <c r="D118" s="7">
        <f>IFERROR(__xludf.DUMMYFUNCTION("""COMPUTED_VALUE"""),"No task description")</f>
        <v/>
      </c>
      <c r="E118" s="7">
        <f>IFERROR(__xludf.DUMMYFUNCTION("""COMPUTED_VALUE"""),"youtube.com: A widely known video-sharing platform where users can watch videos on a vast array of topics, including educational content.")</f>
        <v/>
      </c>
      <c r="F118" s="7" t="n"/>
      <c r="G118" s="8" t="n">
        <v>1</v>
      </c>
      <c r="H118" s="8" t="n">
        <v>0</v>
      </c>
      <c r="I118" s="8" t="n">
        <v>0</v>
      </c>
      <c r="J118" s="8" t="n">
        <v>0</v>
      </c>
      <c r="K118" s="9" t="n">
        <v>1</v>
      </c>
      <c r="L118" s="9" t="n">
        <v>0</v>
      </c>
      <c r="M118" s="9" t="n">
        <v>0</v>
      </c>
      <c r="N118" s="9" t="n">
        <v>0</v>
      </c>
      <c r="O118" s="10" t="n">
        <v>0</v>
      </c>
      <c r="P118" s="10" t="n">
        <v>0</v>
      </c>
      <c r="Q118" s="10" t="n">
        <v>0</v>
      </c>
      <c r="R118" s="10" t="n">
        <v>0</v>
      </c>
      <c r="S118" s="10" t="n">
        <v>0</v>
      </c>
    </row>
    <row r="119" ht="409.5" customHeight="1">
      <c r="A119" s="6">
        <f>IFERROR(__xludf.DUMMYFUNCTION("""COMPUTED_VALUE"""),"The color of the light")</f>
        <v/>
      </c>
      <c r="B119" s="6">
        <f>IFERROR(__xludf.DUMMYFUNCTION("""COMPUTED_VALUE"""),"Resource")</f>
        <v/>
      </c>
      <c r="C119" s="6">
        <f>IFERROR(__xludf.DUMMYFUNCTION("""COMPUTED_VALUE"""),"After video.graasp")</f>
        <v/>
      </c>
      <c r="D119" s="7">
        <f>IFERROR(__xludf.DUMMYFUNCTION("""COMPUTED_VALUE"""),"&lt;p&gt;As you can see with 3 colors we can do a lot of combinations.&lt;/p&gt;Sight is one of the five senses, but:&lt;ul&gt;&lt;li&gt;Where does vision really start? Maybe you want to learn more about it on this link that explaines it: &lt;a href=""http://www.allaboutvision.com/"&amp;"conditions/eye-color.htm"" target=""_blank""&gt;Eye color&lt;/a&gt;&lt;/li&gt;&lt;li&gt;What is color? You can learn the basis about color on this link: &lt;a href=""http://www.devx.com/projectcool/Article/19954"" target=""_blank""&gt;Color is...&lt;/a&gt;&lt;/li&gt;&lt;li&gt;How many colors can we "&amp;"see and exist? Humans not can see all colors, on this link you can learn about it: &lt;a href=""http://hypertextbook.com/facts/2006/JenniferLeong.shtml"" target=""_blank""&gt;Number of colors in humans&lt;/a&gt;&lt;/li&gt;&lt;/ul&gt;&lt;p&gt;Now you can use the ""Input box below"" to "&amp;"write down as many elements as you can think of vision that might be related to those questions.&lt;/p&gt;")</f>
        <v/>
      </c>
      <c r="E119" s="7">
        <f>IFERROR(__xludf.DUMMYFUNCTION("""COMPUTED_VALUE"""),"No artifact embedded")</f>
        <v/>
      </c>
      <c r="F119" s="7" t="n"/>
      <c r="G119" s="8" t="n">
        <v>0</v>
      </c>
      <c r="H119" s="8" t="n">
        <v>0</v>
      </c>
      <c r="I119" s="8" t="n">
        <v>1</v>
      </c>
      <c r="J119" s="8" t="n">
        <v>0</v>
      </c>
      <c r="K119" s="9" t="n">
        <v>0</v>
      </c>
      <c r="L119" s="9" t="n">
        <v>1</v>
      </c>
      <c r="M119" s="9" t="n">
        <v>0</v>
      </c>
      <c r="N119" s="9" t="n">
        <v>0</v>
      </c>
      <c r="O119" s="10" t="n">
        <v>1</v>
      </c>
      <c r="P119" s="10" t="n">
        <v>0</v>
      </c>
      <c r="Q119" s="10" t="n">
        <v>0</v>
      </c>
      <c r="R119" s="10" t="n">
        <v>0</v>
      </c>
      <c r="S119" s="10" t="n">
        <v>0</v>
      </c>
    </row>
    <row r="120" ht="329" customHeight="1">
      <c r="A120" s="6">
        <f>IFERROR(__xludf.DUMMYFUNCTION("""COMPUTED_VALUE"""),"The color of the light")</f>
        <v/>
      </c>
      <c r="B120" s="6">
        <f>IFERROR(__xludf.DUMMYFUNCTION("""COMPUTED_VALUE"""),"Application")</f>
        <v/>
      </c>
      <c r="C120" s="6">
        <f>IFERROR(__xludf.DUMMYFUNCTION("""COMPUTED_VALUE"""),"Input Box")</f>
        <v/>
      </c>
      <c r="D120" s="7">
        <f>IFERROR(__xludf.DUMMYFUNCTION("""COMPUTED_VALUE"""),"No task description")</f>
        <v/>
      </c>
      <c r="E1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20" s="7" t="n"/>
      <c r="G120" s="8" t="n">
        <v>0</v>
      </c>
      <c r="H120" s="8" t="n">
        <v>0</v>
      </c>
      <c r="I120" s="8" t="n">
        <v>1</v>
      </c>
      <c r="J120" s="8" t="n">
        <v>0</v>
      </c>
      <c r="K120" s="9" t="n">
        <v>0</v>
      </c>
      <c r="L120" s="9" t="n">
        <v>1</v>
      </c>
      <c r="M120" s="9" t="n">
        <v>0</v>
      </c>
      <c r="N120" s="9" t="n">
        <v>0</v>
      </c>
      <c r="O120" s="10" t="n">
        <v>0</v>
      </c>
      <c r="P120" s="10" t="n">
        <v>0</v>
      </c>
      <c r="Q120" s="10" t="n">
        <v>0</v>
      </c>
      <c r="R120" s="10" t="n">
        <v>0</v>
      </c>
      <c r="S120" s="10" t="n">
        <v>0</v>
      </c>
    </row>
    <row r="121" ht="217" customHeight="1">
      <c r="A121" s="6">
        <f>IFERROR(__xludf.DUMMYFUNCTION("""COMPUTED_VALUE"""),"The color of the light")</f>
        <v/>
      </c>
      <c r="B121" s="6">
        <f>IFERROR(__xludf.DUMMYFUNCTION("""COMPUTED_VALUE"""),"Resource")</f>
        <v/>
      </c>
      <c r="C121" s="6">
        <f>IFERROR(__xludf.DUMMYFUNCTION("""COMPUTED_VALUE"""),"Concept map.graasp")</f>
        <v/>
      </c>
      <c r="D121" s="7">
        <f>IFERROR(__xludf.DUMMYFUNCTION("""COMPUTED_VALUE"""),"&lt;p&gt;If you are satisfied with the notes, then start making a concept map. Remember that two tools are independent. Look at the tips below to create your concept map. You can adjust the concept map later on, so don't worry if you forget to add something.&lt;/p"&amp;"&gt;")</f>
        <v/>
      </c>
      <c r="E121" s="7">
        <f>IFERROR(__xludf.DUMMYFUNCTION("""COMPUTED_VALUE"""),"No artifact embedded")</f>
        <v/>
      </c>
      <c r="F121" s="7" t="n"/>
      <c r="G121" s="8" t="n">
        <v>0</v>
      </c>
      <c r="H121" s="8" t="n">
        <v>0</v>
      </c>
      <c r="I121" s="8" t="n">
        <v>1</v>
      </c>
      <c r="J121" s="8" t="n">
        <v>0</v>
      </c>
      <c r="K121" s="9" t="n">
        <v>0</v>
      </c>
      <c r="L121" s="9" t="n">
        <v>1</v>
      </c>
      <c r="M121" s="9" t="n">
        <v>0</v>
      </c>
      <c r="N121" s="9" t="n">
        <v>0</v>
      </c>
      <c r="O121" s="10" t="n">
        <v>1</v>
      </c>
      <c r="P121" s="10" t="n">
        <v>1</v>
      </c>
      <c r="Q121" s="10" t="n">
        <v>0</v>
      </c>
      <c r="R121" s="10" t="n">
        <v>0</v>
      </c>
      <c r="S121" s="10" t="n">
        <v>0</v>
      </c>
    </row>
    <row r="122" ht="409.5" customHeight="1">
      <c r="A122" s="6">
        <f>IFERROR(__xludf.DUMMYFUNCTION("""COMPUTED_VALUE"""),"The color of the light")</f>
        <v/>
      </c>
      <c r="B122" s="6">
        <f>IFERROR(__xludf.DUMMYFUNCTION("""COMPUTED_VALUE"""),"Resource")</f>
        <v/>
      </c>
      <c r="C122" s="6">
        <f>IFERROR(__xludf.DUMMYFUNCTION("""COMPUTED_VALUE"""),"Tips concept map.graasp")</f>
        <v/>
      </c>
      <c r="D122" s="7">
        <f>IFERROR(__xludf.DUMMYFUNCTION("""COMPUTED_VALUE"""),"&lt;p&gt;A concept map is a visual representation of your thoughts, information and knowledge. A concept map contains concepts and relationships between these concepts that are visually represented by means of arrows and colours. This helps you organize informa"&amp;"tion and provides a structure that makes you come up with new ideas more easily.&lt;/p&gt;&lt;br&gt;Tips to create a concept map:&lt;br&gt;&lt;ul&gt;&lt;li&gt;Avoid linking everything to everything and focus on the main relations between concepts.&lt;/li&gt;&lt;li&gt;Also think of concepts that a"&amp;"re not related to each other.&lt;/li&gt;&lt;/ul&gt;")</f>
        <v/>
      </c>
      <c r="E122" s="7">
        <f>IFERROR(__xludf.DUMMYFUNCTION("""COMPUTED_VALUE"""),"No artifact embedded")</f>
        <v/>
      </c>
      <c r="F122" s="7" t="n"/>
      <c r="G122" s="8" t="n">
        <v>1</v>
      </c>
      <c r="H122" s="8" t="n">
        <v>0</v>
      </c>
      <c r="I122" s="8" t="n">
        <v>0</v>
      </c>
      <c r="J122" s="8" t="n">
        <v>0</v>
      </c>
      <c r="K122" s="9" t="n">
        <v>1</v>
      </c>
      <c r="L122" s="9" t="n">
        <v>0</v>
      </c>
      <c r="M122" s="9" t="n">
        <v>0</v>
      </c>
      <c r="N122" s="9" t="n">
        <v>0</v>
      </c>
      <c r="O122" s="10" t="n">
        <v>1</v>
      </c>
      <c r="P122" s="10" t="n">
        <v>0</v>
      </c>
      <c r="Q122" s="10" t="n">
        <v>0</v>
      </c>
      <c r="R122" s="10" t="n">
        <v>0</v>
      </c>
      <c r="S122" s="10" t="n">
        <v>0</v>
      </c>
    </row>
    <row r="123" ht="409.5" customHeight="1">
      <c r="A123" s="6">
        <f>IFERROR(__xludf.DUMMYFUNCTION("""COMPUTED_VALUE"""),"The color of the light")</f>
        <v/>
      </c>
      <c r="B123" s="6">
        <f>IFERROR(__xludf.DUMMYFUNCTION("""COMPUTED_VALUE"""),"Application")</f>
        <v/>
      </c>
      <c r="C123" s="6">
        <f>IFERROR(__xludf.DUMMYFUNCTION("""COMPUTED_VALUE"""),"Concept Map")</f>
        <v/>
      </c>
      <c r="D123" s="7">
        <f>IFERROR(__xludf.DUMMYFUNCTION("""COMPUTED_VALUE"""),"No task description")</f>
        <v/>
      </c>
      <c r="E123"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23" s="7" t="n"/>
      <c r="G123" s="8" t="n">
        <v>0</v>
      </c>
      <c r="H123" s="8" t="n">
        <v>0</v>
      </c>
      <c r="I123" s="8" t="n">
        <v>1</v>
      </c>
      <c r="J123" s="8" t="n">
        <v>0</v>
      </c>
      <c r="K123" s="9" t="n">
        <v>0</v>
      </c>
      <c r="L123" s="9" t="n">
        <v>1</v>
      </c>
      <c r="M123" s="9" t="n">
        <v>0</v>
      </c>
      <c r="N123" s="9" t="n">
        <v>0</v>
      </c>
      <c r="O123" s="10" t="n">
        <v>0</v>
      </c>
      <c r="P123" s="10" t="n">
        <v>1</v>
      </c>
      <c r="Q123" s="10" t="n">
        <v>0</v>
      </c>
      <c r="R123" s="10" t="n">
        <v>0</v>
      </c>
      <c r="S123" s="10" t="n">
        <v>0</v>
      </c>
    </row>
    <row r="124" ht="85" customHeight="1">
      <c r="A124" s="6">
        <f>IFERROR(__xludf.DUMMYFUNCTION("""COMPUTED_VALUE"""),"The color of the light")</f>
        <v/>
      </c>
      <c r="B124" s="6">
        <f>IFERROR(__xludf.DUMMYFUNCTION("""COMPUTED_VALUE"""),"Resource")</f>
        <v/>
      </c>
      <c r="C124" s="6">
        <f>IFERROR(__xludf.DUMMYFUNCTION("""COMPUTED_VALUE"""),"After CM.graasp")</f>
        <v/>
      </c>
      <c r="D124" s="7">
        <f>IFERROR(__xludf.DUMMYFUNCTION("""COMPUTED_VALUE"""),"&lt;p&gt;When you have finished the concept map you can go on to the Conceptualisation. To do this press the tab.&lt;br&gt;&lt;/p&gt;")</f>
        <v/>
      </c>
      <c r="E124" s="7">
        <f>IFERROR(__xludf.DUMMYFUNCTION("""COMPUTED_VALUE"""),"No artifact embedded")</f>
        <v/>
      </c>
      <c r="F124" s="7" t="n"/>
      <c r="G124" s="8" t="n">
        <v>0</v>
      </c>
      <c r="H124" s="8" t="n">
        <v>0</v>
      </c>
      <c r="I124" s="8" t="n">
        <v>0</v>
      </c>
      <c r="J124" s="8" t="n">
        <v>0</v>
      </c>
      <c r="K124" s="9" t="n">
        <v>0</v>
      </c>
      <c r="L124" s="9" t="n">
        <v>0</v>
      </c>
      <c r="M124" s="9" t="n">
        <v>0</v>
      </c>
      <c r="N124" s="9" t="n">
        <v>0</v>
      </c>
      <c r="O124" s="10" t="n">
        <v>0</v>
      </c>
      <c r="P124" s="10" t="n">
        <v>0</v>
      </c>
      <c r="Q124" s="10" t="n">
        <v>0</v>
      </c>
      <c r="R124" s="10" t="n">
        <v>0</v>
      </c>
      <c r="S124" s="10" t="n">
        <v>0</v>
      </c>
    </row>
    <row r="125" ht="25" customHeight="1">
      <c r="A125" s="6">
        <f>IFERROR(__xludf.DUMMYFUNCTION("""COMPUTED_VALUE"""),"The color of the light")</f>
        <v/>
      </c>
      <c r="B125" s="6">
        <f>IFERROR(__xludf.DUMMYFUNCTION("""COMPUTED_VALUE"""),"Space")</f>
        <v/>
      </c>
      <c r="C125" s="6">
        <f>IFERROR(__xludf.DUMMYFUNCTION("""COMPUTED_VALUE"""),"Conceptualisation")</f>
        <v/>
      </c>
      <c r="D125" s="7">
        <f>IFERROR(__xludf.DUMMYFUNCTION("""COMPUTED_VALUE"""),"No task description")</f>
        <v/>
      </c>
      <c r="E125" s="7">
        <f>IFERROR(__xludf.DUMMYFUNCTION("""COMPUTED_VALUE"""),"No artifact embedded")</f>
        <v/>
      </c>
      <c r="F125" s="7" t="n"/>
      <c r="G125" s="8" t="n">
        <v>0</v>
      </c>
      <c r="H125" s="8" t="n">
        <v>0</v>
      </c>
      <c r="I125" s="8" t="n">
        <v>0</v>
      </c>
      <c r="J125" s="8" t="n">
        <v>0</v>
      </c>
      <c r="K125" s="9" t="n">
        <v>0</v>
      </c>
      <c r="L125" s="9" t="n">
        <v>0</v>
      </c>
      <c r="M125" s="9" t="n">
        <v>0</v>
      </c>
      <c r="N125" s="9" t="n">
        <v>0</v>
      </c>
      <c r="O125" s="10" t="n">
        <v>0</v>
      </c>
      <c r="P125" s="10" t="n">
        <v>0</v>
      </c>
      <c r="Q125" s="10" t="n">
        <v>0</v>
      </c>
      <c r="R125" s="10" t="n">
        <v>0</v>
      </c>
      <c r="S125" s="10" t="n">
        <v>0</v>
      </c>
    </row>
    <row r="126" ht="409.5" customHeight="1">
      <c r="A126" s="6">
        <f>IFERROR(__xludf.DUMMYFUNCTION("""COMPUTED_VALUE"""),"The color of the light")</f>
        <v/>
      </c>
      <c r="B126" s="6">
        <f>IFERROR(__xludf.DUMMYFUNCTION("""COMPUTED_VALUE"""),"Resource")</f>
        <v/>
      </c>
      <c r="C126" s="6">
        <f>IFERROR(__xludf.DUMMYFUNCTION("""COMPUTED_VALUE"""),"Intro.graasp")</f>
        <v/>
      </c>
      <c r="D126" s="7">
        <f>IFERROR(__xludf.DUMMYFUNCTION("""COMPUTED_VALUE"""),"&lt;p&gt;&lt;strong&gt;The Physics of Color: How are we able to see things?&lt;/strong&gt;&lt;/p&gt;&lt;p&gt;""Color is the visual effect that is caused by the spectral composition of the light emitted, transmitted, or reflected by objects.""&lt;/p&gt;&lt;p&gt;&lt;br&gt;&lt;strong&gt;1. The Formation of Huma"&amp;"n Vision:&lt;/strong&gt;&lt;br&gt;Color originates in light. Sunlight, as we perceive it, is colorless. The rainbow is testimony to the fact that all the colors of the spectrum are present in white light. As illustrated in the picture below, light goes from the sourc"&amp;"e (the sun) to the object (the orange), and finally to the detector: the eye and brain (See the figure ""How the eye sees"" below).&lt;/p&gt;")</f>
        <v/>
      </c>
      <c r="E126" s="7">
        <f>IFERROR(__xludf.DUMMYFUNCTION("""COMPUTED_VALUE"""),"No artifact embedded")</f>
        <v/>
      </c>
      <c r="F126" s="7" t="n"/>
      <c r="G126" s="8" t="n">
        <v>1</v>
      </c>
      <c r="H126" s="8" t="n">
        <v>0</v>
      </c>
      <c r="I126" s="8" t="n">
        <v>0</v>
      </c>
      <c r="J126" s="8" t="n">
        <v>0</v>
      </c>
      <c r="K126" s="9" t="n">
        <v>1</v>
      </c>
      <c r="L126" s="9" t="n">
        <v>0</v>
      </c>
      <c r="M126" s="9" t="n">
        <v>0</v>
      </c>
      <c r="N126" s="9" t="n">
        <v>0</v>
      </c>
      <c r="O126" s="10" t="n">
        <v>1</v>
      </c>
      <c r="P126" s="10" t="n">
        <v>0</v>
      </c>
      <c r="Q126" s="10" t="n">
        <v>0</v>
      </c>
      <c r="R126" s="10" t="n">
        <v>0</v>
      </c>
      <c r="S126" s="10" t="n">
        <v>0</v>
      </c>
    </row>
    <row r="127" ht="121" customHeight="1">
      <c r="A127" s="6">
        <f>IFERROR(__xludf.DUMMYFUNCTION("""COMPUTED_VALUE"""),"The color of the light")</f>
        <v/>
      </c>
      <c r="B127" s="6">
        <f>IFERROR(__xludf.DUMMYFUNCTION("""COMPUTED_VALUE"""),"Resource")</f>
        <v/>
      </c>
      <c r="C127" s="6">
        <f>IFERROR(__xludf.DUMMYFUNCTION("""COMPUTED_VALUE"""),"How the eye sees.jpg")</f>
        <v/>
      </c>
      <c r="D127" s="7">
        <f>IFERROR(__xludf.DUMMYFUNCTION("""COMPUTED_VALUE"""),"----___---__--_--~ Downioad from f' E 3174ug45 Dreamstime.com ,..mm HE [3 Peter Hermes PM N Dreamsvme mm")</f>
        <v/>
      </c>
      <c r="E127" s="7">
        <f>IFERROR(__xludf.DUMMYFUNCTION("""COMPUTED_VALUE"""),"image/jpeg – A digital photograph or web image stored in a compressed format, often used for photography and web graphics.")</f>
        <v/>
      </c>
      <c r="F127" s="7" t="n"/>
      <c r="G127" s="8" t="n">
        <v>1</v>
      </c>
      <c r="H127" s="8" t="n">
        <v>0</v>
      </c>
      <c r="I127" s="8" t="n">
        <v>0</v>
      </c>
      <c r="J127" s="8" t="n">
        <v>0</v>
      </c>
      <c r="K127" s="9" t="n">
        <v>1</v>
      </c>
      <c r="L127" s="9" t="n">
        <v>0</v>
      </c>
      <c r="M127" s="9" t="n">
        <v>0</v>
      </c>
      <c r="N127" s="9" t="n">
        <v>0</v>
      </c>
      <c r="O127" s="10" t="n">
        <v>0</v>
      </c>
      <c r="P127" s="10" t="n">
        <v>0</v>
      </c>
      <c r="Q127" s="10" t="n">
        <v>0</v>
      </c>
      <c r="R127" s="10" t="n">
        <v>0</v>
      </c>
      <c r="S127" s="10" t="n">
        <v>0</v>
      </c>
    </row>
    <row r="128" ht="409.5" customHeight="1">
      <c r="A128" s="6">
        <f>IFERROR(__xludf.DUMMYFUNCTION("""COMPUTED_VALUE"""),"The color of the light")</f>
        <v/>
      </c>
      <c r="B128" s="6">
        <f>IFERROR(__xludf.DUMMYFUNCTION("""COMPUTED_VALUE"""),"Resource")</f>
        <v/>
      </c>
      <c r="C128" s="6">
        <f>IFERROR(__xludf.DUMMYFUNCTION("""COMPUTED_VALUE"""),"Second text block.graasp")</f>
        <v/>
      </c>
      <c r="D128" s="7">
        <f>IFERROR(__xludf.DUMMYFUNCTION("""COMPUTED_VALUE"""),"&lt;p&gt;What is the mechanism that causes the light passing through the optic nerve is shown in our brain as sharp image? The human eye is an organ that reacts to light and has several purposes. As a conscious sense organ, the mammalian eye allows vision. The "&amp;"human eye can distinguish about 10 million colors. &lt;/p&gt;&lt;p&gt;The eyes and a camera share a lot in common. If you want to learn more you can view how the eye works in the following video: &lt;a href=""http://www.healthline.com/vpvideo/vision"" target=""_blank""&gt;"&amp;"http://www.healthline.com/vpvideo/vision&lt;/a&gt;&lt;br&gt;&lt;br&gt;&lt;/p&gt;&lt;p&gt;&lt;strong&gt;2. The Physics of Color:&lt;/strong&gt;&lt;br&gt;How is it possible that people can see some colors and not others?&lt;br&gt;Electromagnetic radiation is characterized by its wavelength (or frequency) and i"&amp;"ts intensity. When the wavelength is within the visible spectrum (the range of wavelengths humans can perceive, approximately from 390 nm to 700 nm), it is known as ""visible light"".&lt;br&gt;Most light sources emit light at many different wavelengths; a sourc"&amp;"e's spectrum is a distribution giving its intensity at each wavelength.&lt;br&gt;Why we can see a combination of colors?.&lt;br&gt;When the wavelength is within the visible spectrum (the range of wavelengths humans can perceive, approximately from 390 nm to 700 nm), "&amp;"it is known as ""visible light"". These combinations offer different colors.&lt;/p&gt;&lt;p&gt;&lt;br&gt;&lt;strong&gt;3. Primary colors:&lt;/strong&gt;&lt;br&gt;Here we will answer the previous questions. What are the primary colors and how their combination can generate other colors, are "&amp;"there different types of combinations?&lt;br&gt;Primary colors (or primary colours) are sets of colors that can be combined to make a useful range of colors. For human applications, three primary colors are usually used, since human color vision is trichromatic"&amp;". For additive combination of colors, as in overlapping projected lights or in CRTdisplays, the primary colors normally used are red, green, and blue. For subtractive combination of colors, as in mixing of pigments or dyes, such as in printing, the primar"&amp;"ies normally used are cyan, magenta, and yellow, though the set of red, yellow, blue is popular among artists (see RGB color model, CMYK color model, and RYB color model for more on these popular sets of primary colors).&lt;br&gt;Any particular choice for a giv"&amp;"en set of primary colors is derived from the spectral sensitivity of each of the human cone photoreceptors; three colors that fall within each of the sensitivity ranges of each of the human cone cells are red, green, and blue. Other sets of colors can be "&amp;"used, though not all will well approximate the full range of color perception. For example, an early color photographic process, autochrome, typically used orange, green, and violet primaries. However, unless negative amounts of a color are allowed the ga"&amp;"mut will be restricted by the choice of primaries. The combination of any two primary colors creates a secondary color (See the primary colors figure below).&lt;/p&gt;")</f>
        <v/>
      </c>
      <c r="E128" s="7">
        <f>IFERROR(__xludf.DUMMYFUNCTION("""COMPUTED_VALUE"""),"No artifact embedded")</f>
        <v/>
      </c>
      <c r="F128" s="7" t="n"/>
      <c r="G128" s="8" t="n">
        <v>1</v>
      </c>
      <c r="H128" s="8" t="n">
        <v>0</v>
      </c>
      <c r="I128" s="8" t="n">
        <v>0</v>
      </c>
      <c r="J128" s="8" t="n">
        <v>0</v>
      </c>
      <c r="K128" s="9" t="n">
        <v>1</v>
      </c>
      <c r="L128" s="9" t="n">
        <v>0</v>
      </c>
      <c r="M128" s="9" t="n">
        <v>0</v>
      </c>
      <c r="N128" s="9" t="n">
        <v>0</v>
      </c>
      <c r="O128" s="10" t="n">
        <v>1</v>
      </c>
      <c r="P128" s="10" t="n">
        <v>0</v>
      </c>
      <c r="Q128" s="10" t="n">
        <v>0</v>
      </c>
      <c r="R128" s="10" t="n">
        <v>0</v>
      </c>
      <c r="S128" s="10" t="n">
        <v>0</v>
      </c>
    </row>
    <row r="129" ht="97" customHeight="1">
      <c r="A129" s="6">
        <f>IFERROR(__xludf.DUMMYFUNCTION("""COMPUTED_VALUE"""),"The color of the light")</f>
        <v/>
      </c>
      <c r="B129" s="6">
        <f>IFERROR(__xludf.DUMMYFUNCTION("""COMPUTED_VALUE"""),"Resource")</f>
        <v/>
      </c>
      <c r="C129" s="6">
        <f>IFERROR(__xludf.DUMMYFUNCTION("""COMPUTED_VALUE"""),"The primary colors.png")</f>
        <v/>
      </c>
      <c r="D129" s="7">
        <f>IFERROR(__xludf.DUMMYFUNCTION("""COMPUTED_VALUE"""),"No task description")</f>
        <v/>
      </c>
      <c r="E129" s="7">
        <f>IFERROR(__xludf.DUMMYFUNCTION("""COMPUTED_VALUE"""),"image/png – A high-quality image with support for transparency, often used in design and web applications.")</f>
        <v/>
      </c>
      <c r="F129" s="7" t="n"/>
      <c r="G129" s="8" t="n">
        <v>1</v>
      </c>
      <c r="H129" s="8" t="n">
        <v>0</v>
      </c>
      <c r="I129" s="8" t="n">
        <v>0</v>
      </c>
      <c r="J129" s="8" t="n">
        <v>0</v>
      </c>
      <c r="K129" s="9" t="n">
        <v>1</v>
      </c>
      <c r="L129" s="9" t="n">
        <v>0</v>
      </c>
      <c r="M129" s="9" t="n">
        <v>0</v>
      </c>
      <c r="N129" s="9" t="n">
        <v>0</v>
      </c>
      <c r="O129" s="10" t="n">
        <v>0</v>
      </c>
      <c r="P129" s="10" t="n">
        <v>0</v>
      </c>
      <c r="Q129" s="10" t="n">
        <v>0</v>
      </c>
      <c r="R129" s="10" t="n">
        <v>0</v>
      </c>
      <c r="S129" s="10" t="n">
        <v>0</v>
      </c>
    </row>
    <row r="130" ht="241" customHeight="1">
      <c r="A130" s="6">
        <f>IFERROR(__xludf.DUMMYFUNCTION("""COMPUTED_VALUE"""),"The color of the light")</f>
        <v/>
      </c>
      <c r="B130" s="6">
        <f>IFERROR(__xludf.DUMMYFUNCTION("""COMPUTED_VALUE"""),"Resource")</f>
        <v/>
      </c>
      <c r="C130" s="6">
        <f>IFERROR(__xludf.DUMMYFUNCTION("""COMPUTED_VALUE"""),"Third text block.graasp")</f>
        <v/>
      </c>
      <c r="D130" s="7">
        <f>IFERROR(__xludf.DUMMYFUNCTION("""COMPUTED_VALUE"""),"&lt;p&gt;Look at your notes and your concept map from the orientation phase. Formulate a research question that includes red, green, blue or an interaction between these, and the term ""combine"". Use the questioning scratchpad to formulate your research questi"&amp;"on.&lt;/p&gt;")</f>
        <v/>
      </c>
      <c r="E130" s="7">
        <f>IFERROR(__xludf.DUMMYFUNCTION("""COMPUTED_VALUE"""),"No artifact embedded")</f>
        <v/>
      </c>
      <c r="F130" s="7" t="n"/>
      <c r="G130" s="8" t="n">
        <v>0</v>
      </c>
      <c r="H130" s="8" t="n">
        <v>0</v>
      </c>
      <c r="I130" s="8" t="n">
        <v>1</v>
      </c>
      <c r="J130" s="8" t="n">
        <v>0</v>
      </c>
      <c r="K130" s="9" t="n">
        <v>0</v>
      </c>
      <c r="L130" s="9" t="n">
        <v>1</v>
      </c>
      <c r="M130" s="9" t="n">
        <v>0</v>
      </c>
      <c r="N130" s="9" t="n">
        <v>0</v>
      </c>
      <c r="O130" s="10" t="n">
        <v>0</v>
      </c>
      <c r="P130" s="10" t="n">
        <v>1</v>
      </c>
      <c r="Q130" s="10" t="n">
        <v>0</v>
      </c>
      <c r="R130" s="10" t="n">
        <v>0</v>
      </c>
      <c r="S130" s="10" t="n">
        <v>0</v>
      </c>
    </row>
    <row r="131" ht="409.5" customHeight="1">
      <c r="A131" s="6">
        <f>IFERROR(__xludf.DUMMYFUNCTION("""COMPUTED_VALUE"""),"The color of the light")</f>
        <v/>
      </c>
      <c r="B131" s="6">
        <f>IFERROR(__xludf.DUMMYFUNCTION("""COMPUTED_VALUE"""),"Application")</f>
        <v/>
      </c>
      <c r="C131" s="6">
        <f>IFERROR(__xludf.DUMMYFUNCTION("""COMPUTED_VALUE"""),"Questioning Scratchpad")</f>
        <v/>
      </c>
      <c r="D131" s="7">
        <f>IFERROR(__xludf.DUMMYFUNCTION("""COMPUTED_VALUE"""),"No task description")</f>
        <v/>
      </c>
      <c r="E131"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131" s="7" t="n"/>
      <c r="G131" s="8" t="n">
        <v>0</v>
      </c>
      <c r="H131" s="8" t="n">
        <v>0</v>
      </c>
      <c r="I131" s="8" t="n">
        <v>1</v>
      </c>
      <c r="J131" s="8" t="n">
        <v>0</v>
      </c>
      <c r="K131" s="9" t="n">
        <v>0</v>
      </c>
      <c r="L131" s="9" t="n">
        <v>1</v>
      </c>
      <c r="M131" s="9" t="n">
        <v>0</v>
      </c>
      <c r="N131" s="9" t="n">
        <v>0</v>
      </c>
      <c r="O131" s="10" t="n">
        <v>0</v>
      </c>
      <c r="P131" s="10" t="n">
        <v>1</v>
      </c>
      <c r="Q131" s="10" t="n">
        <v>0</v>
      </c>
      <c r="R131" s="10" t="n">
        <v>0</v>
      </c>
      <c r="S131" s="10" t="n">
        <v>0</v>
      </c>
    </row>
    <row r="132" ht="409.5" customHeight="1">
      <c r="A132" s="6">
        <f>IFERROR(__xludf.DUMMYFUNCTION("""COMPUTED_VALUE"""),"The color of the light")</f>
        <v/>
      </c>
      <c r="B132" s="6">
        <f>IFERROR(__xludf.DUMMYFUNCTION("""COMPUTED_VALUE"""),"Space")</f>
        <v/>
      </c>
      <c r="C132" s="6">
        <f>IFERROR(__xludf.DUMMYFUNCTION("""COMPUTED_VALUE"""),"Investigation")</f>
        <v/>
      </c>
      <c r="D132" s="7">
        <f>IFERROR(__xludf.DUMMYFUNCTION("""COMPUTED_VALUE"""),"&lt;p&gt;&lt;strong&gt;Representation of Colors:&lt;/strong&gt;&lt;/p&gt;&lt;p&gt;How the colors are shown in the real world, in digital format, on a TV, on a canvas, on paper, etc.? A color model is an abstract mathematical model describing the way colors can be represented as tuples"&amp;" of numbers, typically as three or four values or color components. When this model is associated with a precise description of how the components are to be interpreted (viewing conditions, etc.), the resulting set of colors is called a color space. In th"&amp;"is phase you are going to perform experiments with two different labs. In experiment 1 you use a virtual laboratoy and in experiment 2 (which is below) you use a real remote laboratory.&lt;br&gt;&lt;strong&gt;&lt;br&gt;&lt;/strong&gt;&lt;/p&gt;&lt;p&gt;&lt;strong&gt;Experiment 1:&lt;/strong&gt;&lt;br&gt;You "&amp;"want to answer your research question. For this, you will conduct an experiment. Have a look at the Mixing colors virtual laboratory below. You can move the sliders to combine primary colors and see the final color combination.&lt;/p&gt;&lt;p&gt;Record your observati"&amp;"ons in the tool below the lab. Press + to add an observation.&lt;/p&gt;")</f>
        <v/>
      </c>
      <c r="E132" s="7">
        <f>IFERROR(__xludf.DUMMYFUNCTION("""COMPUTED_VALUE"""),"No artifact embedded")</f>
        <v/>
      </c>
      <c r="F132" s="7" t="n"/>
      <c r="G132" s="8" t="n">
        <v>0</v>
      </c>
      <c r="H132" s="8" t="n">
        <v>0</v>
      </c>
      <c r="I132" s="8" t="n">
        <v>1</v>
      </c>
      <c r="J132" s="8" t="n">
        <v>0</v>
      </c>
      <c r="K132" s="9" t="n">
        <v>0</v>
      </c>
      <c r="L132" s="9" t="n">
        <v>1</v>
      </c>
      <c r="M132" s="9" t="n">
        <v>0</v>
      </c>
      <c r="N132" s="9" t="n">
        <v>0</v>
      </c>
      <c r="O132" s="10" t="n">
        <v>1</v>
      </c>
      <c r="P132" s="10" t="n">
        <v>0</v>
      </c>
      <c r="Q132" s="10" t="n">
        <v>1</v>
      </c>
      <c r="R132" s="10" t="n">
        <v>0</v>
      </c>
      <c r="S132" s="10" t="n">
        <v>0</v>
      </c>
    </row>
    <row r="133" ht="409.5" customHeight="1">
      <c r="A133" s="6">
        <f>IFERROR(__xludf.DUMMYFUNCTION("""COMPUTED_VALUE"""),"The color of the light")</f>
        <v/>
      </c>
      <c r="B133" s="6">
        <f>IFERROR(__xludf.DUMMYFUNCTION("""COMPUTED_VALUE"""),"Resource")</f>
        <v/>
      </c>
      <c r="C133" s="6">
        <f>IFERROR(__xludf.DUMMYFUNCTION("""COMPUTED_VALUE"""),"Hints.graasp")</f>
        <v/>
      </c>
      <c r="D133" s="7">
        <f>IFERROR(__xludf.DUMMYFUNCTION("""COMPUTED_VALUE"""),"&lt;p&gt;&lt;strong&gt;Tips for Research&lt;/strong&gt;&lt;/p&gt;&lt;ul&gt;&lt;li&gt;Research question: A research question is a question you find interesting to try to answer by conducting research.&lt;/li&gt;&lt;li&gt;Experiment: An experiment is a scientific test in which you perform a series of act"&amp;"ions and carefully observe their effects in order to learn about something (http://www.merriam-webster.com/dictionary/experime...).&lt;/li&gt;&lt;li&gt;RGB LED laboratory ""The color of the light"": In this laboratory there is a lamp that you can turn on and off, and"&amp;" send three different colors mixed to observe the final result.&lt;/li&gt;&lt;/ul&gt;&lt;br&gt;&lt;strong&gt;Tips to set up an experiment:&lt;/strong&gt;&lt;br&gt;&lt;ul&gt;&lt;li&gt;Design experiments to test given theories.&lt;/li&gt;&lt;li&gt;Keep experiments plain and simple.&lt;/li&gt;&lt;li&gt;Vary one thing at a time. "&amp;"Keep in mind that some concepts are made up of multiple concepts (e.g. speed = distance/time).&lt;/li&gt;&lt;li&gt;Keep general settings the same across experiments.&lt;/li&gt;&lt;li&gt;Make use of simple values&lt;/li&gt;&lt;li&gt;Make use of extreme values&lt;/li&gt;&lt;/ul&gt;")</f>
        <v/>
      </c>
      <c r="E133" s="7">
        <f>IFERROR(__xludf.DUMMYFUNCTION("""COMPUTED_VALUE"""),"No artifact embedded")</f>
        <v/>
      </c>
      <c r="F133" s="7" t="n"/>
      <c r="G133" s="8" t="n">
        <v>1</v>
      </c>
      <c r="H133" s="8" t="n">
        <v>0</v>
      </c>
      <c r="I133" s="8" t="n">
        <v>0</v>
      </c>
      <c r="J133" s="8" t="n">
        <v>0</v>
      </c>
      <c r="K133" s="9" t="n">
        <v>1</v>
      </c>
      <c r="L133" s="9" t="n">
        <v>0</v>
      </c>
      <c r="M133" s="9" t="n">
        <v>0</v>
      </c>
      <c r="N133" s="9" t="n">
        <v>0</v>
      </c>
      <c r="O133" s="10" t="n">
        <v>1</v>
      </c>
      <c r="P133" s="10" t="n">
        <v>0</v>
      </c>
      <c r="Q133" s="10" t="n">
        <v>0</v>
      </c>
      <c r="R133" s="10" t="n">
        <v>0</v>
      </c>
      <c r="S133" s="10" t="n">
        <v>0</v>
      </c>
    </row>
    <row r="134" ht="109" customHeight="1">
      <c r="A134" s="6">
        <f>IFERROR(__xludf.DUMMYFUNCTION("""COMPUTED_VALUE"""),"The color of the light")</f>
        <v/>
      </c>
      <c r="B134" s="6">
        <f>IFERROR(__xludf.DUMMYFUNCTION("""COMPUTED_VALUE"""),"Resource")</f>
        <v/>
      </c>
      <c r="C134" s="6">
        <f>IFERROR(__xludf.DUMMYFUNCTION("""COMPUTED_VALUE"""),"Mixing Colors.swf")</f>
        <v/>
      </c>
      <c r="D134" s="7">
        <f>IFERROR(__xludf.DUMMYFUNCTION("""COMPUTED_VALUE"""),"No task description")</f>
        <v/>
      </c>
      <c r="E134" s="7">
        <f>IFERROR(__xludf.DUMMYFUNCTION("""COMPUTED_VALUE"""),"application/x-shockwave-flash – An interactive Flash animation or application, formerly used for web games and media (now deprecated).")</f>
        <v/>
      </c>
      <c r="F134" s="7" t="n"/>
      <c r="G134" s="8" t="n">
        <v>0</v>
      </c>
      <c r="H134" s="8" t="n">
        <v>0</v>
      </c>
      <c r="I134" s="8" t="n">
        <v>0</v>
      </c>
      <c r="J134" s="8" t="n">
        <v>0</v>
      </c>
      <c r="K134" s="9" t="n">
        <v>0</v>
      </c>
      <c r="L134" s="9" t="n">
        <v>0</v>
      </c>
      <c r="M134" s="9" t="n">
        <v>0</v>
      </c>
      <c r="N134" s="9" t="n">
        <v>0</v>
      </c>
      <c r="O134" s="10" t="n">
        <v>0</v>
      </c>
      <c r="P134" s="10" t="n">
        <v>0</v>
      </c>
      <c r="Q134" s="10" t="n">
        <v>0</v>
      </c>
      <c r="R134" s="10" t="n">
        <v>0</v>
      </c>
      <c r="S134" s="10" t="n">
        <v>0</v>
      </c>
    </row>
    <row r="135" ht="395" customHeight="1">
      <c r="A135" s="6">
        <f>IFERROR(__xludf.DUMMYFUNCTION("""COMPUTED_VALUE"""),"The color of the light")</f>
        <v/>
      </c>
      <c r="B135" s="6">
        <f>IFERROR(__xludf.DUMMYFUNCTION("""COMPUTED_VALUE"""),"Application")</f>
        <v/>
      </c>
      <c r="C135" s="6">
        <f>IFERROR(__xludf.DUMMYFUNCTION("""COMPUTED_VALUE"""),"Observation Tool")</f>
        <v/>
      </c>
      <c r="D135" s="7">
        <f>IFERROR(__xludf.DUMMYFUNCTION("""COMPUTED_VALUE"""),"No task description")</f>
        <v/>
      </c>
      <c r="E13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135" s="7" t="n"/>
      <c r="G135" s="8" t="n">
        <v>0</v>
      </c>
      <c r="H135" s="8" t="n">
        <v>0</v>
      </c>
      <c r="I135" s="8" t="n">
        <v>1</v>
      </c>
      <c r="J135" s="8" t="n">
        <v>0</v>
      </c>
      <c r="K135" s="9" t="n">
        <v>0</v>
      </c>
      <c r="L135" s="9" t="n">
        <v>1</v>
      </c>
      <c r="M135" s="9" t="n">
        <v>0</v>
      </c>
      <c r="N135" s="9" t="n">
        <v>0</v>
      </c>
      <c r="O135" s="10" t="n">
        <v>0</v>
      </c>
      <c r="P135" s="10" t="n">
        <v>0</v>
      </c>
      <c r="Q135" s="10" t="n">
        <v>1</v>
      </c>
      <c r="R135" s="10" t="n">
        <v>0</v>
      </c>
      <c r="S135" s="10" t="n">
        <v>0</v>
      </c>
    </row>
    <row r="136" ht="409.5" customHeight="1">
      <c r="A136" s="6">
        <f>IFERROR(__xludf.DUMMYFUNCTION("""COMPUTED_VALUE"""),"The color of the light")</f>
        <v/>
      </c>
      <c r="B136" s="6">
        <f>IFERROR(__xludf.DUMMYFUNCTION("""COMPUTED_VALUE"""),"Application")</f>
        <v/>
      </c>
      <c r="C136" s="6">
        <f>IFERROR(__xludf.DUMMYFUNCTION("""COMPUTED_VALUE"""),"The color of the light Laboratory")</f>
        <v/>
      </c>
      <c r="D136" s="7">
        <f>IFERROR(__xludf.DUMMYFUNCTION("""COMPUTED_VALUE"""),"&lt;p&gt;&lt;strong&gt;Experiment 2:&lt;/strong&gt;&lt;/p&gt;&lt;p&gt;In the RGB LED real laboratory ""The color of the light"" you can adjust three different values, send them to the physical and real (not virtual) device and see what happens. What can you find out if you move the sl"&amp;"iders? In making the choices, does the order matter? If you change the three colors at the same time you cannot tell what caused the result.&lt;br&gt;&lt;br&gt;&lt;/p&gt;")</f>
        <v/>
      </c>
      <c r="E136" s="7">
        <f>IFERROR(__xludf.DUMMYFUNCTION("""COMPUTED_VALUE"""),"Golabz app/lab: ""&lt;p&gt;You will see that there is a difference between reality and theory.&lt;/p&gt;\r\n\r\n&lt;ul&gt;\r\n\t&lt;li&gt;Use this difference to investigate and find out what is the reason that light around us show colors that we perceive differently in reality.&lt;"&amp;"/li&gt;\r\n\t&lt;li&gt;Use the three sliders (red, green and blue) to select your color combination.&lt;/li&gt;\r\n\t&lt;li&gt;Then send the new values to the RGB led and compare the real result with the virtual color square below the sliders.&lt;/li&gt;\r\n\t&lt;li&gt;Each slider contro"&amp;"ls one of the three primary colors. Move each of them to get the desired color combination.&lt;/li&gt;\r\n\t&lt;li&gt;Once obtained it comparing the color of the bulb with digital color that it is displayed in the laboratory.&lt;/li&gt;\r\n&lt;/ul&gt;\r\n\r\n&lt;p&gt;You can help your"&amp;"self with the ILS created for this lab:&amp;nbsp;http://www.golabz.eu/spaces/color-light.&lt;/p&gt;\r\n\r\n&lt;p&gt;Show to students how light and colors work on real life and how are they preceived.&lt;/p&gt;\r\n""")</f>
        <v/>
      </c>
      <c r="F136" s="7" t="n"/>
      <c r="G136" s="8" t="n">
        <v>0</v>
      </c>
      <c r="H136" s="8" t="n">
        <v>1</v>
      </c>
      <c r="I136" s="8" t="n">
        <v>0</v>
      </c>
      <c r="J136" s="8" t="n">
        <v>0</v>
      </c>
      <c r="K136" s="9" t="n">
        <v>1</v>
      </c>
      <c r="L136" s="9" t="n">
        <v>0</v>
      </c>
      <c r="M136" s="9" t="n">
        <v>0</v>
      </c>
      <c r="N136" s="9" t="n">
        <v>0</v>
      </c>
      <c r="O136" s="10" t="n">
        <v>0</v>
      </c>
      <c r="P136" s="10" t="n">
        <v>0</v>
      </c>
      <c r="Q136" s="10" t="n">
        <v>1</v>
      </c>
      <c r="R136" s="10" t="n">
        <v>0</v>
      </c>
      <c r="S136" s="10" t="n">
        <v>0</v>
      </c>
    </row>
    <row r="137" ht="241" customHeight="1">
      <c r="A137" s="6">
        <f>IFERROR(__xludf.DUMMYFUNCTION("""COMPUTED_VALUE"""),"The color of the light")</f>
        <v/>
      </c>
      <c r="B137" s="6">
        <f>IFERROR(__xludf.DUMMYFUNCTION("""COMPUTED_VALUE"""),"Resource")</f>
        <v/>
      </c>
      <c r="C137" s="6">
        <f>IFERROR(__xludf.DUMMYFUNCTION("""COMPUTED_VALUE"""),"End.graasp")</f>
        <v/>
      </c>
      <c r="D137" s="7">
        <f>IFERROR(__xludf.DUMMYFUNCTION("""COMPUTED_VALUE"""),"&lt;p&gt;Once you have tried different combinations, open your notes and answer as detailed as possible the following questions:&lt;/p&gt;&lt;ul&gt;&lt;li&gt;What is the result of mixing the three primary colors?&lt;/li&gt;&lt;li&gt;And blue with yellow?&lt;/li&gt;&lt;li&gt;Which one reflects more ligh"&amp;"t?&lt;/li&gt;&lt;/ul&gt;")</f>
        <v/>
      </c>
      <c r="E137" s="7">
        <f>IFERROR(__xludf.DUMMYFUNCTION("""COMPUTED_VALUE"""),"No artifact embedded")</f>
        <v/>
      </c>
      <c r="F137" s="7" t="n"/>
      <c r="G137" s="8" t="n">
        <v>0</v>
      </c>
      <c r="H137" s="8" t="n">
        <v>0</v>
      </c>
      <c r="I137" s="8" t="n">
        <v>1</v>
      </c>
      <c r="J137" s="8" t="n">
        <v>0</v>
      </c>
      <c r="K137" s="9" t="n">
        <v>0</v>
      </c>
      <c r="L137" s="9" t="n">
        <v>1</v>
      </c>
      <c r="M137" s="9" t="n">
        <v>0</v>
      </c>
      <c r="N137" s="9" t="n">
        <v>0</v>
      </c>
      <c r="O137" s="10" t="n">
        <v>0</v>
      </c>
      <c r="P137" s="10" t="n">
        <v>0</v>
      </c>
      <c r="Q137" s="10" t="n">
        <v>0</v>
      </c>
      <c r="R137" s="10" t="n">
        <v>1</v>
      </c>
      <c r="S137" s="10" t="n">
        <v>0</v>
      </c>
    </row>
    <row r="138" ht="329" customHeight="1">
      <c r="A138" s="6">
        <f>IFERROR(__xludf.DUMMYFUNCTION("""COMPUTED_VALUE"""),"The color of the light")</f>
        <v/>
      </c>
      <c r="B138" s="6">
        <f>IFERROR(__xludf.DUMMYFUNCTION("""COMPUTED_VALUE"""),"Application")</f>
        <v/>
      </c>
      <c r="C138" s="6">
        <f>IFERROR(__xludf.DUMMYFUNCTION("""COMPUTED_VALUE"""),"Input Box")</f>
        <v/>
      </c>
      <c r="D138" s="7">
        <f>IFERROR(__xludf.DUMMYFUNCTION("""COMPUTED_VALUE"""),"No task description")</f>
        <v/>
      </c>
      <c r="E1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38" s="7" t="n"/>
      <c r="G138" s="8" t="n">
        <v>0</v>
      </c>
      <c r="H138" s="8" t="n">
        <v>0</v>
      </c>
      <c r="I138" s="8" t="n">
        <v>1</v>
      </c>
      <c r="J138" s="8" t="n">
        <v>0</v>
      </c>
      <c r="K138" s="9" t="n">
        <v>0</v>
      </c>
      <c r="L138" s="9" t="n">
        <v>1</v>
      </c>
      <c r="M138" s="9" t="n">
        <v>0</v>
      </c>
      <c r="N138" s="9" t="n">
        <v>0</v>
      </c>
      <c r="O138" s="10" t="n">
        <v>0</v>
      </c>
      <c r="P138" s="10" t="n">
        <v>0</v>
      </c>
      <c r="Q138" s="10" t="n">
        <v>0</v>
      </c>
      <c r="R138" s="10" t="n">
        <v>0</v>
      </c>
      <c r="S138" s="10" t="n">
        <v>0</v>
      </c>
    </row>
    <row r="139" ht="296" customHeight="1">
      <c r="A139" s="6">
        <f>IFERROR(__xludf.DUMMYFUNCTION("""COMPUTED_VALUE"""),"The color of the light")</f>
        <v/>
      </c>
      <c r="B139" s="6">
        <f>IFERROR(__xludf.DUMMYFUNCTION("""COMPUTED_VALUE"""),"Space")</f>
        <v/>
      </c>
      <c r="C139" s="6">
        <f>IFERROR(__xludf.DUMMYFUNCTION("""COMPUTED_VALUE"""),"Conclusion")</f>
        <v/>
      </c>
      <c r="D139" s="7">
        <f>IFERROR(__xludf.DUMMYFUNCTION("""COMPUTED_VALUE"""),"&lt;p&gt;You managed to complete the activity and you conducted experiments to answer ""Do I understand the way colors works?"". Can you answer your research question with the results you obtained? You can use the conclusion tool below to have a look at your re"&amp;"search question and on the observations that you recorded during the experiments.&lt;/p&gt;")</f>
        <v/>
      </c>
      <c r="E139" s="7">
        <f>IFERROR(__xludf.DUMMYFUNCTION("""COMPUTED_VALUE"""),"No artifact embedded")</f>
        <v/>
      </c>
      <c r="F139" s="7" t="n"/>
      <c r="G139" s="8" t="n">
        <v>0</v>
      </c>
      <c r="H139" s="8" t="n">
        <v>0</v>
      </c>
      <c r="I139" s="8" t="n">
        <v>1</v>
      </c>
      <c r="J139" s="8" t="n">
        <v>0</v>
      </c>
      <c r="K139" s="9" t="n">
        <v>0</v>
      </c>
      <c r="L139" s="9" t="n">
        <v>1</v>
      </c>
      <c r="M139" s="9" t="n">
        <v>0</v>
      </c>
      <c r="N139" s="9" t="n">
        <v>0</v>
      </c>
      <c r="O139" s="10" t="n">
        <v>0</v>
      </c>
      <c r="P139" s="10" t="n">
        <v>0</v>
      </c>
      <c r="Q139" s="10" t="n">
        <v>0</v>
      </c>
      <c r="R139" s="10" t="n">
        <v>1</v>
      </c>
      <c r="S139" s="10" t="n">
        <v>0</v>
      </c>
    </row>
    <row r="140" ht="409.5" customHeight="1">
      <c r="A140" s="6">
        <f>IFERROR(__xludf.DUMMYFUNCTION("""COMPUTED_VALUE"""),"The color of the light")</f>
        <v/>
      </c>
      <c r="B140" s="6">
        <f>IFERROR(__xludf.DUMMYFUNCTION("""COMPUTED_VALUE"""),"Resource")</f>
        <v/>
      </c>
      <c r="C140" s="6">
        <f>IFERROR(__xludf.DUMMYFUNCTION("""COMPUTED_VALUE"""),"Hints.graasp")</f>
        <v/>
      </c>
      <c r="D140" s="7">
        <f>IFERROR(__xludf.DUMMYFUNCTION("""COMPUTED_VALUE"""),"&lt;p&gt;Tips for Writing a ConclusionExperiment: &lt;/p&gt;&lt;ul&gt;&lt;li&gt;An experiment is a scientific test in which you perform a series of actions and carefully observe their effects in order to learn about something (&lt;a href=""http://www.merriam-webster.com/dictionary/"&amp;"experime...).Research"" target=""_blank""&gt;http://www.merriam-webster.com/dictionary/experime...&lt;/a&gt; &lt;/li&gt;&lt;li&gt;A research question is a question you find interesting to try to answer by conducting research.&lt;/li&gt;&lt;li&gt;Conclusion tool: The conclusion tool is a "&amp;"tool to help you draw conclusions regarding your research question based on the results you obtained.&lt;/li&gt;&lt;li&gt;Conclusions: Your conclusions summarize how your results answer your original research question (http://www.sciencebuddies.org/science-fair-proje"&amp;"ct...).&lt;/li&gt;&lt;/ul&gt;")</f>
        <v/>
      </c>
      <c r="E140" s="7">
        <f>IFERROR(__xludf.DUMMYFUNCTION("""COMPUTED_VALUE"""),"No artifact embedded")</f>
        <v/>
      </c>
      <c r="F140" s="7" t="n"/>
      <c r="G140" s="8" t="n">
        <v>1</v>
      </c>
      <c r="H140" s="8" t="n">
        <v>0</v>
      </c>
      <c r="I140" s="8" t="n">
        <v>0</v>
      </c>
      <c r="J140" s="8" t="n">
        <v>0</v>
      </c>
      <c r="K140" s="9" t="n">
        <v>1</v>
      </c>
      <c r="L140" s="9" t="n">
        <v>0</v>
      </c>
      <c r="M140" s="9" t="n">
        <v>0</v>
      </c>
      <c r="N140" s="9" t="n">
        <v>0</v>
      </c>
      <c r="O140" s="10" t="n">
        <v>1</v>
      </c>
      <c r="P140" s="10" t="n">
        <v>0</v>
      </c>
      <c r="Q140" s="10" t="n">
        <v>0</v>
      </c>
      <c r="R140" s="10" t="n">
        <v>0</v>
      </c>
      <c r="S140" s="10" t="n">
        <v>0</v>
      </c>
    </row>
    <row r="141" ht="409.5" customHeight="1">
      <c r="A141" s="6">
        <f>IFERROR(__xludf.DUMMYFUNCTION("""COMPUTED_VALUE"""),"The color of the light")</f>
        <v/>
      </c>
      <c r="B141" s="6">
        <f>IFERROR(__xludf.DUMMYFUNCTION("""COMPUTED_VALUE"""),"Application")</f>
        <v/>
      </c>
      <c r="C141" s="6">
        <f>IFERROR(__xludf.DUMMYFUNCTION("""COMPUTED_VALUE"""),"Conclusion Tool")</f>
        <v/>
      </c>
      <c r="D141" s="7">
        <f>IFERROR(__xludf.DUMMYFUNCTION("""COMPUTED_VALUE"""),"No task description")</f>
        <v/>
      </c>
      <c r="E14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141" s="7" t="n"/>
      <c r="G141" s="8" t="n">
        <v>0</v>
      </c>
      <c r="H141" s="8" t="n">
        <v>0</v>
      </c>
      <c r="I141" s="8" t="n">
        <v>1</v>
      </c>
      <c r="J141" s="8" t="n">
        <v>0</v>
      </c>
      <c r="K141" s="9" t="n">
        <v>0</v>
      </c>
      <c r="L141" s="9" t="n">
        <v>1</v>
      </c>
      <c r="M141" s="9" t="n">
        <v>0</v>
      </c>
      <c r="N141" s="9" t="n">
        <v>0</v>
      </c>
      <c r="O141" s="10" t="n">
        <v>0</v>
      </c>
      <c r="P141" s="10" t="n">
        <v>0</v>
      </c>
      <c r="Q141" s="10" t="n">
        <v>0</v>
      </c>
      <c r="R141" s="10" t="n">
        <v>1</v>
      </c>
      <c r="S141" s="10" t="n">
        <v>0</v>
      </c>
    </row>
    <row r="142" ht="409.5" customHeight="1">
      <c r="A142" s="6">
        <f>IFERROR(__xludf.DUMMYFUNCTION("""COMPUTED_VALUE"""),"The color of the light")</f>
        <v/>
      </c>
      <c r="B142" s="6">
        <f>IFERROR(__xludf.DUMMYFUNCTION("""COMPUTED_VALUE"""),"Resource")</f>
        <v/>
      </c>
      <c r="C142" s="6">
        <f>IFERROR(__xludf.DUMMYFUNCTION("""COMPUTED_VALUE"""),"Text block after conclusion.graasp")</f>
        <v/>
      </c>
      <c r="D142" s="7">
        <f>IFERROR(__xludf.DUMMYFUNCTION("""COMPUTED_VALUE"""),"&lt;p&gt;If you cannot answer your research question, ask yourself the following questions:&lt;/p&gt;&lt;ul&gt;&lt;li&gt;Did your research question contain one thing you observed/measured and one thing that influenced this?&lt;/li&gt;&lt;li&gt;Could you answer your research question within "&amp;"the LED RGB laboratory with the objects and equipment available?&lt;/li&gt;&lt;li&gt;Did you design your experiment in such a way that you could answer your research question?&lt;/li&gt;&lt;li&gt;Do you think it is possible to answer your research question if you checked other c"&amp;"ombinations?&lt;/li&gt;&lt;/ul&gt;When this is not the case, ask your teacher for help.")</f>
        <v/>
      </c>
      <c r="E142" s="7">
        <f>IFERROR(__xludf.DUMMYFUNCTION("""COMPUTED_VALUE"""),"No artifact embedded")</f>
        <v/>
      </c>
      <c r="F142" s="7" t="n"/>
      <c r="G142" s="8" t="n">
        <v>1</v>
      </c>
      <c r="H142" s="8" t="n">
        <v>0</v>
      </c>
      <c r="I142" s="8" t="n">
        <v>0</v>
      </c>
      <c r="J142" s="8" t="n">
        <v>0</v>
      </c>
      <c r="K142" s="9" t="n">
        <v>1</v>
      </c>
      <c r="L142" s="9" t="n">
        <v>0</v>
      </c>
      <c r="M142" s="9" t="n">
        <v>0</v>
      </c>
      <c r="N142" s="9" t="n">
        <v>0</v>
      </c>
      <c r="O142" s="10" t="n">
        <v>0</v>
      </c>
      <c r="P142" s="10" t="n">
        <v>0</v>
      </c>
      <c r="Q142" s="10" t="n">
        <v>0</v>
      </c>
      <c r="R142" s="10" t="n">
        <v>0</v>
      </c>
      <c r="S142" s="10" t="n">
        <v>1</v>
      </c>
    </row>
    <row r="143" ht="25" customHeight="1">
      <c r="A143" s="6">
        <f>IFERROR(__xludf.DUMMYFUNCTION("""COMPUTED_VALUE"""),"The color of the light")</f>
        <v/>
      </c>
      <c r="B143" s="6">
        <f>IFERROR(__xludf.DUMMYFUNCTION("""COMPUTED_VALUE"""),"Space")</f>
        <v/>
      </c>
      <c r="C143" s="6">
        <f>IFERROR(__xludf.DUMMYFUNCTION("""COMPUTED_VALUE"""),"Discussion")</f>
        <v/>
      </c>
      <c r="D143" s="7">
        <f>IFERROR(__xludf.DUMMYFUNCTION("""COMPUTED_VALUE"""),"No task description")</f>
        <v/>
      </c>
      <c r="E143" s="7">
        <f>IFERROR(__xludf.DUMMYFUNCTION("""COMPUTED_VALUE"""),"No artifact embedded")</f>
        <v/>
      </c>
      <c r="F143" s="7" t="n"/>
      <c r="G143" s="8" t="n">
        <v>0</v>
      </c>
      <c r="H143" s="8" t="n">
        <v>0</v>
      </c>
      <c r="I143" s="8" t="n">
        <v>0</v>
      </c>
      <c r="J143" s="8" t="n">
        <v>0</v>
      </c>
      <c r="K143" s="9" t="n">
        <v>0</v>
      </c>
      <c r="L143" s="9" t="n">
        <v>0</v>
      </c>
      <c r="M143" s="9" t="n">
        <v>0</v>
      </c>
      <c r="N143" s="9" t="n">
        <v>0</v>
      </c>
      <c r="O143" s="10" t="n">
        <v>0</v>
      </c>
      <c r="P143" s="10" t="n">
        <v>0</v>
      </c>
      <c r="Q143" s="10" t="n">
        <v>0</v>
      </c>
      <c r="R143" s="10" t="n">
        <v>0</v>
      </c>
      <c r="S143" s="10" t="n">
        <v>0</v>
      </c>
    </row>
    <row r="144" ht="409.5" customHeight="1">
      <c r="A144" s="6">
        <f>IFERROR(__xludf.DUMMYFUNCTION("""COMPUTED_VALUE"""),"The color of the light")</f>
        <v/>
      </c>
      <c r="B144" s="6">
        <f>IFERROR(__xludf.DUMMYFUNCTION("""COMPUTED_VALUE"""),"Resource")</f>
        <v/>
      </c>
      <c r="C144" s="6">
        <f>IFERROR(__xludf.DUMMYFUNCTION("""COMPUTED_VALUE"""),"Intro.graasp")</f>
        <v/>
      </c>
      <c r="D144" s="7">
        <f>IFERROR(__xludf.DUMMYFUNCTION("""COMPUTED_VALUE"""),"&lt;p&gt;Well done, you completed the activity and you learned about colors and human vision by conducting an experiment. Now it is time to compare the results of your experiment with what you learned in the orientation phase. &lt;/p&gt;You watched the video('s) of t"&amp;"he colors. What have you learned from this? Also look at your notes and concept map. Is this the same as what you found with your experiment?  If yes:&lt;ul&gt;&lt;li&gt;What can you say about the topic of human vision?&lt;/li&gt;&lt;li&gt;What did you do to find those results?&lt;"&amp;"/li&gt;&lt;li&gt;Would you do something differently if you could do your experiment again?&lt;/li&gt;&lt;li&gt;If yes, what would you have done differently?&lt;/li&gt;&lt;li&gt;If no, why not?&lt;/li&gt;&lt;li&gt;Is there still something you need/want to find out about this topic that you did not in"&amp;"vestigate, and what?&lt;/li&gt;&lt;/ul&gt;If no:&lt;ul&gt;&lt;li&gt;How are your results different from what you learned in the orientation phase?&lt;/li&gt;&lt;li&gt;What do you think caused this?&lt;/li&gt;&lt;li&gt;Would you do something differently if you could do your experiment again?&lt;/li&gt;&lt;li&gt;If "&amp;"yes, what would you have done differently?&lt;/li&gt;&lt;li&gt;If no, why not?&lt;/li&gt;&lt;/ul&gt;Write down your answers in the Input Box below.")</f>
        <v/>
      </c>
      <c r="E144" s="7">
        <f>IFERROR(__xludf.DUMMYFUNCTION("""COMPUTED_VALUE"""),"No artifact embedded")</f>
        <v/>
      </c>
      <c r="F144" s="7" t="n"/>
      <c r="G144" s="8" t="n">
        <v>0</v>
      </c>
      <c r="H144" s="8" t="n">
        <v>0</v>
      </c>
      <c r="I144" s="8" t="n">
        <v>1</v>
      </c>
      <c r="J144" s="8" t="n">
        <v>0</v>
      </c>
      <c r="K144" s="9" t="n">
        <v>0</v>
      </c>
      <c r="L144" s="9" t="n">
        <v>1</v>
      </c>
      <c r="M144" s="9" t="n">
        <v>0</v>
      </c>
      <c r="N144" s="9" t="n">
        <v>0</v>
      </c>
      <c r="O144" s="10" t="n">
        <v>0</v>
      </c>
      <c r="P144" s="10" t="n">
        <v>0</v>
      </c>
      <c r="Q144" s="10" t="n">
        <v>0</v>
      </c>
      <c r="R144" s="10" t="n">
        <v>0</v>
      </c>
      <c r="S144" s="10" t="n">
        <v>1</v>
      </c>
    </row>
    <row r="145" ht="329" customHeight="1">
      <c r="A145" s="6">
        <f>IFERROR(__xludf.DUMMYFUNCTION("""COMPUTED_VALUE"""),"The color of the light")</f>
        <v/>
      </c>
      <c r="B145" s="6">
        <f>IFERROR(__xludf.DUMMYFUNCTION("""COMPUTED_VALUE"""),"Application")</f>
        <v/>
      </c>
      <c r="C145" s="6">
        <f>IFERROR(__xludf.DUMMYFUNCTION("""COMPUTED_VALUE"""),"Input Box")</f>
        <v/>
      </c>
      <c r="D145" s="7">
        <f>IFERROR(__xludf.DUMMYFUNCTION("""COMPUTED_VALUE"""),"No task description")</f>
        <v/>
      </c>
      <c r="E1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45" s="7" t="n"/>
      <c r="G145" s="8" t="n">
        <v>0</v>
      </c>
      <c r="H145" s="8" t="n">
        <v>0</v>
      </c>
      <c r="I145" s="8" t="n">
        <v>1</v>
      </c>
      <c r="J145" s="8" t="n">
        <v>0</v>
      </c>
      <c r="K145" s="9" t="n">
        <v>0</v>
      </c>
      <c r="L145" s="9" t="n">
        <v>1</v>
      </c>
      <c r="M145" s="9" t="n">
        <v>0</v>
      </c>
      <c r="N145" s="9" t="n">
        <v>0</v>
      </c>
      <c r="O145" s="10" t="n">
        <v>0</v>
      </c>
      <c r="P145" s="10" t="n">
        <v>0</v>
      </c>
      <c r="Q145" s="10" t="n">
        <v>0</v>
      </c>
      <c r="R145" s="10" t="n">
        <v>0</v>
      </c>
      <c r="S145" s="10" t="n">
        <v>0</v>
      </c>
    </row>
    <row r="146" ht="193" customHeight="1">
      <c r="A146" s="6">
        <f>IFERROR(__xludf.DUMMYFUNCTION("""COMPUTED_VALUE"""),"The color of the light")</f>
        <v/>
      </c>
      <c r="B146" s="6">
        <f>IFERROR(__xludf.DUMMYFUNCTION("""COMPUTED_VALUE"""),"Resource")</f>
        <v/>
      </c>
      <c r="C146" s="6">
        <f>IFERROR(__xludf.DUMMYFUNCTION("""COMPUTED_VALUE"""),"Report.graasp")</f>
        <v/>
      </c>
      <c r="D146" s="7">
        <f>IFERROR(__xludf.DUMMYFUNCTION("""COMPUTED_VALUE"""),"&lt;p&gt;Well done! You conducted a real science experiment and learned about the science behind colors. You have followed all the steps a scientist would take. Save your work, including all the steps you took in the report, and celebrate your success.&lt;/p&gt;")</f>
        <v/>
      </c>
      <c r="E146" s="7">
        <f>IFERROR(__xludf.DUMMYFUNCTION("""COMPUTED_VALUE"""),"No artifact embedded")</f>
        <v/>
      </c>
      <c r="F146" s="7" t="n"/>
      <c r="G146" s="8" t="n">
        <v>0</v>
      </c>
      <c r="H146" s="8" t="n">
        <v>0</v>
      </c>
      <c r="I146" s="8" t="n">
        <v>1</v>
      </c>
      <c r="J146" s="8" t="n">
        <v>0</v>
      </c>
      <c r="K146" s="9" t="n">
        <v>0</v>
      </c>
      <c r="L146" s="9" t="n">
        <v>1</v>
      </c>
      <c r="M146" s="9" t="n">
        <v>0</v>
      </c>
      <c r="N146" s="9" t="n">
        <v>0</v>
      </c>
      <c r="O146" s="10" t="n">
        <v>0</v>
      </c>
      <c r="P146" s="10" t="n">
        <v>0</v>
      </c>
      <c r="Q146" s="10" t="n">
        <v>0</v>
      </c>
      <c r="R146" s="10" t="n">
        <v>0</v>
      </c>
      <c r="S146" s="10" t="n">
        <v>1</v>
      </c>
    </row>
    <row r="147" ht="409.5" customHeight="1">
      <c r="A147" s="6">
        <f>IFERROR(__xludf.DUMMYFUNCTION("""COMPUTED_VALUE"""),"The color of the light")</f>
        <v/>
      </c>
      <c r="B147" s="6">
        <f>IFERROR(__xludf.DUMMYFUNCTION("""COMPUTED_VALUE"""),"Application")</f>
        <v/>
      </c>
      <c r="C147" s="6">
        <f>IFERROR(__xludf.DUMMYFUNCTION("""COMPUTED_VALUE"""),"Report tool")</f>
        <v/>
      </c>
      <c r="D147" s="7">
        <f>IFERROR(__xludf.DUMMYFUNCTION("""COMPUTED_VALUE"""),"No task description")</f>
        <v/>
      </c>
      <c r="E147"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147" s="7" t="n"/>
      <c r="G147" s="8" t="n">
        <v>0</v>
      </c>
      <c r="H147" s="8" t="n">
        <v>0</v>
      </c>
      <c r="I147" s="8" t="n">
        <v>1</v>
      </c>
      <c r="J147" s="8" t="n">
        <v>0</v>
      </c>
      <c r="K147" s="9" t="n">
        <v>0</v>
      </c>
      <c r="L147" s="9" t="n">
        <v>1</v>
      </c>
      <c r="M147" s="9" t="n">
        <v>0</v>
      </c>
      <c r="N147" s="9" t="n">
        <v>0</v>
      </c>
      <c r="O147" s="10" t="n">
        <v>0</v>
      </c>
      <c r="P147" s="10" t="n">
        <v>0</v>
      </c>
      <c r="Q147" s="10" t="n">
        <v>0</v>
      </c>
      <c r="R147" s="10" t="n">
        <v>0</v>
      </c>
      <c r="S147" s="10" t="n">
        <v>1</v>
      </c>
    </row>
    <row r="148" ht="25" customHeight="1">
      <c r="A148" s="6">
        <f>IFERROR(__xludf.DUMMYFUNCTION("""COMPUTED_VALUE"""),"Refraction of light 2")</f>
        <v/>
      </c>
      <c r="B148" s="6">
        <f>IFERROR(__xludf.DUMMYFUNCTION("""COMPUTED_VALUE"""),"Space")</f>
        <v/>
      </c>
      <c r="C148" s="6">
        <f>IFERROR(__xludf.DUMMYFUNCTION("""COMPUTED_VALUE"""),"A rainbow")</f>
        <v/>
      </c>
      <c r="D148" s="7">
        <f>IFERROR(__xludf.DUMMYFUNCTION("""COMPUTED_VALUE"""),"No task description")</f>
        <v/>
      </c>
      <c r="E148" s="7">
        <f>IFERROR(__xludf.DUMMYFUNCTION("""COMPUTED_VALUE"""),"No artifact embedded")</f>
        <v/>
      </c>
      <c r="F148" s="7" t="n"/>
      <c r="G148" s="8" t="n">
        <v>0</v>
      </c>
      <c r="H148" s="8" t="n">
        <v>0</v>
      </c>
      <c r="I148" s="8" t="n">
        <v>0</v>
      </c>
      <c r="J148" s="8" t="n">
        <v>0</v>
      </c>
      <c r="K148" s="9" t="n">
        <v>0</v>
      </c>
      <c r="L148" s="9" t="n">
        <v>0</v>
      </c>
      <c r="M148" s="9" t="n">
        <v>0</v>
      </c>
      <c r="N148" s="9" t="n">
        <v>0</v>
      </c>
      <c r="O148" s="10" t="n">
        <v>0</v>
      </c>
      <c r="P148" s="10" t="n">
        <v>0</v>
      </c>
      <c r="Q148" s="10" t="n">
        <v>0</v>
      </c>
      <c r="R148" s="10" t="n">
        <v>0</v>
      </c>
      <c r="S148" s="10" t="n">
        <v>0</v>
      </c>
    </row>
    <row r="149" ht="121" customHeight="1">
      <c r="A149" s="6">
        <f>IFERROR(__xludf.DUMMYFUNCTION("""COMPUTED_VALUE"""),"Refraction of light 2")</f>
        <v/>
      </c>
      <c r="B149" s="6">
        <f>IFERROR(__xludf.DUMMYFUNCTION("""COMPUTED_VALUE"""),"Resource")</f>
        <v/>
      </c>
      <c r="C149" s="6">
        <f>IFERROR(__xludf.DUMMYFUNCTION("""COMPUTED_VALUE"""),"rainbow.jpg")</f>
        <v/>
      </c>
      <c r="D149" s="7">
        <f>IFERROR(__xludf.DUMMYFUNCTION("""COMPUTED_VALUE"""),"No task description")</f>
        <v/>
      </c>
      <c r="E149" s="7">
        <f>IFERROR(__xludf.DUMMYFUNCTION("""COMPUTED_VALUE"""),"image/jpeg – A digital photograph or web image stored in a compressed format, often used for photography and web graphics.")</f>
        <v/>
      </c>
      <c r="F149" s="7" t="n"/>
      <c r="G149" s="8" t="n">
        <v>0</v>
      </c>
      <c r="H149" s="8" t="n">
        <v>0</v>
      </c>
      <c r="I149" s="8" t="n">
        <v>0</v>
      </c>
      <c r="J149" s="8" t="n">
        <v>0</v>
      </c>
      <c r="K149" s="9" t="n">
        <v>0</v>
      </c>
      <c r="L149" s="9" t="n">
        <v>0</v>
      </c>
      <c r="M149" s="9" t="n">
        <v>0</v>
      </c>
      <c r="N149" s="9" t="n">
        <v>0</v>
      </c>
      <c r="O149" s="10" t="n">
        <v>0</v>
      </c>
      <c r="P149" s="10" t="n">
        <v>0</v>
      </c>
      <c r="Q149" s="10" t="n">
        <v>0</v>
      </c>
      <c r="R149" s="10" t="n">
        <v>0</v>
      </c>
      <c r="S149" s="10" t="n">
        <v>0</v>
      </c>
    </row>
    <row r="150" ht="61" customHeight="1">
      <c r="A150" s="6">
        <f>IFERROR(__xludf.DUMMYFUNCTION("""COMPUTED_VALUE"""),"Refraction of light 2")</f>
        <v/>
      </c>
      <c r="B150" s="6">
        <f>IFERROR(__xludf.DUMMYFUNCTION("""COMPUTED_VALUE"""),"Resource")</f>
        <v/>
      </c>
      <c r="C150" s="6">
        <f>IFERROR(__xludf.DUMMYFUNCTION("""COMPUTED_VALUE"""),"Question.graasp")</f>
        <v/>
      </c>
      <c r="D150" s="7">
        <f>IFERROR(__xludf.DUMMYFUNCTION("""COMPUTED_VALUE"""),"&lt;p&gt;Sometimes you can see a rainbow in the sky. When does this happen?&lt;/p&gt;")</f>
        <v/>
      </c>
      <c r="E150" s="7">
        <f>IFERROR(__xludf.DUMMYFUNCTION("""COMPUTED_VALUE"""),"No artifact embedded")</f>
        <v/>
      </c>
      <c r="F150" s="7" t="n"/>
      <c r="G150" s="8" t="n">
        <v>1</v>
      </c>
      <c r="H150" s="8" t="n">
        <v>0</v>
      </c>
      <c r="I150" s="8" t="n">
        <v>0</v>
      </c>
      <c r="J150" s="8" t="n">
        <v>0</v>
      </c>
      <c r="K150" s="9" t="n">
        <v>1</v>
      </c>
      <c r="L150" s="9" t="n">
        <v>0</v>
      </c>
      <c r="M150" s="9" t="n">
        <v>0</v>
      </c>
      <c r="N150" s="9" t="n">
        <v>0</v>
      </c>
      <c r="O150" s="10" t="n">
        <v>1</v>
      </c>
      <c r="P150" s="10" t="n">
        <v>0</v>
      </c>
      <c r="Q150" s="10" t="n">
        <v>0</v>
      </c>
      <c r="R150" s="10" t="n">
        <v>0</v>
      </c>
      <c r="S150" s="10" t="n">
        <v>0</v>
      </c>
    </row>
    <row r="151" ht="329" customHeight="1">
      <c r="A151" s="6">
        <f>IFERROR(__xludf.DUMMYFUNCTION("""COMPUTED_VALUE"""),"Refraction of light 2")</f>
        <v/>
      </c>
      <c r="B151" s="6">
        <f>IFERROR(__xludf.DUMMYFUNCTION("""COMPUTED_VALUE"""),"Application")</f>
        <v/>
      </c>
      <c r="C151" s="6">
        <f>IFERROR(__xludf.DUMMYFUNCTION("""COMPUTED_VALUE"""),"Input Box")</f>
        <v/>
      </c>
      <c r="D151" s="7">
        <f>IFERROR(__xludf.DUMMYFUNCTION("""COMPUTED_VALUE"""),"No task description")</f>
        <v/>
      </c>
      <c r="E1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1" s="7" t="n"/>
      <c r="G151" s="8" t="n">
        <v>0</v>
      </c>
      <c r="H151" s="8" t="n">
        <v>0</v>
      </c>
      <c r="I151" s="8" t="n">
        <v>1</v>
      </c>
      <c r="J151" s="8" t="n">
        <v>0</v>
      </c>
      <c r="K151" s="9" t="n">
        <v>0</v>
      </c>
      <c r="L151" s="9" t="n">
        <v>1</v>
      </c>
      <c r="M151" s="9" t="n">
        <v>0</v>
      </c>
      <c r="N151" s="9" t="n">
        <v>0</v>
      </c>
      <c r="O151" s="10" t="n">
        <v>0</v>
      </c>
      <c r="P151" s="10" t="n">
        <v>0</v>
      </c>
      <c r="Q151" s="10" t="n">
        <v>0</v>
      </c>
      <c r="R151" s="10" t="n">
        <v>0</v>
      </c>
      <c r="S151" s="10" t="n">
        <v>0</v>
      </c>
    </row>
    <row r="152" ht="49" customHeight="1">
      <c r="A152" s="6">
        <f>IFERROR(__xludf.DUMMYFUNCTION("""COMPUTED_VALUE"""),"Refraction of light 2")</f>
        <v/>
      </c>
      <c r="B152" s="6">
        <f>IFERROR(__xludf.DUMMYFUNCTION("""COMPUTED_VALUE"""),"Resource")</f>
        <v/>
      </c>
      <c r="C152" s="6">
        <f>IFERROR(__xludf.DUMMYFUNCTION("""COMPUTED_VALUE"""),"Question2.graasp")</f>
        <v/>
      </c>
      <c r="D152" s="7">
        <f>IFERROR(__xludf.DUMMYFUNCTION("""COMPUTED_VALUE"""),"&lt;p&gt;What could cause that you can see a rainbow?&lt;/p&gt;")</f>
        <v/>
      </c>
      <c r="E152" s="7">
        <f>IFERROR(__xludf.DUMMYFUNCTION("""COMPUTED_VALUE"""),"No artifact embedded")</f>
        <v/>
      </c>
      <c r="F152" s="7" t="n"/>
      <c r="G152" s="8" t="n">
        <v>1</v>
      </c>
      <c r="H152" s="8" t="n">
        <v>0</v>
      </c>
      <c r="I152" s="8" t="n">
        <v>0</v>
      </c>
      <c r="J152" s="8" t="n">
        <v>0</v>
      </c>
      <c r="K152" s="9" t="n">
        <v>1</v>
      </c>
      <c r="L152" s="9" t="n">
        <v>0</v>
      </c>
      <c r="M152" s="9" t="n">
        <v>0</v>
      </c>
      <c r="N152" s="9" t="n">
        <v>0</v>
      </c>
      <c r="O152" s="10" t="n">
        <v>1</v>
      </c>
      <c r="P152" s="10" t="n">
        <v>0</v>
      </c>
      <c r="Q152" s="10" t="n">
        <v>0</v>
      </c>
      <c r="R152" s="10" t="n">
        <v>0</v>
      </c>
      <c r="S152" s="10" t="n">
        <v>0</v>
      </c>
    </row>
    <row r="153" ht="329" customHeight="1">
      <c r="A153" s="6">
        <f>IFERROR(__xludf.DUMMYFUNCTION("""COMPUTED_VALUE"""),"Refraction of light 2")</f>
        <v/>
      </c>
      <c r="B153" s="6">
        <f>IFERROR(__xludf.DUMMYFUNCTION("""COMPUTED_VALUE"""),"Application")</f>
        <v/>
      </c>
      <c r="C153" s="6">
        <f>IFERROR(__xludf.DUMMYFUNCTION("""COMPUTED_VALUE"""),"Input Box (1)")</f>
        <v/>
      </c>
      <c r="D153" s="7">
        <f>IFERROR(__xludf.DUMMYFUNCTION("""COMPUTED_VALUE"""),"No task description")</f>
        <v/>
      </c>
      <c r="E1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3" s="7" t="n"/>
      <c r="G153" s="8" t="n">
        <v>0</v>
      </c>
      <c r="H153" s="8" t="n">
        <v>0</v>
      </c>
      <c r="I153" s="8" t="n">
        <v>1</v>
      </c>
      <c r="J153" s="8" t="n">
        <v>0</v>
      </c>
      <c r="K153" s="9" t="n">
        <v>0</v>
      </c>
      <c r="L153" s="9" t="n">
        <v>1</v>
      </c>
      <c r="M153" s="9" t="n">
        <v>0</v>
      </c>
      <c r="N153" s="9" t="n">
        <v>0</v>
      </c>
      <c r="O153" s="10" t="n">
        <v>0</v>
      </c>
      <c r="P153" s="10" t="n">
        <v>0</v>
      </c>
      <c r="Q153" s="10" t="n">
        <v>0</v>
      </c>
      <c r="R153" s="10" t="n">
        <v>0</v>
      </c>
      <c r="S153" s="10" t="n">
        <v>0</v>
      </c>
    </row>
    <row r="154" ht="121" customHeight="1">
      <c r="A154" s="6">
        <f>IFERROR(__xludf.DUMMYFUNCTION("""COMPUTED_VALUE"""),"Refraction of light 2")</f>
        <v/>
      </c>
      <c r="B154" s="6">
        <f>IFERROR(__xludf.DUMMYFUNCTION("""COMPUTED_VALUE"""),"Resource")</f>
        <v/>
      </c>
      <c r="C154" s="6">
        <f>IFERROR(__xludf.DUMMYFUNCTION("""COMPUTED_VALUE"""),"This lesson.graasp")</f>
        <v/>
      </c>
      <c r="D154" s="7">
        <f>IFERROR(__xludf.DUMMYFUNCTION("""COMPUTED_VALUE"""),"&lt;p&gt;In this lesson you will discover more about this. You will find out whether your thoughts are correct. Press  ""The colour of light"" to go on.&lt;br&gt;&lt;/p&gt;")</f>
        <v/>
      </c>
      <c r="E154" s="7">
        <f>IFERROR(__xludf.DUMMYFUNCTION("""COMPUTED_VALUE"""),"No artifact embedded")</f>
        <v/>
      </c>
      <c r="F154" s="7" t="n"/>
      <c r="G154" s="8" t="n">
        <v>0</v>
      </c>
      <c r="H154" s="8" t="n">
        <v>0</v>
      </c>
      <c r="I154" s="8" t="n">
        <v>0</v>
      </c>
      <c r="J154" s="8" t="n">
        <v>0</v>
      </c>
      <c r="K154" s="9" t="n">
        <v>0</v>
      </c>
      <c r="L154" s="9" t="n">
        <v>0</v>
      </c>
      <c r="M154" s="9" t="n">
        <v>0</v>
      </c>
      <c r="N154" s="9" t="n">
        <v>0</v>
      </c>
      <c r="O154" s="10" t="n">
        <v>0</v>
      </c>
      <c r="P154" s="10" t="n">
        <v>0</v>
      </c>
      <c r="Q154" s="10" t="n">
        <v>0</v>
      </c>
      <c r="R154" s="10" t="n">
        <v>0</v>
      </c>
      <c r="S154" s="10" t="n">
        <v>0</v>
      </c>
    </row>
    <row r="155" ht="252" customHeight="1">
      <c r="A155" s="6">
        <f>IFERROR(__xludf.DUMMYFUNCTION("""COMPUTED_VALUE"""),"Refraction of light 2")</f>
        <v/>
      </c>
      <c r="B155" s="6">
        <f>IFERROR(__xludf.DUMMYFUNCTION("""COMPUTED_VALUE"""),"Space")</f>
        <v/>
      </c>
      <c r="C155" s="6">
        <f>IFERROR(__xludf.DUMMYFUNCTION("""COMPUTED_VALUE"""),"The colour of light")</f>
        <v/>
      </c>
      <c r="D155" s="7">
        <f>IFERROR(__xludf.DUMMYFUNCTION("""COMPUTED_VALUE"""),"&lt;p&gt;Do you still know that in the lesson about ""&lt;a href=""http://graasp.eu/ils/5ad5e389bbb2a7100dfbb901/?lang=en"" target=""_blank""&gt;The colour of light&lt;/a&gt;"" you discovered that white light actually is a mixture of colours? And do you still know that lig"&amp;"ht consists of waves and that every colour has a different wavelength? &lt;/p&gt;")</f>
        <v/>
      </c>
      <c r="E155" s="7">
        <f>IFERROR(__xludf.DUMMYFUNCTION("""COMPUTED_VALUE"""),"No artifact embedded")</f>
        <v/>
      </c>
      <c r="F155" s="7" t="n"/>
      <c r="G155" s="8" t="n">
        <v>1</v>
      </c>
      <c r="H155" s="8" t="n">
        <v>0</v>
      </c>
      <c r="I155" s="8" t="n">
        <v>0</v>
      </c>
      <c r="J155" s="8" t="n">
        <v>0</v>
      </c>
      <c r="K155" s="9" t="n">
        <v>1</v>
      </c>
      <c r="L155" s="9" t="n">
        <v>0</v>
      </c>
      <c r="M155" s="9" t="n">
        <v>0</v>
      </c>
      <c r="N155" s="9" t="n">
        <v>0</v>
      </c>
      <c r="O155" s="10" t="n">
        <v>1</v>
      </c>
      <c r="P155" s="10" t="n">
        <v>0</v>
      </c>
      <c r="Q155" s="10" t="n">
        <v>0</v>
      </c>
      <c r="R155" s="10" t="n">
        <v>0</v>
      </c>
      <c r="S155" s="10" t="n">
        <v>0</v>
      </c>
    </row>
    <row r="156" ht="169" customHeight="1">
      <c r="A156" s="6">
        <f>IFERROR(__xludf.DUMMYFUNCTION("""COMPUTED_VALUE"""),"Refraction of light 2")</f>
        <v/>
      </c>
      <c r="B156" s="6">
        <f>IFERROR(__xludf.DUMMYFUNCTION("""COMPUTED_VALUE"""),"Resource")</f>
        <v/>
      </c>
      <c r="C156" s="6">
        <f>IFERROR(__xludf.DUMMYFUNCTION("""COMPUTED_VALUE"""),"Question LB2 en.PNG")</f>
        <v/>
      </c>
      <c r="D156" s="7">
        <f>IFERROR(__xludf.DUMMYFUNCTION("""COMPUTED_VALUE"""),"n another lesson you learned something about light that shines through transparent materials? Do you remember? What will happen with the light ray if you turn on the light? Type your answer below the pictures")</f>
        <v/>
      </c>
      <c r="E156" s="7">
        <f>IFERROR(__xludf.DUMMYFUNCTION("""COMPUTED_VALUE"""),"image/png – A high-quality image with support for transparency, often used in design and web applications.")</f>
        <v/>
      </c>
      <c r="F156" s="7" t="n"/>
      <c r="G156" s="8" t="n">
        <v>0</v>
      </c>
      <c r="H156" s="8" t="n">
        <v>0</v>
      </c>
      <c r="I156" s="8" t="n">
        <v>1</v>
      </c>
      <c r="J156" s="8" t="n">
        <v>0</v>
      </c>
      <c r="K156" s="9" t="n">
        <v>0</v>
      </c>
      <c r="L156" s="9" t="n">
        <v>1</v>
      </c>
      <c r="M156" s="9" t="n">
        <v>0</v>
      </c>
      <c r="N156" s="9" t="n">
        <v>0</v>
      </c>
      <c r="O156" s="10" t="n">
        <v>1</v>
      </c>
      <c r="P156" s="10" t="n">
        <v>0</v>
      </c>
      <c r="Q156" s="10" t="n">
        <v>0</v>
      </c>
      <c r="R156" s="10" t="n">
        <v>0</v>
      </c>
      <c r="S156" s="10" t="n">
        <v>0</v>
      </c>
    </row>
    <row r="157" ht="329" customHeight="1">
      <c r="A157" s="6">
        <f>IFERROR(__xludf.DUMMYFUNCTION("""COMPUTED_VALUE"""),"Refraction of light 2")</f>
        <v/>
      </c>
      <c r="B157" s="6">
        <f>IFERROR(__xludf.DUMMYFUNCTION("""COMPUTED_VALUE"""),"Application")</f>
        <v/>
      </c>
      <c r="C157" s="6">
        <f>IFERROR(__xludf.DUMMYFUNCTION("""COMPUTED_VALUE"""),"Input Box")</f>
        <v/>
      </c>
      <c r="D157" s="7">
        <f>IFERROR(__xludf.DUMMYFUNCTION("""COMPUTED_VALUE"""),"No task description")</f>
        <v/>
      </c>
      <c r="E1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7" s="7" t="n"/>
      <c r="G157" s="8" t="n">
        <v>0</v>
      </c>
      <c r="H157" s="8" t="n">
        <v>0</v>
      </c>
      <c r="I157" s="8" t="n">
        <v>1</v>
      </c>
      <c r="J157" s="8" t="n">
        <v>0</v>
      </c>
      <c r="K157" s="9" t="n">
        <v>0</v>
      </c>
      <c r="L157" s="9" t="n">
        <v>1</v>
      </c>
      <c r="M157" s="9" t="n">
        <v>0</v>
      </c>
      <c r="N157" s="9" t="n">
        <v>0</v>
      </c>
      <c r="O157" s="10" t="n">
        <v>0</v>
      </c>
      <c r="P157" s="10" t="n">
        <v>0</v>
      </c>
      <c r="Q157" s="10" t="n">
        <v>0</v>
      </c>
      <c r="R157" s="10" t="n">
        <v>0</v>
      </c>
      <c r="S157" s="10" t="n">
        <v>0</v>
      </c>
    </row>
    <row r="158" ht="296" customHeight="1">
      <c r="A158" s="6">
        <f>IFERROR(__xludf.DUMMYFUNCTION("""COMPUTED_VALUE"""),"Refraction of light 2")</f>
        <v/>
      </c>
      <c r="B158" s="6">
        <f>IFERROR(__xludf.DUMMYFUNCTION("""COMPUTED_VALUE"""),"Space")</f>
        <v/>
      </c>
      <c r="C158" s="6">
        <f>IFERROR(__xludf.DUMMYFUNCTION("""COMPUTED_VALUE"""),"Doing research - step 1")</f>
        <v/>
      </c>
      <c r="D158" s="7">
        <f>IFERROR(__xludf.DUMMYFUNCTION("""COMPUTED_VALUE"""),"&lt;p&gt;You will soon find out whether your answer to the question is correct. Click in the program below two times on ""Prisms"". Drag the triangle from the lower area to the area above and place it in front of the light. Then switch the light on. Look what h"&amp;"appens. &lt;strong&gt;The next assignment is below the program. You need to scroll down. &lt;/strong&gt;&lt;/p&gt;")</f>
        <v/>
      </c>
      <c r="E158" s="7">
        <f>IFERROR(__xludf.DUMMYFUNCTION("""COMPUTED_VALUE"""),"No artifact embedded")</f>
        <v/>
      </c>
      <c r="F158" s="7" t="n"/>
      <c r="G158" s="8" t="n">
        <v>0</v>
      </c>
      <c r="H158" s="8" t="n">
        <v>1</v>
      </c>
      <c r="I158" s="8" t="n">
        <v>0</v>
      </c>
      <c r="J158" s="8" t="n">
        <v>0</v>
      </c>
      <c r="K158" s="9" t="n">
        <v>1</v>
      </c>
      <c r="L158" s="9" t="n">
        <v>0</v>
      </c>
      <c r="M158" s="9" t="n">
        <v>0</v>
      </c>
      <c r="N158" s="9" t="n">
        <v>0</v>
      </c>
      <c r="O158" s="10" t="n">
        <v>0</v>
      </c>
      <c r="P158" s="10" t="n">
        <v>0</v>
      </c>
      <c r="Q158" s="10" t="n">
        <v>1</v>
      </c>
      <c r="R158" s="10" t="n">
        <v>0</v>
      </c>
      <c r="S158" s="10" t="n">
        <v>0</v>
      </c>
    </row>
    <row r="159" ht="205" customHeight="1">
      <c r="A159" s="6">
        <f>IFERROR(__xludf.DUMMYFUNCTION("""COMPUTED_VALUE"""),"Refraction of light 2")</f>
        <v/>
      </c>
      <c r="B159" s="6">
        <f>IFERROR(__xludf.DUMMYFUNCTION("""COMPUTED_VALUE"""),"Application")</f>
        <v/>
      </c>
      <c r="C159" s="6">
        <f>IFERROR(__xludf.DUMMYFUNCTION("""COMPUTED_VALUE"""),"Bending Light")</f>
        <v/>
      </c>
      <c r="D159" s="7">
        <f>IFERROR(__xludf.DUMMYFUNCTION("""COMPUTED_VALUE"""),"No task description")</f>
        <v/>
      </c>
      <c r="E159"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59" s="7" t="n"/>
      <c r="G159" s="8" t="n">
        <v>0</v>
      </c>
      <c r="H159" s="8" t="n">
        <v>1</v>
      </c>
      <c r="I159" s="8" t="n">
        <v>0</v>
      </c>
      <c r="J159" s="8" t="n">
        <v>0</v>
      </c>
      <c r="K159" s="9" t="n">
        <v>1</v>
      </c>
      <c r="L159" s="9" t="n">
        <v>0</v>
      </c>
      <c r="M159" s="9" t="n">
        <v>0</v>
      </c>
      <c r="N159" s="9" t="n">
        <v>0</v>
      </c>
      <c r="O159" s="10" t="n">
        <v>0</v>
      </c>
      <c r="P159" s="10" t="n">
        <v>0</v>
      </c>
      <c r="Q159" s="10" t="n">
        <v>1</v>
      </c>
      <c r="R159" s="10" t="n">
        <v>0</v>
      </c>
      <c r="S159" s="10" t="n">
        <v>0</v>
      </c>
    </row>
    <row r="160" ht="169" customHeight="1">
      <c r="A160" s="6">
        <f>IFERROR(__xludf.DUMMYFUNCTION("""COMPUTED_VALUE"""),"Refraction of light 2")</f>
        <v/>
      </c>
      <c r="B160" s="6">
        <f>IFERROR(__xludf.DUMMYFUNCTION("""COMPUTED_VALUE"""),"Resource")</f>
        <v/>
      </c>
      <c r="C160" s="6">
        <f>IFERROR(__xludf.DUMMYFUNCTION("""COMPUTED_VALUE"""),"Opdrachten.graasp")</f>
        <v/>
      </c>
      <c r="D160" s="7">
        <f>IFERROR(__xludf.DUMMYFUNCTION("""COMPUTED_VALUE"""),"&lt;p&gt;Now change the colour of the light by moving the red box below the multi-coloured bar. What strikes you? Write your answer below and after that click on ""&lt;strong&gt;Doing research - step 2&lt;/strong&gt;"".&lt;/p&gt;")</f>
        <v/>
      </c>
      <c r="E160" s="7">
        <f>IFERROR(__xludf.DUMMYFUNCTION("""COMPUTED_VALUE"""),"No artifact embedded")</f>
        <v/>
      </c>
      <c r="F160" s="7" t="n"/>
      <c r="G160" s="8" t="n">
        <v>0</v>
      </c>
      <c r="H160" s="8" t="n">
        <v>0</v>
      </c>
      <c r="I160" s="8" t="n">
        <v>1</v>
      </c>
      <c r="J160" s="8" t="n">
        <v>0</v>
      </c>
      <c r="K160" s="9" t="n">
        <v>0</v>
      </c>
      <c r="L160" s="9" t="n">
        <v>1</v>
      </c>
      <c r="M160" s="9" t="n">
        <v>0</v>
      </c>
      <c r="N160" s="9" t="n">
        <v>0</v>
      </c>
      <c r="O160" s="10" t="n">
        <v>0</v>
      </c>
      <c r="P160" s="10" t="n">
        <v>0</v>
      </c>
      <c r="Q160" s="10" t="n">
        <v>1</v>
      </c>
      <c r="R160" s="10" t="n">
        <v>0</v>
      </c>
      <c r="S160" s="10" t="n">
        <v>0</v>
      </c>
    </row>
    <row r="161" ht="329" customHeight="1">
      <c r="A161" s="6">
        <f>IFERROR(__xludf.DUMMYFUNCTION("""COMPUTED_VALUE"""),"Refraction of light 2")</f>
        <v/>
      </c>
      <c r="B161" s="6">
        <f>IFERROR(__xludf.DUMMYFUNCTION("""COMPUTED_VALUE"""),"Application")</f>
        <v/>
      </c>
      <c r="C161" s="6">
        <f>IFERROR(__xludf.DUMMYFUNCTION("""COMPUTED_VALUE"""),"Input Box")</f>
        <v/>
      </c>
      <c r="D161" s="7">
        <f>IFERROR(__xludf.DUMMYFUNCTION("""COMPUTED_VALUE"""),"No task description")</f>
        <v/>
      </c>
      <c r="E16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1" s="7" t="n"/>
      <c r="G161" s="8" t="n">
        <v>0</v>
      </c>
      <c r="H161" s="8" t="n">
        <v>0</v>
      </c>
      <c r="I161" s="8" t="n">
        <v>1</v>
      </c>
      <c r="J161" s="8" t="n">
        <v>0</v>
      </c>
      <c r="K161" s="9" t="n">
        <v>0</v>
      </c>
      <c r="L161" s="9" t="n">
        <v>1</v>
      </c>
      <c r="M161" s="9" t="n">
        <v>0</v>
      </c>
      <c r="N161" s="9" t="n">
        <v>0</v>
      </c>
      <c r="O161" s="10" t="n">
        <v>0</v>
      </c>
      <c r="P161" s="10" t="n">
        <v>0</v>
      </c>
      <c r="Q161" s="10" t="n">
        <v>0</v>
      </c>
      <c r="R161" s="10" t="n">
        <v>0</v>
      </c>
      <c r="S161" s="10" t="n">
        <v>0</v>
      </c>
    </row>
    <row r="162" ht="25" customHeight="1">
      <c r="A162" s="6">
        <f>IFERROR(__xludf.DUMMYFUNCTION("""COMPUTED_VALUE"""),"Refraction of light 2")</f>
        <v/>
      </c>
      <c r="B162" s="6">
        <f>IFERROR(__xludf.DUMMYFUNCTION("""COMPUTED_VALUE"""),"Space")</f>
        <v/>
      </c>
      <c r="C162" s="6">
        <f>IFERROR(__xludf.DUMMYFUNCTION("""COMPUTED_VALUE"""),"Doing research - step 2")</f>
        <v/>
      </c>
      <c r="D162" s="7">
        <f>IFERROR(__xludf.DUMMYFUNCTION("""COMPUTED_VALUE"""),"No task description")</f>
        <v/>
      </c>
      <c r="E162" s="7">
        <f>IFERROR(__xludf.DUMMYFUNCTION("""COMPUTED_VALUE"""),"No artifact embedded")</f>
        <v/>
      </c>
      <c r="F162" s="7" t="n"/>
      <c r="G162" s="8" t="n">
        <v>0</v>
      </c>
      <c r="H162" s="8" t="n">
        <v>0</v>
      </c>
      <c r="I162" s="8" t="n">
        <v>0</v>
      </c>
      <c r="J162" s="8" t="n">
        <v>0</v>
      </c>
      <c r="K162" s="9" t="n">
        <v>0</v>
      </c>
      <c r="L162" s="9" t="n">
        <v>0</v>
      </c>
      <c r="M162" s="9" t="n">
        <v>0</v>
      </c>
      <c r="N162" s="9" t="n">
        <v>0</v>
      </c>
      <c r="O162" s="10" t="n">
        <v>0</v>
      </c>
      <c r="P162" s="10" t="n">
        <v>0</v>
      </c>
      <c r="Q162" s="10" t="n">
        <v>0</v>
      </c>
      <c r="R162" s="10" t="n">
        <v>0</v>
      </c>
      <c r="S162" s="10" t="n">
        <v>0</v>
      </c>
    </row>
    <row r="163" ht="205" customHeight="1">
      <c r="A163" s="6">
        <f>IFERROR(__xludf.DUMMYFUNCTION("""COMPUTED_VALUE"""),"Refraction of light 2")</f>
        <v/>
      </c>
      <c r="B163" s="6">
        <f>IFERROR(__xludf.DUMMYFUNCTION("""COMPUTED_VALUE"""),"Resource")</f>
        <v/>
      </c>
      <c r="C163" s="6">
        <f>IFERROR(__xludf.DUMMYFUNCTION("""COMPUTED_VALUE"""),"Assignment LB2.PNG")</f>
        <v/>
      </c>
      <c r="D163" s="7">
        <f>IFERROR(__xludf.DUMMYFUNCTION("""COMPUTED_VALUE"""),"Below you see the same program again' Press twice on ""Prisms"". Now change the colour of the light to white by pressing on the box on the right, l— lEl lEl Drag a triangle in front of the light and switch the light on, Describe below what you observe,")</f>
        <v/>
      </c>
      <c r="E163" s="7">
        <f>IFERROR(__xludf.DUMMYFUNCTION("""COMPUTED_VALUE"""),"image/png – A high-quality image with support for transparency, often used in design and web applications.")</f>
        <v/>
      </c>
      <c r="F163" s="7" t="n"/>
      <c r="G163" s="8" t="n">
        <v>0</v>
      </c>
      <c r="H163" s="8" t="n">
        <v>0</v>
      </c>
      <c r="I163" s="8" t="n">
        <v>1</v>
      </c>
      <c r="J163" s="8" t="n">
        <v>0</v>
      </c>
      <c r="K163" s="9" t="n">
        <v>0</v>
      </c>
      <c r="L163" s="9" t="n">
        <v>1</v>
      </c>
      <c r="M163" s="9" t="n">
        <v>0</v>
      </c>
      <c r="N163" s="9" t="n">
        <v>0</v>
      </c>
      <c r="O163" s="10" t="n">
        <v>0</v>
      </c>
      <c r="P163" s="10" t="n">
        <v>0</v>
      </c>
      <c r="Q163" s="10" t="n">
        <v>1</v>
      </c>
      <c r="R163" s="10" t="n">
        <v>0</v>
      </c>
      <c r="S163" s="10" t="n">
        <v>0</v>
      </c>
    </row>
    <row r="164" ht="329" customHeight="1">
      <c r="A164" s="6">
        <f>IFERROR(__xludf.DUMMYFUNCTION("""COMPUTED_VALUE"""),"Refraction of light 2")</f>
        <v/>
      </c>
      <c r="B164" s="6">
        <f>IFERROR(__xludf.DUMMYFUNCTION("""COMPUTED_VALUE"""),"Application")</f>
        <v/>
      </c>
      <c r="C164" s="6">
        <f>IFERROR(__xludf.DUMMYFUNCTION("""COMPUTED_VALUE"""),"Input Box")</f>
        <v/>
      </c>
      <c r="D164" s="7">
        <f>IFERROR(__xludf.DUMMYFUNCTION("""COMPUTED_VALUE"""),"No task description")</f>
        <v/>
      </c>
      <c r="E16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4" s="7" t="n"/>
      <c r="G164" s="8" t="n">
        <v>0</v>
      </c>
      <c r="H164" s="8" t="n">
        <v>0</v>
      </c>
      <c r="I164" s="8" t="n">
        <v>1</v>
      </c>
      <c r="J164" s="8" t="n">
        <v>0</v>
      </c>
      <c r="K164" s="9" t="n">
        <v>0</v>
      </c>
      <c r="L164" s="9" t="n">
        <v>1</v>
      </c>
      <c r="M164" s="9" t="n">
        <v>0</v>
      </c>
      <c r="N164" s="9" t="n">
        <v>0</v>
      </c>
      <c r="O164" s="10" t="n">
        <v>0</v>
      </c>
      <c r="P164" s="10" t="n">
        <v>0</v>
      </c>
      <c r="Q164" s="10" t="n">
        <v>0</v>
      </c>
      <c r="R164" s="10" t="n">
        <v>0</v>
      </c>
      <c r="S164" s="10" t="n">
        <v>0</v>
      </c>
    </row>
    <row r="165" ht="205" customHeight="1">
      <c r="A165" s="6">
        <f>IFERROR(__xludf.DUMMYFUNCTION("""COMPUTED_VALUE"""),"Refraction of light 2")</f>
        <v/>
      </c>
      <c r="B165" s="6">
        <f>IFERROR(__xludf.DUMMYFUNCTION("""COMPUTED_VALUE"""),"Application")</f>
        <v/>
      </c>
      <c r="C165" s="6">
        <f>IFERROR(__xludf.DUMMYFUNCTION("""COMPUTED_VALUE"""),"Bending Light")</f>
        <v/>
      </c>
      <c r="D165" s="7">
        <f>IFERROR(__xludf.DUMMYFUNCTION("""COMPUTED_VALUE"""),"No task description")</f>
        <v/>
      </c>
      <c r="E165"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65" s="7" t="n"/>
      <c r="G165" s="8" t="n">
        <v>0</v>
      </c>
      <c r="H165" s="8" t="n">
        <v>1</v>
      </c>
      <c r="I165" s="8" t="n">
        <v>0</v>
      </c>
      <c r="J165" s="8" t="n">
        <v>0</v>
      </c>
      <c r="K165" s="9" t="n">
        <v>1</v>
      </c>
      <c r="L165" s="9" t="n">
        <v>0</v>
      </c>
      <c r="M165" s="9" t="n">
        <v>0</v>
      </c>
      <c r="N165" s="9" t="n">
        <v>0</v>
      </c>
      <c r="O165" s="10" t="n">
        <v>0</v>
      </c>
      <c r="P165" s="10" t="n">
        <v>0</v>
      </c>
      <c r="Q165" s="10" t="n">
        <v>1</v>
      </c>
      <c r="R165" s="10" t="n">
        <v>0</v>
      </c>
      <c r="S165" s="10" t="n">
        <v>0</v>
      </c>
    </row>
    <row r="166" ht="121" customHeight="1">
      <c r="A166" s="6">
        <f>IFERROR(__xludf.DUMMYFUNCTION("""COMPUTED_VALUE"""),"Refraction of light 2")</f>
        <v/>
      </c>
      <c r="B166" s="6">
        <f>IFERROR(__xludf.DUMMYFUNCTION("""COMPUTED_VALUE"""),"Resource")</f>
        <v/>
      </c>
      <c r="C166" s="6">
        <f>IFERROR(__xludf.DUMMYFUNCTION("""COMPUTED_VALUE"""),"Assignment.graasp")</f>
        <v/>
      </c>
      <c r="D166" s="7">
        <f>IFERROR(__xludf.DUMMYFUNCTION("""COMPUTED_VALUE"""),"&lt;p&gt;Make further explorations by changing things in the program above. If you're done press ""&lt;strong&gt;What did you discover?&lt;/strong&gt;""&lt;br&gt;&lt;/p&gt;")</f>
        <v/>
      </c>
      <c r="E166" s="7">
        <f>IFERROR(__xludf.DUMMYFUNCTION("""COMPUTED_VALUE"""),"No artifact embedded")</f>
        <v/>
      </c>
      <c r="F166" s="7" t="n"/>
      <c r="G166" s="8" t="n">
        <v>0</v>
      </c>
      <c r="H166" s="8" t="n">
        <v>1</v>
      </c>
      <c r="I166" s="8" t="n">
        <v>0</v>
      </c>
      <c r="J166" s="8" t="n">
        <v>0</v>
      </c>
      <c r="K166" s="9" t="n">
        <v>1</v>
      </c>
      <c r="L166" s="9" t="n">
        <v>0</v>
      </c>
      <c r="M166" s="9" t="n">
        <v>0</v>
      </c>
      <c r="N166" s="9" t="n">
        <v>0</v>
      </c>
      <c r="O166" s="10" t="n">
        <v>0</v>
      </c>
      <c r="P166" s="10" t="n">
        <v>0</v>
      </c>
      <c r="Q166" s="10" t="n">
        <v>1</v>
      </c>
      <c r="R166" s="10" t="n">
        <v>0</v>
      </c>
      <c r="S166" s="10" t="n">
        <v>0</v>
      </c>
    </row>
    <row r="167" ht="263" customHeight="1">
      <c r="A167" s="6">
        <f>IFERROR(__xludf.DUMMYFUNCTION("""COMPUTED_VALUE"""),"Refraction of light 2")</f>
        <v/>
      </c>
      <c r="B167" s="6">
        <f>IFERROR(__xludf.DUMMYFUNCTION("""COMPUTED_VALUE"""),"Space")</f>
        <v/>
      </c>
      <c r="C167" s="6">
        <f>IFERROR(__xludf.DUMMYFUNCTION("""COMPUTED_VALUE"""),"What did you discover?")</f>
        <v/>
      </c>
      <c r="D167" s="7">
        <f>IFERROR(__xludf.DUMMYFUNCTION("""COMPUTED_VALUE"""),"&lt;p&gt;White light is a mixture of colours and each colour has it's own wavelength. See the picture below. When the light waves are refracted every wavelength is refracted differently. Therefore all the colours in the white light are refracted in a different "&amp;"angle. This makes that you can see the colours after the white light is refracted.  &lt;/p&gt;")</f>
        <v/>
      </c>
      <c r="E167" s="7">
        <f>IFERROR(__xludf.DUMMYFUNCTION("""COMPUTED_VALUE"""),"No artifact embedded")</f>
        <v/>
      </c>
      <c r="F167" s="7" t="n"/>
      <c r="G167" s="8" t="n">
        <v>1</v>
      </c>
      <c r="H167" s="8" t="n">
        <v>0</v>
      </c>
      <c r="I167" s="8" t="n">
        <v>0</v>
      </c>
      <c r="J167" s="8" t="n">
        <v>0</v>
      </c>
      <c r="K167" s="9" t="n">
        <v>1</v>
      </c>
      <c r="L167" s="9" t="n">
        <v>0</v>
      </c>
      <c r="M167" s="9" t="n">
        <v>0</v>
      </c>
      <c r="N167" s="9" t="n">
        <v>0</v>
      </c>
      <c r="O167" s="10" t="n">
        <v>1</v>
      </c>
      <c r="P167" s="10" t="n">
        <v>0</v>
      </c>
      <c r="Q167" s="10" t="n">
        <v>0</v>
      </c>
      <c r="R167" s="10" t="n">
        <v>0</v>
      </c>
      <c r="S167" s="10" t="n">
        <v>0</v>
      </c>
    </row>
    <row r="168" ht="97" customHeight="1">
      <c r="A168" s="6">
        <f>IFERROR(__xludf.DUMMYFUNCTION("""COMPUTED_VALUE"""),"Refraction of light 2")</f>
        <v/>
      </c>
      <c r="B168" s="6">
        <f>IFERROR(__xludf.DUMMYFUNCTION("""COMPUTED_VALUE"""),"Resource")</f>
        <v/>
      </c>
      <c r="C168" s="6">
        <f>IFERROR(__xludf.DUMMYFUNCTION("""COMPUTED_VALUE"""),"Lightwaves.PNG")</f>
        <v/>
      </c>
      <c r="D168" s="7">
        <f>IFERROR(__xludf.DUMMYFUNCTION("""COMPUTED_VALUE"""),"No task description")</f>
        <v/>
      </c>
      <c r="E168" s="7">
        <f>IFERROR(__xludf.DUMMYFUNCTION("""COMPUTED_VALUE"""),"image/png – A high-quality image with support for transparency, often used in design and web applications.")</f>
        <v/>
      </c>
      <c r="F168" s="7" t="n"/>
      <c r="G168" s="8" t="n">
        <v>1</v>
      </c>
      <c r="H168" s="8" t="n">
        <v>0</v>
      </c>
      <c r="I168" s="8" t="n">
        <v>0</v>
      </c>
      <c r="J168" s="8" t="n">
        <v>0</v>
      </c>
      <c r="K168" s="9" t="n">
        <v>1</v>
      </c>
      <c r="L168" s="9" t="n">
        <v>0</v>
      </c>
      <c r="M168" s="9" t="n">
        <v>0</v>
      </c>
      <c r="N168" s="9" t="n">
        <v>0</v>
      </c>
      <c r="O168" s="10" t="n">
        <v>0</v>
      </c>
      <c r="P168" s="10" t="n">
        <v>0</v>
      </c>
      <c r="Q168" s="10" t="n">
        <v>0</v>
      </c>
      <c r="R168" s="10" t="n">
        <v>0</v>
      </c>
      <c r="S168" s="10" t="n">
        <v>0</v>
      </c>
    </row>
    <row r="169" ht="121" customHeight="1">
      <c r="A169" s="6">
        <f>IFERROR(__xludf.DUMMYFUNCTION("""COMPUTED_VALUE"""),"Refraction of light 2")</f>
        <v/>
      </c>
      <c r="B169" s="6">
        <f>IFERROR(__xludf.DUMMYFUNCTION("""COMPUTED_VALUE"""),"Resource")</f>
        <v/>
      </c>
      <c r="C169" s="6">
        <f>IFERROR(__xludf.DUMMYFUNCTION("""COMPUTED_VALUE"""),"Rainbows and refraction")</f>
        <v/>
      </c>
      <c r="D169" s="7">
        <f>IFERROR(__xludf.DUMMYFUNCTION("""COMPUTED_VALUE"""),"No task description")</f>
        <v/>
      </c>
      <c r="E169" s="7">
        <f>IFERROR(__xludf.DUMMYFUNCTION("""COMPUTED_VALUE"""),"youtube.com: A widely known video-sharing platform where users can watch videos on a vast array of topics, including educational content.")</f>
        <v/>
      </c>
      <c r="F169" s="7" t="n"/>
      <c r="G169" s="8" t="n">
        <v>1</v>
      </c>
      <c r="H169" s="8" t="n">
        <v>0</v>
      </c>
      <c r="I169" s="8" t="n">
        <v>0</v>
      </c>
      <c r="J169" s="8" t="n">
        <v>0</v>
      </c>
      <c r="K169" s="9" t="n">
        <v>1</v>
      </c>
      <c r="L169" s="9" t="n">
        <v>0</v>
      </c>
      <c r="M169" s="9" t="n">
        <v>0</v>
      </c>
      <c r="N169" s="9" t="n">
        <v>0</v>
      </c>
      <c r="O169" s="10" t="n">
        <v>0</v>
      </c>
      <c r="P169" s="10" t="n">
        <v>0</v>
      </c>
      <c r="Q169" s="10" t="n">
        <v>0</v>
      </c>
      <c r="R169" s="10" t="n">
        <v>0</v>
      </c>
      <c r="S169" s="10" t="n">
        <v>0</v>
      </c>
    </row>
    <row r="170" ht="133" customHeight="1">
      <c r="A170" s="6">
        <f>IFERROR(__xludf.DUMMYFUNCTION("""COMPUTED_VALUE"""),"Refraction of light 2")</f>
        <v/>
      </c>
      <c r="B170" s="6">
        <f>IFERROR(__xludf.DUMMYFUNCTION("""COMPUTED_VALUE"""),"Resource")</f>
        <v/>
      </c>
      <c r="C170" s="6">
        <f>IFERROR(__xludf.DUMMYFUNCTION("""COMPUTED_VALUE"""),"How are rainbows formed?")</f>
        <v/>
      </c>
      <c r="D170" s="7">
        <f>IFERROR(__xludf.DUMMYFUNCTION("""COMPUTED_VALUE"""),"The properties and behaviour of light, and how it interacts with droplets of water, give rise to one of nature's most colourful meteorological events - the rainbow.")</f>
        <v/>
      </c>
      <c r="E170" s="7">
        <f>IFERROR(__xludf.DUMMYFUNCTION("""COMPUTED_VALUE"""),"metoffice.gov.uk: The UK's Met Office provides information on weather phenomena, including explanations of how rainbows are formed.")</f>
        <v/>
      </c>
      <c r="F170" s="7" t="n"/>
      <c r="G170" s="8" t="n">
        <v>1</v>
      </c>
      <c r="H170" s="8" t="n">
        <v>0</v>
      </c>
      <c r="I170" s="8" t="n">
        <v>0</v>
      </c>
      <c r="J170" s="8" t="n">
        <v>0</v>
      </c>
      <c r="K170" s="9" t="n">
        <v>1</v>
      </c>
      <c r="L170" s="9" t="n">
        <v>0</v>
      </c>
      <c r="M170" s="9" t="n">
        <v>0</v>
      </c>
      <c r="N170" s="9" t="n">
        <v>0</v>
      </c>
      <c r="O170" s="10" t="n">
        <v>1</v>
      </c>
      <c r="P170" s="10" t="n">
        <v>0</v>
      </c>
      <c r="Q170" s="10" t="n">
        <v>0</v>
      </c>
      <c r="R170" s="10" t="n">
        <v>0</v>
      </c>
      <c r="S170" s="10" t="n">
        <v>0</v>
      </c>
    </row>
    <row r="171" ht="296" customHeight="1">
      <c r="A171" s="6">
        <f>IFERROR(__xludf.DUMMYFUNCTION("""COMPUTED_VALUE"""),"Refraction of light 2")</f>
        <v/>
      </c>
      <c r="B171" s="6">
        <f>IFERROR(__xludf.DUMMYFUNCTION("""COMPUTED_VALUE"""),"Application")</f>
        <v/>
      </c>
      <c r="C171" s="6">
        <f>IFERROR(__xludf.DUMMYFUNCTION("""COMPUTED_VALUE"""),"Quiz Tool")</f>
        <v/>
      </c>
      <c r="D171" s="7">
        <f>IFERROR(__xludf.DUMMYFUNCTION("""COMPUTED_VALUE"""),"No task description")</f>
        <v/>
      </c>
      <c r="E17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71" s="7" t="n"/>
      <c r="G171" s="8" t="n">
        <v>0</v>
      </c>
      <c r="H171" s="8" t="n">
        <v>0</v>
      </c>
      <c r="I171" s="8" t="n">
        <v>0</v>
      </c>
      <c r="J171" s="8" t="n">
        <v>1</v>
      </c>
      <c r="K171" s="9" t="n">
        <v>0</v>
      </c>
      <c r="L171" s="9" t="n">
        <v>1</v>
      </c>
      <c r="M171" s="9" t="n">
        <v>0</v>
      </c>
      <c r="N171" s="9" t="n">
        <v>0</v>
      </c>
      <c r="O171" s="10" t="n">
        <v>0</v>
      </c>
      <c r="P171" s="10" t="n">
        <v>0</v>
      </c>
      <c r="Q171" s="10" t="n">
        <v>0</v>
      </c>
      <c r="R171" s="10" t="n">
        <v>0</v>
      </c>
      <c r="S171" s="10" t="n">
        <v>1</v>
      </c>
    </row>
    <row r="172" ht="25" customHeight="1">
      <c r="A172" s="6">
        <f>IFERROR(__xludf.DUMMYFUNCTION("""COMPUTED_VALUE"""),"Refraction of light 2")</f>
        <v/>
      </c>
      <c r="B172" s="6">
        <f>IFERROR(__xludf.DUMMYFUNCTION("""COMPUTED_VALUE"""),"Space")</f>
        <v/>
      </c>
      <c r="C172" s="6">
        <f>IFERROR(__xludf.DUMMYFUNCTION("""COMPUTED_VALUE"""),"Student Dashboard")</f>
        <v/>
      </c>
      <c r="D172" s="7">
        <f>IFERROR(__xludf.DUMMYFUNCTION("""COMPUTED_VALUE"""),"No task description")</f>
        <v/>
      </c>
      <c r="E172" s="7">
        <f>IFERROR(__xludf.DUMMYFUNCTION("""COMPUTED_VALUE"""),"No artifact embedded")</f>
        <v/>
      </c>
      <c r="F172" s="7" t="n"/>
      <c r="G172" s="8" t="n">
        <v>0</v>
      </c>
      <c r="H172" s="8" t="n">
        <v>0</v>
      </c>
      <c r="I172" s="8" t="n">
        <v>0</v>
      </c>
      <c r="J172" s="8" t="n">
        <v>0</v>
      </c>
      <c r="K172" s="9" t="n">
        <v>0</v>
      </c>
      <c r="L172" s="9" t="n">
        <v>0</v>
      </c>
      <c r="M172" s="9" t="n">
        <v>0</v>
      </c>
      <c r="N172" s="9" t="n">
        <v>0</v>
      </c>
      <c r="O172" s="10" t="n">
        <v>0</v>
      </c>
      <c r="P172" s="10" t="n">
        <v>0</v>
      </c>
      <c r="Q172" s="10" t="n">
        <v>0</v>
      </c>
      <c r="R172" s="10" t="n">
        <v>0</v>
      </c>
      <c r="S172" s="10" t="n">
        <v>0</v>
      </c>
    </row>
    <row r="173" ht="49" customHeight="1">
      <c r="A173" s="6">
        <f>IFERROR(__xludf.DUMMYFUNCTION("""COMPUTED_VALUE"""),"ILS test")</f>
        <v/>
      </c>
      <c r="B173" s="6">
        <f>IFERROR(__xludf.DUMMYFUNCTION("""COMPUTED_VALUE"""),"Space")</f>
        <v/>
      </c>
      <c r="C173" s="6">
        <f>IFERROR(__xludf.DUMMYFUNCTION("""COMPUTED_VALUE"""),"phase 1")</f>
        <v/>
      </c>
      <c r="D173" s="7">
        <f>IFERROR(__xludf.DUMMYFUNCTION("""COMPUTED_VALUE"""),"&lt;p&gt;This is a description for the orientation.&lt;/p&gt;")</f>
        <v/>
      </c>
      <c r="E173" s="7">
        <f>IFERROR(__xludf.DUMMYFUNCTION("""COMPUTED_VALUE"""),"No artifact embedded")</f>
        <v/>
      </c>
      <c r="F173" s="7" t="n"/>
      <c r="G173" s="8" t="n">
        <v>0</v>
      </c>
      <c r="H173" s="8" t="n">
        <v>0</v>
      </c>
      <c r="I173" s="8" t="n">
        <v>0</v>
      </c>
      <c r="J173" s="8" t="n">
        <v>0</v>
      </c>
      <c r="K173" s="9" t="n">
        <v>0</v>
      </c>
      <c r="L173" s="9" t="n">
        <v>0</v>
      </c>
      <c r="M173" s="9" t="n">
        <v>0</v>
      </c>
      <c r="N173" s="9" t="n">
        <v>0</v>
      </c>
      <c r="O173" s="10" t="n">
        <v>0</v>
      </c>
      <c r="P173" s="10" t="n">
        <v>0</v>
      </c>
      <c r="Q173" s="10" t="n">
        <v>0</v>
      </c>
      <c r="R173" s="10" t="n">
        <v>0</v>
      </c>
      <c r="S173" s="10" t="n">
        <v>0</v>
      </c>
    </row>
    <row r="174" ht="409.5" customHeight="1">
      <c r="A174" s="6">
        <f>IFERROR(__xludf.DUMMYFUNCTION("""COMPUTED_VALUE"""),"ILS test")</f>
        <v/>
      </c>
      <c r="B174" s="6">
        <f>IFERROR(__xludf.DUMMYFUNCTION("""COMPUTED_VALUE"""),"Application")</f>
        <v/>
      </c>
      <c r="C174" s="6">
        <f>IFERROR(__xludf.DUMMYFUNCTION("""COMPUTED_VALUE"""),"Bond app")</f>
        <v/>
      </c>
      <c r="D174" s="7">
        <f>IFERROR(__xludf.DUMMYFUNCTION("""COMPUTED_VALUE"""),"No task description")</f>
        <v/>
      </c>
      <c r="E174" s="7">
        <f>IFERROR(__xludf.DUMMYFUNCTION("""COMPUTED_VALUE"""),"Golabz app/lab: ""&lt;p&gt;Bond (from bonding in chemistry) helps students learn about solubility and precipitation of salts. Bond contains a database with thousands of salts and the most common ions, with information about solubility and colours. The setup is "&amp;"similar to what students would do in a real chemistry lab. They select two solutions, mix them and then observe whether a reaction takes place and a precipitation occurs. When that is the case students have to select the ions that make up the precipitated"&amp;" salt, enter the charges for the ions, and finally determine the coefficients to complete the reaction.&lt;/p&gt;&lt;p&gt;Teachers can configure the solutions students can select from by clicking on the gear icon. During configuration it is also possible to define &amp;q"&amp;"uot;mystery&amp;quot; solutions. Enter an (arbitrary) name after the Mystery field for the solution, and the chemical formula on the bottle for that solution will be replaced by the name entered.&lt;/p&gt;&lt;p&gt;.&lt;/p&gt;""")</f>
        <v/>
      </c>
      <c r="F174" s="7" t="n"/>
      <c r="G174" s="8" t="n">
        <v>0</v>
      </c>
      <c r="H174" s="8" t="n">
        <v>0</v>
      </c>
      <c r="I174" s="8" t="n">
        <v>0</v>
      </c>
      <c r="J174" s="8" t="n">
        <v>0</v>
      </c>
      <c r="K174" s="9" t="n">
        <v>0</v>
      </c>
      <c r="L174" s="9" t="n">
        <v>0</v>
      </c>
      <c r="M174" s="9" t="n">
        <v>0</v>
      </c>
      <c r="N174" s="9" t="n">
        <v>0</v>
      </c>
      <c r="O174" s="10" t="n">
        <v>0</v>
      </c>
      <c r="P174" s="10" t="n">
        <v>0</v>
      </c>
      <c r="Q174" s="10" t="n">
        <v>0</v>
      </c>
      <c r="R174" s="10" t="n">
        <v>0</v>
      </c>
      <c r="S174" s="10" t="n">
        <v>0</v>
      </c>
    </row>
    <row r="175" ht="157" customHeight="1">
      <c r="A175" s="6">
        <f>IFERROR(__xludf.DUMMYFUNCTION("""COMPUTED_VALUE"""),"ILS test")</f>
        <v/>
      </c>
      <c r="B175" s="6">
        <f>IFERROR(__xludf.DUMMYFUNCTION("""COMPUTED_VALUE"""),"Resource")</f>
        <v/>
      </c>
      <c r="C175" s="6">
        <f>IFERROR(__xludf.DUMMYFUNCTION("""COMPUTED_VALUE"""),"This is a doc test for the ils.docx")</f>
        <v/>
      </c>
      <c r="D175" s="7">
        <f>IFERROR(__xludf.DUMMYFUNCTION("""COMPUTED_VALUE"""),"This is a doc test for the ils !")</f>
        <v/>
      </c>
      <c r="E175" s="7">
        <f>IFERROR(__xludf.DUMMYFUNCTION("""COMPUTED_VALUE"""),"application/vnd.openxmlformats-officedocument.wordprocessingml.document – A Microsoft Word document (DOCX), typically containing formatted text, images, and tables.")</f>
        <v/>
      </c>
      <c r="F175" s="7" t="n"/>
      <c r="G175" s="8" t="n">
        <v>0</v>
      </c>
      <c r="H175" s="8" t="n">
        <v>0</v>
      </c>
      <c r="I175" s="8" t="n">
        <v>0</v>
      </c>
      <c r="J175" s="8" t="n">
        <v>0</v>
      </c>
      <c r="K175" s="9" t="n">
        <v>0</v>
      </c>
      <c r="L175" s="9" t="n">
        <v>0</v>
      </c>
      <c r="M175" s="9" t="n">
        <v>0</v>
      </c>
      <c r="N175" s="9" t="n">
        <v>0</v>
      </c>
      <c r="O175" s="10" t="n">
        <v>0</v>
      </c>
      <c r="P175" s="10" t="n">
        <v>0</v>
      </c>
      <c r="Q175" s="10" t="n">
        <v>0</v>
      </c>
      <c r="R175" s="10" t="n">
        <v>0</v>
      </c>
      <c r="S175" s="10" t="n">
        <v>0</v>
      </c>
    </row>
    <row r="176" ht="145" customHeight="1">
      <c r="A176" s="6">
        <f>IFERROR(__xludf.DUMMYFUNCTION("""COMPUTED_VALUE"""),"ILS test")</f>
        <v/>
      </c>
      <c r="B176" s="6">
        <f>IFERROR(__xludf.DUMMYFUNCTION("""COMPUTED_VALUE"""),"Resource")</f>
        <v/>
      </c>
      <c r="C176" s="6">
        <f>IFERROR(__xludf.DUMMYFUNCTION("""COMPUTED_VALUE"""),"graasp doc test.graasp")</f>
        <v/>
      </c>
      <c r="D176" s="7">
        <f>IFERROR(__xludf.DUMMYFUNCTION("""COMPUTED_VALUE"""),"&lt;p&gt;This is a &lt;a href=""http://grassp.eu"" target=""_blank""&gt;Graasp&lt;/a&gt; document where one can have words in &lt;strong&gt;bold&lt;/strong&gt; and &lt;em&gt;italics&lt;/em&gt;.&lt;br&gt;&lt;/p&gt;")</f>
        <v/>
      </c>
      <c r="E176" s="7">
        <f>IFERROR(__xludf.DUMMYFUNCTION("""COMPUTED_VALUE"""),"No artifact embedded")</f>
        <v/>
      </c>
      <c r="F176" s="7" t="n"/>
      <c r="G176" s="8" t="n">
        <v>0</v>
      </c>
      <c r="H176" s="8" t="n">
        <v>0</v>
      </c>
      <c r="I176" s="8" t="n">
        <v>0</v>
      </c>
      <c r="J176" s="8" t="n">
        <v>0</v>
      </c>
      <c r="K176" s="9" t="n">
        <v>0</v>
      </c>
      <c r="L176" s="9" t="n">
        <v>0</v>
      </c>
      <c r="M176" s="9" t="n">
        <v>0</v>
      </c>
      <c r="N176" s="9" t="n">
        <v>0</v>
      </c>
      <c r="O176" s="10" t="n">
        <v>0</v>
      </c>
      <c r="P176" s="10" t="n">
        <v>0</v>
      </c>
      <c r="Q176" s="10" t="n">
        <v>0</v>
      </c>
      <c r="R176" s="10" t="n">
        <v>0</v>
      </c>
      <c r="S176" s="10" t="n">
        <v>0</v>
      </c>
    </row>
    <row r="177" ht="409.5" customHeight="1">
      <c r="A177" s="6">
        <f>IFERROR(__xludf.DUMMYFUNCTION("""COMPUTED_VALUE"""),"ILS test")</f>
        <v/>
      </c>
      <c r="B177" s="6">
        <f>IFERROR(__xludf.DUMMYFUNCTION("""COMPUTED_VALUE"""),"Application")</f>
        <v/>
      </c>
      <c r="C177" s="6">
        <f>IFERROR(__xludf.DUMMYFUNCTION("""COMPUTED_VALUE"""),"Hypothesis Scratchpad")</f>
        <v/>
      </c>
      <c r="D177" s="7">
        <f>IFERROR(__xludf.DUMMYFUNCTION("""COMPUTED_VALUE"""),"No task description")</f>
        <v/>
      </c>
      <c r="E177"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77" s="7" t="n"/>
      <c r="G177" s="8" t="n">
        <v>0</v>
      </c>
      <c r="H177" s="8" t="n">
        <v>0</v>
      </c>
      <c r="I177" s="8" t="n">
        <v>0</v>
      </c>
      <c r="J177" s="8" t="n">
        <v>0</v>
      </c>
      <c r="K177" s="9" t="n">
        <v>0</v>
      </c>
      <c r="L177" s="9" t="n">
        <v>0</v>
      </c>
      <c r="M177" s="9" t="n">
        <v>0</v>
      </c>
      <c r="N177" s="9" t="n">
        <v>0</v>
      </c>
      <c r="O177" s="10" t="n">
        <v>0</v>
      </c>
      <c r="P177" s="10" t="n">
        <v>0</v>
      </c>
      <c r="Q177" s="10" t="n">
        <v>0</v>
      </c>
      <c r="R177" s="10" t="n">
        <v>0</v>
      </c>
      <c r="S177" s="10" t="n">
        <v>0</v>
      </c>
    </row>
    <row r="178" ht="109" customHeight="1">
      <c r="A178" s="6">
        <f>IFERROR(__xludf.DUMMYFUNCTION("""COMPUTED_VALUE"""),"ILS test")</f>
        <v/>
      </c>
      <c r="B178" s="6">
        <f>IFERROR(__xludf.DUMMYFUNCTION("""COMPUTED_VALUE"""),"Topic")</f>
        <v/>
      </c>
      <c r="C178" s="6">
        <f>IFERROR(__xludf.DUMMYFUNCTION("""COMPUTED_VALUE"""),"discussion test")</f>
        <v/>
      </c>
      <c r="D178" s="7">
        <f>IFERROR(__xludf.DUMMYFUNCTION("""COMPUTED_VALUE"""),"No task description")</f>
        <v/>
      </c>
      <c r="E178" s="7">
        <f>IFERROR(__xludf.DUMMYFUNCTION("""COMPUTED_VALUE"""),"text/html – A webpage or web document that contains structured text, images, and links, designed for display in a web browser.")</f>
        <v/>
      </c>
      <c r="F178" s="7" t="n"/>
      <c r="G178" s="8" t="n">
        <v>0</v>
      </c>
      <c r="H178" s="8" t="n">
        <v>0</v>
      </c>
      <c r="I178" s="8" t="n">
        <v>0</v>
      </c>
      <c r="J178" s="8" t="n">
        <v>0</v>
      </c>
      <c r="K178" s="9" t="n">
        <v>0</v>
      </c>
      <c r="L178" s="9" t="n">
        <v>0</v>
      </c>
      <c r="M178" s="9" t="n">
        <v>0</v>
      </c>
      <c r="N178" s="9" t="n">
        <v>0</v>
      </c>
      <c r="O178" s="10" t="n">
        <v>0</v>
      </c>
      <c r="P178" s="10" t="n">
        <v>0</v>
      </c>
      <c r="Q178" s="10" t="n">
        <v>0</v>
      </c>
      <c r="R178" s="10" t="n">
        <v>0</v>
      </c>
      <c r="S178" s="10" t="n">
        <v>0</v>
      </c>
    </row>
    <row r="179" ht="85" customHeight="1">
      <c r="A179" s="6">
        <f>IFERROR(__xludf.DUMMYFUNCTION("""COMPUTED_VALUE"""),"ILS test")</f>
        <v/>
      </c>
      <c r="B179" s="6">
        <f>IFERROR(__xludf.DUMMYFUNCTION("""COMPUTED_VALUE"""),"Resource")</f>
        <v/>
      </c>
      <c r="C179" s="6">
        <f>IFERROR(__xludf.DUMMYFUNCTION("""COMPUTED_VALUE"""),"Home | Golabz")</f>
        <v/>
      </c>
      <c r="D179" s="7">
        <f>IFERROR(__xludf.DUMMYFUNCTION("""COMPUTED_VALUE"""),"No task description")</f>
        <v/>
      </c>
      <c r="E179" s="7">
        <f>IFERROR(__xludf.DUMMYFUNCTION("""COMPUTED_VALUE"""),"golabz.eu: A platform for finding and sharing online labs and inquiry learning applications.")</f>
        <v/>
      </c>
      <c r="F179" s="7" t="n"/>
      <c r="G179" s="8" t="n">
        <v>0</v>
      </c>
      <c r="H179" s="8" t="n">
        <v>0</v>
      </c>
      <c r="I179" s="8" t="n">
        <v>0</v>
      </c>
      <c r="J179" s="8" t="n">
        <v>0</v>
      </c>
      <c r="K179" s="9" t="n">
        <v>0</v>
      </c>
      <c r="L179" s="9" t="n">
        <v>0</v>
      </c>
      <c r="M179" s="9" t="n">
        <v>0</v>
      </c>
      <c r="N179" s="9" t="n">
        <v>0</v>
      </c>
      <c r="O179" s="10" t="n">
        <v>0</v>
      </c>
      <c r="P179" s="10" t="n">
        <v>0</v>
      </c>
      <c r="Q179" s="10" t="n">
        <v>0</v>
      </c>
      <c r="R179" s="10" t="n">
        <v>0</v>
      </c>
      <c r="S179" s="10" t="n">
        <v>0</v>
      </c>
    </row>
    <row r="180" ht="25" customHeight="1">
      <c r="A180" s="6">
        <f>IFERROR(__xludf.DUMMYFUNCTION("""COMPUTED_VALUE"""),"ILS test")</f>
        <v/>
      </c>
      <c r="B180" s="6">
        <f>IFERROR(__xludf.DUMMYFUNCTION("""COMPUTED_VALUE"""),"Space")</f>
        <v/>
      </c>
      <c r="C180" s="6">
        <f>IFERROR(__xludf.DUMMYFUNCTION("""COMPUTED_VALUE"""),"phase2")</f>
        <v/>
      </c>
      <c r="D180" s="7">
        <f>IFERROR(__xludf.DUMMYFUNCTION("""COMPUTED_VALUE"""),"No task description")</f>
        <v/>
      </c>
      <c r="E180" s="7">
        <f>IFERROR(__xludf.DUMMYFUNCTION("""COMPUTED_VALUE"""),"No artifact embedded")</f>
        <v/>
      </c>
      <c r="F180" s="7" t="n"/>
      <c r="G180" s="8" t="n">
        <v>0</v>
      </c>
      <c r="H180" s="8" t="n">
        <v>0</v>
      </c>
      <c r="I180" s="8" t="n">
        <v>0</v>
      </c>
      <c r="J180" s="8" t="n">
        <v>0</v>
      </c>
      <c r="K180" s="9" t="n">
        <v>0</v>
      </c>
      <c r="L180" s="9" t="n">
        <v>0</v>
      </c>
      <c r="M180" s="9" t="n">
        <v>0</v>
      </c>
      <c r="N180" s="9" t="n">
        <v>0</v>
      </c>
      <c r="O180" s="10" t="n">
        <v>0</v>
      </c>
      <c r="P180" s="10" t="n">
        <v>0</v>
      </c>
      <c r="Q180" s="10" t="n">
        <v>0</v>
      </c>
      <c r="R180" s="10" t="n">
        <v>0</v>
      </c>
      <c r="S180" s="10" t="n">
        <v>0</v>
      </c>
    </row>
    <row r="181" ht="329" customHeight="1">
      <c r="A181" s="6">
        <f>IFERROR(__xludf.DUMMYFUNCTION("""COMPUTED_VALUE"""),"ILS test")</f>
        <v/>
      </c>
      <c r="B181" s="6">
        <f>IFERROR(__xludf.DUMMYFUNCTION("""COMPUTED_VALUE"""),"Application")</f>
        <v/>
      </c>
      <c r="C181" s="6">
        <f>IFERROR(__xludf.DUMMYFUNCTION("""COMPUTED_VALUE"""),"Input Box")</f>
        <v/>
      </c>
      <c r="D181" s="7">
        <f>IFERROR(__xludf.DUMMYFUNCTION("""COMPUTED_VALUE"""),"No task description")</f>
        <v/>
      </c>
      <c r="E1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1" s="7" t="n"/>
      <c r="G181" s="8" t="n">
        <v>0</v>
      </c>
      <c r="H181" s="8" t="n">
        <v>0</v>
      </c>
      <c r="I181" s="8" t="n">
        <v>0</v>
      </c>
      <c r="J181" s="8" t="n">
        <v>0</v>
      </c>
      <c r="K181" s="9" t="n">
        <v>0</v>
      </c>
      <c r="L181" s="9" t="n">
        <v>0</v>
      </c>
      <c r="M181" s="9" t="n">
        <v>0</v>
      </c>
      <c r="N181" s="9" t="n">
        <v>0</v>
      </c>
      <c r="O181" s="10" t="n">
        <v>0</v>
      </c>
      <c r="P181" s="10" t="n">
        <v>0</v>
      </c>
      <c r="Q181" s="10" t="n">
        <v>0</v>
      </c>
      <c r="R181" s="10" t="n">
        <v>0</v>
      </c>
      <c r="S181" s="10" t="n">
        <v>0</v>
      </c>
    </row>
    <row r="182" ht="241" customHeight="1">
      <c r="A182" s="6">
        <f>IFERROR(__xludf.DUMMYFUNCTION("""COMPUTED_VALUE"""),"ILS test")</f>
        <v/>
      </c>
      <c r="B182" s="6">
        <f>IFERROR(__xludf.DUMMYFUNCTION("""COMPUTED_VALUE"""),"Application")</f>
        <v/>
      </c>
      <c r="C182" s="6">
        <f>IFERROR(__xludf.DUMMYFUNCTION("""COMPUTED_VALUE"""),"Quest")</f>
        <v/>
      </c>
      <c r="D182" s="7">
        <f>IFERROR(__xludf.DUMMYFUNCTION("""COMPUTED_VALUE"""),"No task description")</f>
        <v/>
      </c>
      <c r="E182"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182" s="7" t="n"/>
      <c r="G182" s="8" t="n">
        <v>0</v>
      </c>
      <c r="H182" s="8" t="n">
        <v>0</v>
      </c>
      <c r="I182" s="8" t="n">
        <v>0</v>
      </c>
      <c r="J182" s="8" t="n">
        <v>0</v>
      </c>
      <c r="K182" s="9" t="n">
        <v>0</v>
      </c>
      <c r="L182" s="9" t="n">
        <v>0</v>
      </c>
      <c r="M182" s="9" t="n">
        <v>0</v>
      </c>
      <c r="N182" s="9" t="n">
        <v>0</v>
      </c>
      <c r="O182" s="10" t="n">
        <v>0</v>
      </c>
      <c r="P182" s="10" t="n">
        <v>0</v>
      </c>
      <c r="Q182" s="10" t="n">
        <v>0</v>
      </c>
      <c r="R182" s="10" t="n">
        <v>0</v>
      </c>
      <c r="S182" s="10" t="n">
        <v>0</v>
      </c>
    </row>
    <row r="183" ht="329" customHeight="1">
      <c r="A183" s="6">
        <f>IFERROR(__xludf.DUMMYFUNCTION("""COMPUTED_VALUE"""),"ILS test")</f>
        <v/>
      </c>
      <c r="B183" s="6">
        <f>IFERROR(__xludf.DUMMYFUNCTION("""COMPUTED_VALUE"""),"Application")</f>
        <v/>
      </c>
      <c r="C183" s="6">
        <f>IFERROR(__xludf.DUMMYFUNCTION("""COMPUTED_VALUE"""),"Input Box (1)")</f>
        <v/>
      </c>
      <c r="D183" s="7">
        <f>IFERROR(__xludf.DUMMYFUNCTION("""COMPUTED_VALUE"""),"&lt;p&gt;&lt;em&gt;Merci &lt;/em&gt;d'&lt;strong&gt;écrire un commentaire ;-)&lt;/strong&gt;&lt;/p&gt;")</f>
        <v/>
      </c>
      <c r="E18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3" s="7" t="n"/>
      <c r="G183" s="8" t="n">
        <v>0</v>
      </c>
      <c r="H183" s="8" t="n">
        <v>0</v>
      </c>
      <c r="I183" s="8" t="n">
        <v>0</v>
      </c>
      <c r="J183" s="8" t="n">
        <v>0</v>
      </c>
      <c r="K183" s="9" t="n">
        <v>0</v>
      </c>
      <c r="L183" s="9" t="n">
        <v>0</v>
      </c>
      <c r="M183" s="9" t="n">
        <v>0</v>
      </c>
      <c r="N183" s="9" t="n">
        <v>0</v>
      </c>
      <c r="O183" s="10" t="n">
        <v>0</v>
      </c>
      <c r="P183" s="10" t="n">
        <v>0</v>
      </c>
      <c r="Q183" s="10" t="n">
        <v>0</v>
      </c>
      <c r="R183" s="10" t="n">
        <v>0</v>
      </c>
      <c r="S183" s="10" t="n">
        <v>0</v>
      </c>
    </row>
    <row r="184" ht="409.5" customHeight="1">
      <c r="A184" s="6">
        <f>IFERROR(__xludf.DUMMYFUNCTION("""COMPUTED_VALUE"""),"ILS test")</f>
        <v/>
      </c>
      <c r="B184" s="6">
        <f>IFERROR(__xludf.DUMMYFUNCTION("""COMPUTED_VALUE"""),"Application")</f>
        <v/>
      </c>
      <c r="C184" s="6">
        <f>IFERROR(__xludf.DUMMYFUNCTION("""COMPUTED_VALUE"""),"Hypothesis Scratchpad")</f>
        <v/>
      </c>
      <c r="D184" s="7">
        <f>IFERROR(__xludf.DUMMYFUNCTION("""COMPUTED_VALUE"""),"&lt;p&gt;Create your hypothesis&lt;/p&gt;")</f>
        <v/>
      </c>
      <c r="E184"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84" s="7" t="n"/>
      <c r="G184" s="8" t="n">
        <v>0</v>
      </c>
      <c r="H184" s="8" t="n">
        <v>0</v>
      </c>
      <c r="I184" s="8" t="n">
        <v>1</v>
      </c>
      <c r="J184" s="8" t="n">
        <v>0</v>
      </c>
      <c r="K184" s="9" t="n">
        <v>0</v>
      </c>
      <c r="L184" s="9" t="n">
        <v>1</v>
      </c>
      <c r="M184" s="9" t="n">
        <v>0</v>
      </c>
      <c r="N184" s="9" t="n">
        <v>0</v>
      </c>
      <c r="O184" s="10" t="n">
        <v>0</v>
      </c>
      <c r="P184" s="10" t="n">
        <v>1</v>
      </c>
      <c r="Q184" s="10" t="n">
        <v>0</v>
      </c>
      <c r="R184" s="10" t="n">
        <v>0</v>
      </c>
      <c r="S184" s="10" t="n">
        <v>0</v>
      </c>
    </row>
    <row r="185" ht="409.5" customHeight="1">
      <c r="A185" s="6">
        <f>IFERROR(__xludf.DUMMYFUNCTION("""COMPUTED_VALUE"""),"ILS test")</f>
        <v/>
      </c>
      <c r="B185" s="6">
        <f>IFERROR(__xludf.DUMMYFUNCTION("""COMPUTED_VALUE"""),"Application")</f>
        <v/>
      </c>
      <c r="C185" s="6">
        <f>IFERROR(__xludf.DUMMYFUNCTION("""COMPUTED_VALUE"""),"Create a concept mapper")</f>
        <v/>
      </c>
      <c r="D185" s="7">
        <f>IFERROR(__xludf.DUMMYFUNCTION("""COMPUTED_VALUE"""),"No task description")</f>
        <v/>
      </c>
      <c r="E185"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85" s="7" t="n"/>
      <c r="G185" s="8" t="n">
        <v>0</v>
      </c>
      <c r="H185" s="8" t="n">
        <v>0</v>
      </c>
      <c r="I185" s="8" t="n">
        <v>0</v>
      </c>
      <c r="J185" s="8" t="n">
        <v>0</v>
      </c>
      <c r="K185" s="9" t="n">
        <v>0</v>
      </c>
      <c r="L185" s="9" t="n">
        <v>0</v>
      </c>
      <c r="M185" s="9" t="n">
        <v>0</v>
      </c>
      <c r="N185" s="9" t="n">
        <v>0</v>
      </c>
      <c r="O185" s="10" t="n">
        <v>0</v>
      </c>
      <c r="P185" s="10" t="n">
        <v>0</v>
      </c>
      <c r="Q185" s="10" t="n">
        <v>0</v>
      </c>
      <c r="R185" s="10" t="n">
        <v>0</v>
      </c>
      <c r="S185" s="10" t="n">
        <v>0</v>
      </c>
    </row>
    <row r="186" ht="409.5" customHeight="1">
      <c r="A186" s="6">
        <f>IFERROR(__xludf.DUMMYFUNCTION("""COMPUTED_VALUE"""),"ILS test")</f>
        <v/>
      </c>
      <c r="B186" s="6">
        <f>IFERROR(__xludf.DUMMYFUNCTION("""COMPUTED_VALUE"""),"Application")</f>
        <v/>
      </c>
      <c r="C186" s="6">
        <f>IFERROR(__xludf.DUMMYFUNCTION("""COMPUTED_VALUE"""),"Table Tool")</f>
        <v/>
      </c>
      <c r="D186" s="7">
        <f>IFERROR(__xludf.DUMMYFUNCTION("""COMPUTED_VALUE"""),"No task description")</f>
        <v/>
      </c>
      <c r="E18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86" s="7" t="n"/>
      <c r="G186" s="8" t="n">
        <v>0</v>
      </c>
      <c r="H186" s="8" t="n">
        <v>0</v>
      </c>
      <c r="I186" s="8" t="n">
        <v>0</v>
      </c>
      <c r="J186" s="8" t="n">
        <v>0</v>
      </c>
      <c r="K186" s="9" t="n">
        <v>0</v>
      </c>
      <c r="L186" s="9" t="n">
        <v>0</v>
      </c>
      <c r="M186" s="9" t="n">
        <v>0</v>
      </c>
      <c r="N186" s="9" t="n">
        <v>0</v>
      </c>
      <c r="O186" s="10" t="n">
        <v>0</v>
      </c>
      <c r="P186" s="10" t="n">
        <v>0</v>
      </c>
      <c r="Q186" s="10" t="n">
        <v>0</v>
      </c>
      <c r="R186" s="10" t="n">
        <v>0</v>
      </c>
      <c r="S186" s="10" t="n">
        <v>0</v>
      </c>
    </row>
    <row r="187" ht="409.5" customHeight="1">
      <c r="A187" s="6">
        <f>IFERROR(__xludf.DUMMYFUNCTION("""COMPUTED_VALUE"""),"ILS test")</f>
        <v/>
      </c>
      <c r="B187" s="6">
        <f>IFERROR(__xludf.DUMMYFUNCTION("""COMPUTED_VALUE"""),"Application")</f>
        <v/>
      </c>
      <c r="C187" s="6">
        <f>IFERROR(__xludf.DUMMYFUNCTION("""COMPUTED_VALUE"""),"data viewer graphique de courses")</f>
        <v/>
      </c>
      <c r="D187" s="7">
        <f>IFERROR(__xludf.DUMMYFUNCTION("""COMPUTED_VALUE"""),"&lt;p&gt;Q&lt;/p&gt;")</f>
        <v/>
      </c>
      <c r="E187"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187" s="7" t="n"/>
      <c r="G187" s="8" t="n">
        <v>0</v>
      </c>
      <c r="H187" s="8" t="n">
        <v>0</v>
      </c>
      <c r="I187" s="8" t="n">
        <v>0</v>
      </c>
      <c r="J187" s="8" t="n">
        <v>0</v>
      </c>
      <c r="K187" s="9" t="n">
        <v>0</v>
      </c>
      <c r="L187" s="9" t="n">
        <v>0</v>
      </c>
      <c r="M187" s="9" t="n">
        <v>0</v>
      </c>
      <c r="N187" s="9" t="n">
        <v>0</v>
      </c>
      <c r="O187" s="10" t="n">
        <v>0</v>
      </c>
      <c r="P187" s="10" t="n">
        <v>0</v>
      </c>
      <c r="Q187" s="10" t="n">
        <v>0</v>
      </c>
      <c r="R187" s="10" t="n">
        <v>0</v>
      </c>
      <c r="S187" s="10" t="n">
        <v>0</v>
      </c>
    </row>
    <row r="188" ht="25" customHeight="1">
      <c r="A188" s="6">
        <f>IFERROR(__xludf.DUMMYFUNCTION("""COMPUTED_VALUE"""),"ILS test")</f>
        <v/>
      </c>
      <c r="B188" s="6">
        <f>IFERROR(__xludf.DUMMYFUNCTION("""COMPUTED_VALUE"""),"Space")</f>
        <v/>
      </c>
      <c r="C188" s="6">
        <f>IFERROR(__xludf.DUMMYFUNCTION("""COMPUTED_VALUE"""),"Conclusion")</f>
        <v/>
      </c>
      <c r="D188" s="7">
        <f>IFERROR(__xludf.DUMMYFUNCTION("""COMPUTED_VALUE"""),"No task description")</f>
        <v/>
      </c>
      <c r="E188" s="7">
        <f>IFERROR(__xludf.DUMMYFUNCTION("""COMPUTED_VALUE"""),"No artifact embedded")</f>
        <v/>
      </c>
      <c r="F188" s="7" t="n"/>
      <c r="G188" s="8" t="n">
        <v>0</v>
      </c>
      <c r="H188" s="8" t="n">
        <v>0</v>
      </c>
      <c r="I188" s="8" t="n">
        <v>0</v>
      </c>
      <c r="J188" s="8" t="n">
        <v>0</v>
      </c>
      <c r="K188" s="9" t="n">
        <v>0</v>
      </c>
      <c r="L188" s="9" t="n">
        <v>0</v>
      </c>
      <c r="M188" s="9" t="n">
        <v>0</v>
      </c>
      <c r="N188" s="9" t="n">
        <v>0</v>
      </c>
      <c r="O188" s="10" t="n">
        <v>0</v>
      </c>
      <c r="P188" s="10" t="n">
        <v>0</v>
      </c>
      <c r="Q188" s="10" t="n">
        <v>0</v>
      </c>
      <c r="R188" s="10" t="n">
        <v>0</v>
      </c>
      <c r="S188" s="10" t="n">
        <v>0</v>
      </c>
    </row>
    <row r="189" ht="25" customHeight="1">
      <c r="A189" s="6">
        <f>IFERROR(__xludf.DUMMYFUNCTION("""COMPUTED_VALUE"""),"ILS test")</f>
        <v/>
      </c>
      <c r="B189" s="6">
        <f>IFERROR(__xludf.DUMMYFUNCTION("""COMPUTED_VALUE"""),"Space")</f>
        <v/>
      </c>
      <c r="C189" s="6">
        <f>IFERROR(__xludf.DUMMYFUNCTION("""COMPUTED_VALUE"""),"Discussion")</f>
        <v/>
      </c>
      <c r="D189" s="7">
        <f>IFERROR(__xludf.DUMMYFUNCTION("""COMPUTED_VALUE"""),"No task description")</f>
        <v/>
      </c>
      <c r="E189" s="7">
        <f>IFERROR(__xludf.DUMMYFUNCTION("""COMPUTED_VALUE"""),"No artifact embedded")</f>
        <v/>
      </c>
      <c r="F189" s="7" t="n"/>
      <c r="G189" s="8" t="n">
        <v>0</v>
      </c>
      <c r="H189" s="8" t="n">
        <v>0</v>
      </c>
      <c r="I189" s="8" t="n">
        <v>0</v>
      </c>
      <c r="J189" s="8" t="n">
        <v>0</v>
      </c>
      <c r="K189" s="9" t="n">
        <v>0</v>
      </c>
      <c r="L189" s="9" t="n">
        <v>0</v>
      </c>
      <c r="M189" s="9" t="n">
        <v>0</v>
      </c>
      <c r="N189" s="9" t="n">
        <v>0</v>
      </c>
      <c r="O189" s="10" t="n">
        <v>0</v>
      </c>
      <c r="P189" s="10" t="n">
        <v>0</v>
      </c>
      <c r="Q189" s="10" t="n">
        <v>0</v>
      </c>
      <c r="R189" s="10" t="n">
        <v>0</v>
      </c>
      <c r="S189" s="10" t="n">
        <v>0</v>
      </c>
    </row>
    <row r="190" ht="25" customHeight="1">
      <c r="A190" s="6">
        <f>IFERROR(__xludf.DUMMYFUNCTION("""COMPUTED_VALUE"""),"EPFL: Ecole Polytechnique de Lausanne")</f>
        <v/>
      </c>
      <c r="B190" s="6">
        <f>IFERROR(__xludf.DUMMYFUNCTION("""COMPUTED_VALUE"""),"Space")</f>
        <v/>
      </c>
      <c r="C190" s="6">
        <f>IFERROR(__xludf.DUMMYFUNCTION("""COMPUTED_VALUE"""),"Introduction")</f>
        <v/>
      </c>
      <c r="D190" s="7">
        <f>IFERROR(__xludf.DUMMYFUNCTION("""COMPUTED_VALUE"""),"No task description")</f>
        <v/>
      </c>
      <c r="E190" s="7">
        <f>IFERROR(__xludf.DUMMYFUNCTION("""COMPUTED_VALUE"""),"No artifact embedded")</f>
        <v/>
      </c>
      <c r="F190" s="7" t="n"/>
      <c r="G190" s="8" t="n">
        <v>0</v>
      </c>
      <c r="H190" s="8" t="n">
        <v>0</v>
      </c>
      <c r="I190" s="8" t="n">
        <v>0</v>
      </c>
      <c r="J190" s="8" t="n">
        <v>0</v>
      </c>
      <c r="K190" s="9" t="n">
        <v>0</v>
      </c>
      <c r="L190" s="9" t="n">
        <v>0</v>
      </c>
      <c r="M190" s="9" t="n">
        <v>0</v>
      </c>
      <c r="N190" s="9" t="n">
        <v>0</v>
      </c>
      <c r="O190" s="10" t="n">
        <v>0</v>
      </c>
      <c r="P190" s="10" t="n">
        <v>0</v>
      </c>
      <c r="Q190" s="10" t="n">
        <v>0</v>
      </c>
      <c r="R190" s="10" t="n">
        <v>0</v>
      </c>
      <c r="S190" s="10" t="n">
        <v>0</v>
      </c>
    </row>
    <row r="191" ht="307" customHeight="1">
      <c r="A191" s="6">
        <f>IFERROR(__xludf.DUMMYFUNCTION("""COMPUTED_VALUE"""),"EPFL: Ecole Polytechnique de Lausanne")</f>
        <v/>
      </c>
      <c r="B191" s="6">
        <f>IFERROR(__xludf.DUMMYFUNCTION("""COMPUTED_VALUE"""),"Resource")</f>
        <v/>
      </c>
      <c r="C191" s="6">
        <f>IFERROR(__xludf.DUMMYFUNCTION("""COMPUTED_VALUE"""),"intro.graasp")</f>
        <v/>
      </c>
      <c r="D191" s="7">
        <f>IFERROR(__xludf.DUMMYFUNCTION("""COMPUTED_VALUE"""),"&lt;p&gt;The École polytechnique fédérale de Lausanne (EPFL) is a research institute and university in Lausanne, Switzerland, that specializes in natural sciences and engineering.[4] It is one of the two Swiss Federal Institutes of Technology, and it has three "&amp;"main missions: education, research and technology transfer at the highest international level.&lt;/p&gt;")</f>
        <v/>
      </c>
      <c r="E191" s="7">
        <f>IFERROR(__xludf.DUMMYFUNCTION("""COMPUTED_VALUE"""),"No artifact embedded")</f>
        <v/>
      </c>
      <c r="F191" s="7" t="n"/>
      <c r="G191" s="8" t="n">
        <v>1</v>
      </c>
      <c r="H191" s="8" t="n">
        <v>0</v>
      </c>
      <c r="I191" s="8" t="n">
        <v>0</v>
      </c>
      <c r="J191" s="8" t="n">
        <v>0</v>
      </c>
      <c r="K191" s="9" t="n">
        <v>1</v>
      </c>
      <c r="L191" s="9" t="n">
        <v>0</v>
      </c>
      <c r="M191" s="9" t="n">
        <v>0</v>
      </c>
      <c r="N191" s="9" t="n">
        <v>0</v>
      </c>
      <c r="O191" s="10" t="n">
        <v>1</v>
      </c>
      <c r="P191" s="10" t="n">
        <v>0</v>
      </c>
      <c r="Q191" s="10" t="n">
        <v>0</v>
      </c>
      <c r="R191" s="10" t="n">
        <v>0</v>
      </c>
      <c r="S191" s="10" t="n">
        <v>0</v>
      </c>
    </row>
    <row r="192" ht="121" customHeight="1">
      <c r="A192" s="6">
        <f>IFERROR(__xludf.DUMMYFUNCTION("""COMPUTED_VALUE"""),"EPFL: Ecole Polytechnique de Lausanne")</f>
        <v/>
      </c>
      <c r="B192" s="6">
        <f>IFERROR(__xludf.DUMMYFUNCTION("""COMPUTED_VALUE"""),"Resource")</f>
        <v/>
      </c>
      <c r="C192" s="6">
        <f>IFERROR(__xludf.DUMMYFUNCTION("""COMPUTED_VALUE"""),"Welcome To EPFL - 2018")</f>
        <v/>
      </c>
      <c r="D192" s="7">
        <f>IFERROR(__xludf.DUMMYFUNCTION("""COMPUTED_VALUE"""),"No task description")</f>
        <v/>
      </c>
      <c r="E192" s="7">
        <f>IFERROR(__xludf.DUMMYFUNCTION("""COMPUTED_VALUE"""),"youtube.com: A widely known video-sharing platform where users can watch videos on a vast array of topics, including educational content.")</f>
        <v/>
      </c>
      <c r="F192" s="7" t="n"/>
      <c r="G192" s="8" t="n">
        <v>1</v>
      </c>
      <c r="H192" s="8" t="n">
        <v>0</v>
      </c>
      <c r="I192" s="8" t="n">
        <v>0</v>
      </c>
      <c r="J192" s="8" t="n">
        <v>0</v>
      </c>
      <c r="K192" s="9" t="n">
        <v>1</v>
      </c>
      <c r="L192" s="9" t="n">
        <v>0</v>
      </c>
      <c r="M192" s="9" t="n">
        <v>0</v>
      </c>
      <c r="N192" s="9" t="n">
        <v>0</v>
      </c>
      <c r="O192" s="10" t="n">
        <v>0</v>
      </c>
      <c r="P192" s="10" t="n">
        <v>0</v>
      </c>
      <c r="Q192" s="10" t="n">
        <v>0</v>
      </c>
      <c r="R192" s="10" t="n">
        <v>0</v>
      </c>
      <c r="S192" s="10" t="n">
        <v>0</v>
      </c>
    </row>
    <row r="193" ht="25" customHeight="1">
      <c r="A193" s="6">
        <f>IFERROR(__xludf.DUMMYFUNCTION("""COMPUTED_VALUE"""),"EPFL: Ecole Polytechnique de Lausanne")</f>
        <v/>
      </c>
      <c r="B193" s="6">
        <f>IFERROR(__xludf.DUMMYFUNCTION("""COMPUTED_VALUE"""),"Space")</f>
        <v/>
      </c>
      <c r="C193" s="6">
        <f>IFERROR(__xludf.DUMMYFUNCTION("""COMPUTED_VALUE"""),"Histoire")</f>
        <v/>
      </c>
      <c r="D193" s="7">
        <f>IFERROR(__xludf.DUMMYFUNCTION("""COMPUTED_VALUE"""),"&lt;p&gt;This is a chapter&lt;/p&gt;")</f>
        <v/>
      </c>
      <c r="E193" s="7">
        <f>IFERROR(__xludf.DUMMYFUNCTION("""COMPUTED_VALUE"""),"No artifact embedded")</f>
        <v/>
      </c>
      <c r="F193" s="7" t="n"/>
      <c r="G193" s="8" t="n">
        <v>0</v>
      </c>
      <c r="H193" s="8" t="n">
        <v>0</v>
      </c>
      <c r="I193" s="8" t="n">
        <v>0</v>
      </c>
      <c r="J193" s="8" t="n">
        <v>0</v>
      </c>
      <c r="K193" s="9" t="n">
        <v>0</v>
      </c>
      <c r="L193" s="9" t="n">
        <v>0</v>
      </c>
      <c r="M193" s="9" t="n">
        <v>0</v>
      </c>
      <c r="N193" s="9" t="n">
        <v>0</v>
      </c>
      <c r="O193" s="10" t="n">
        <v>0</v>
      </c>
      <c r="P193" s="10" t="n">
        <v>0</v>
      </c>
      <c r="Q193" s="10" t="n">
        <v>0</v>
      </c>
      <c r="R193" s="10" t="n">
        <v>0</v>
      </c>
      <c r="S193" s="10" t="n">
        <v>0</v>
      </c>
    </row>
    <row r="194" ht="409.5" customHeight="1">
      <c r="A194" s="6">
        <f>IFERROR(__xludf.DUMMYFUNCTION("""COMPUTED_VALUE"""),"EPFL: Ecole Polytechnique de Lausanne")</f>
        <v/>
      </c>
      <c r="B194" s="6">
        <f>IFERROR(__xludf.DUMMYFUNCTION("""COMPUTED_VALUE"""),"Resource")</f>
        <v/>
      </c>
      <c r="C194" s="6">
        <f>IFERROR(__xludf.DUMMYFUNCTION("""COMPUTED_VALUE"""),"history.graasp")</f>
        <v/>
      </c>
      <c r="D194" s="7">
        <f>IFERROR(__xludf.DUMMYFUNCTION("""COMPUTED_VALUE"""),"&lt;p&gt;The roots of modern-day EPFL can be traced back to the foundation of a private school under the name École spéciale de Lausanne in 1853 at the initiative of Lois Rivier, a graduate of the École Centrale Paris and John Gay, the then professor and rector"&amp;" of the Académie de Lausanne. At its inception it had only 11 students and the offices was located at Rue du Valentin in Lausanne. In 1869, it became the technical department of the public Académie de Lausanne. When the Académie was reorganised and acquir"&amp;"ed the status of a university in 1890, the technical faculty changed its name to École d'ingénieurs de l'Université de Lausanne. In 1946, it was renamed the École polytechnique de l'Université de Lausanne (EPUL). In 1969, the EPUL was separated from the r"&amp;"est of the University of Lausanne and became a federal institute under its current name. EPFL, like ETH Zurich, is thus directly controlled by the Swiss federal government. In contrast, all other universities in Switzerland are controlled by their respect"&amp;"ive cantonal governments. Following the nomination of Patrick Aebischer as president in 2000, EPFL has started to develop into the field of life sciences. It absorbed the Swiss Institute for Experimental Cancer Research (ISREC) in 2008.[12]&lt;/p&gt;")</f>
        <v/>
      </c>
      <c r="E194" s="7">
        <f>IFERROR(__xludf.DUMMYFUNCTION("""COMPUTED_VALUE"""),"No artifact embedded")</f>
        <v/>
      </c>
      <c r="F194" s="7" t="n"/>
      <c r="G194" s="8" t="n">
        <v>1</v>
      </c>
      <c r="H194" s="8" t="n">
        <v>0</v>
      </c>
      <c r="I194" s="8" t="n">
        <v>0</v>
      </c>
      <c r="J194" s="8" t="n">
        <v>0</v>
      </c>
      <c r="K194" s="9" t="n">
        <v>1</v>
      </c>
      <c r="L194" s="9" t="n">
        <v>0</v>
      </c>
      <c r="M194" s="9" t="n">
        <v>0</v>
      </c>
      <c r="N194" s="9" t="n">
        <v>0</v>
      </c>
      <c r="O194" s="10" t="n">
        <v>1</v>
      </c>
      <c r="P194" s="10" t="n">
        <v>0</v>
      </c>
      <c r="Q194" s="10" t="n">
        <v>0</v>
      </c>
      <c r="R194" s="10" t="n">
        <v>0</v>
      </c>
      <c r="S194" s="10" t="n">
        <v>0</v>
      </c>
    </row>
    <row r="195" ht="121" customHeight="1">
      <c r="A195" s="6">
        <f>IFERROR(__xludf.DUMMYFUNCTION("""COMPUTED_VALUE"""),"EPFL: Ecole Polytechnique de Lausanne")</f>
        <v/>
      </c>
      <c r="B195" s="6">
        <f>IFERROR(__xludf.DUMMYFUNCTION("""COMPUTED_VALUE"""),"Resource")</f>
        <v/>
      </c>
      <c r="C195" s="6">
        <f>IFERROR(__xludf.DUMMYFUNCTION("""COMPUTED_VALUE"""),"Ecole_spéciale_de_Lausanne_1857.jpg")</f>
        <v/>
      </c>
      <c r="D195" s="7">
        <f>IFERROR(__xludf.DUMMYFUNCTION("""COMPUTED_VALUE"""),"&lt;p&gt;École spéciale de Lausanne 1857&lt;/p&gt;")</f>
        <v/>
      </c>
      <c r="E195" s="7">
        <f>IFERROR(__xludf.DUMMYFUNCTION("""COMPUTED_VALUE"""),"image/jpeg – A digital photograph or web image stored in a compressed format, often used for photography and web graphics.")</f>
        <v/>
      </c>
      <c r="F195" s="7" t="n"/>
      <c r="G195" s="8" t="n">
        <v>0</v>
      </c>
      <c r="H195" s="8" t="n">
        <v>0</v>
      </c>
      <c r="I195" s="8" t="n">
        <v>0</v>
      </c>
      <c r="J195" s="8" t="n">
        <v>0</v>
      </c>
      <c r="K195" s="9" t="n">
        <v>0</v>
      </c>
      <c r="L195" s="9" t="n">
        <v>0</v>
      </c>
      <c r="M195" s="9" t="n">
        <v>0</v>
      </c>
      <c r="N195" s="9" t="n">
        <v>0</v>
      </c>
      <c r="O195" s="10" t="n">
        <v>0</v>
      </c>
      <c r="P195" s="10" t="n">
        <v>0</v>
      </c>
      <c r="Q195" s="10" t="n">
        <v>0</v>
      </c>
      <c r="R195" s="10" t="n">
        <v>0</v>
      </c>
      <c r="S195" s="10" t="n">
        <v>0</v>
      </c>
    </row>
    <row r="196" ht="409.5" customHeight="1">
      <c r="A196" s="6">
        <f>IFERROR(__xludf.DUMMYFUNCTION("""COMPUTED_VALUE"""),"EPFL: Ecole Polytechnique de Lausanne")</f>
        <v/>
      </c>
      <c r="B196" s="6">
        <f>IFERROR(__xludf.DUMMYFUNCTION("""COMPUTED_VALUE"""),"Resource")</f>
        <v/>
      </c>
      <c r="C196" s="6">
        <f>IFERROR(__xludf.DUMMYFUNCTION("""COMPUTED_VALUE"""),"histoire_1.graasp")</f>
        <v/>
      </c>
      <c r="D196" s="7">
        <f>IFERROR(__xludf.DUMMYFUNCTION("""COMPUTED_VALUE"""),"&lt;p&gt;In 1946, there were 360 students. In 1969, EPFL had 1,400 students and 55 professors. In the past two decades the university has grown rapidly and as of 2012 roughly 14,000 people study or work on campus, about 9,300 of these being Bachelor, Master or "&amp;"PhD students. As EPFL first became a federal institute under its current name in 1969, with a student body of then less than 1500, the university is included in the Times Higher Education list of top 100 universities under 50 years old. The environment at"&amp;" modern day EPFL is highly international with the school now attracting top students and researchers from all over the world. More than 125 countries are represented on the campus and the university has two official languages, French and English.&lt;/p&gt;")</f>
        <v/>
      </c>
      <c r="E196" s="7">
        <f>IFERROR(__xludf.DUMMYFUNCTION("""COMPUTED_VALUE"""),"No artifact embedded")</f>
        <v/>
      </c>
      <c r="F196" s="7" t="n"/>
      <c r="G196" s="8" t="n">
        <v>1</v>
      </c>
      <c r="H196" s="8" t="n">
        <v>0</v>
      </c>
      <c r="I196" s="8" t="n">
        <v>0</v>
      </c>
      <c r="J196" s="8" t="n">
        <v>0</v>
      </c>
      <c r="K196" s="9" t="n">
        <v>1</v>
      </c>
      <c r="L196" s="9" t="n">
        <v>0</v>
      </c>
      <c r="M196" s="9" t="n">
        <v>0</v>
      </c>
      <c r="N196" s="9" t="n">
        <v>0</v>
      </c>
      <c r="O196" s="10" t="n">
        <v>1</v>
      </c>
      <c r="P196" s="10" t="n">
        <v>0</v>
      </c>
      <c r="Q196" s="10" t="n">
        <v>0</v>
      </c>
      <c r="R196" s="10" t="n">
        <v>0</v>
      </c>
      <c r="S196" s="10" t="n">
        <v>0</v>
      </c>
    </row>
    <row r="197" ht="25" customHeight="1">
      <c r="A197" s="6">
        <f>IFERROR(__xludf.DUMMYFUNCTION("""COMPUTED_VALUE"""),"EPFL: Ecole Polytechnique de Lausanne")</f>
        <v/>
      </c>
      <c r="B197" s="6">
        <f>IFERROR(__xludf.DUMMYFUNCTION("""COMPUTED_VALUE"""),"Space")</f>
        <v/>
      </c>
      <c r="C197" s="6">
        <f>IFERROR(__xludf.DUMMYFUNCTION("""COMPUTED_VALUE"""),"Admission and education")</f>
        <v/>
      </c>
      <c r="D197" s="7">
        <f>IFERROR(__xludf.DUMMYFUNCTION("""COMPUTED_VALUE"""),"&lt;p&gt;This is a chapter&lt;/p&gt;")</f>
        <v/>
      </c>
      <c r="E197" s="7">
        <f>IFERROR(__xludf.DUMMYFUNCTION("""COMPUTED_VALUE"""),"No artifact embedded")</f>
        <v/>
      </c>
      <c r="F197" s="7" t="n"/>
      <c r="G197" s="8" t="n">
        <v>0</v>
      </c>
      <c r="H197" s="8" t="n">
        <v>0</v>
      </c>
      <c r="I197" s="8" t="n">
        <v>0</v>
      </c>
      <c r="J197" s="8" t="n">
        <v>0</v>
      </c>
      <c r="K197" s="9" t="n">
        <v>0</v>
      </c>
      <c r="L197" s="9" t="n">
        <v>0</v>
      </c>
      <c r="M197" s="9" t="n">
        <v>0</v>
      </c>
      <c r="N197" s="9" t="n">
        <v>0</v>
      </c>
      <c r="O197" s="10" t="n">
        <v>0</v>
      </c>
      <c r="P197" s="10" t="n">
        <v>0</v>
      </c>
      <c r="Q197" s="10" t="n">
        <v>0</v>
      </c>
      <c r="R197" s="10" t="n">
        <v>0</v>
      </c>
      <c r="S197" s="10" t="n">
        <v>0</v>
      </c>
    </row>
    <row r="198" ht="409.5" customHeight="1">
      <c r="A198" s="6">
        <f>IFERROR(__xludf.DUMMYFUNCTION("""COMPUTED_VALUE"""),"EPFL: Ecole Polytechnique de Lausanne")</f>
        <v/>
      </c>
      <c r="B198" s="6">
        <f>IFERROR(__xludf.DUMMYFUNCTION("""COMPUTED_VALUE"""),"Resource")</f>
        <v/>
      </c>
      <c r="C198" s="6">
        <f>IFERROR(__xludf.DUMMYFUNCTION("""COMPUTED_VALUE"""),"epfl.txt")</f>
        <v/>
      </c>
      <c r="D198" s="7">
        <f>IFERROR(__xludf.DUMMYFUNCTION("""COMPUTED_VALUE"""),"Like every public university in Switzerland, EPFL is obliged to grant admission to every Swiss resident who took the maturitÃ© high-school certificate recognized by the Swiss Federation. However, international students are required to have a final grade a"&amp;"verage of 80% or above of the maximum grade of the upper secondary school national system. As such, for Swiss students, EPFL is not selective in its undergraduate admission procedures. The real selection process happens during the first year of study. Thi"&amp;"s period is called the propaedeutic cycle and the students must pass a block examination of all the courses taken during the first year at the end of the cycle. If the weighted average is insufficient, a student is required to retake the entire first year"&amp;" of coursework if they wish to continue their studies at the school. Roughly 50% of students fail the first year of study, and many of them choose to drop out rather than repeat the first year.[13] The failure rate for the propaedeutic cycle differs betwe"&amp;"en fields of study, it is highest for Mathematics, Physics and Electrical Engineering majors where only 30""""40% of students pass the first year. For foreign students, the selection procedure towards the undergraduate program is rather strict, and since "&amp;"most undergraduate courses are taught in French, foreign students must provide documentation of having acquired a level B2 proficiency as measured on the CEF scale, though C1 proficiency is recommended. As at all universities in Switzerland, the academic "&amp;"year is divided into two semesters. Regular time to reach graduation is six semesters for the Bachelor of Science degree and four additional semesters for the Master of Science degree. Though only 58% of the student's who manage to graduate are able to gr"&amp;"aduate within this time-period.[13] The possibility to study abroad for one or two semesters is offered during the 3rd year of study under certain conditions as EPFL maintains several long-standing student exchange programs, such as the junior year engine"&amp;"ering and science program with Carnegie Mellon University in the United States, as well as a graduate Aeronautics and Aerospace program with the ISAE in France. The final semester is dedicated to writing a thesis. Entrepreneurship is actively encouraged t"&amp;"o foster a start-up culture among the student body as evident by the EPFL Innovation Park being an integral part of campus. Since 1997, 12 start-ups have been created per year on average by EPFL students and faculty. In the year 2013, a total of 105 milli"&amp;"on CHF was raised by EPFL start-ups.[14]")</f>
        <v/>
      </c>
      <c r="E198" s="7">
        <f>IFERROR(__xludf.DUMMYFUNCTION("""COMPUTED_VALUE"""),"text/plain – A simple text file containing unformatted text, often used for notes, logs, or source code.")</f>
        <v/>
      </c>
      <c r="F198" s="7" t="n"/>
      <c r="G198" s="8" t="n">
        <v>1</v>
      </c>
      <c r="H198" s="8" t="n">
        <v>0</v>
      </c>
      <c r="I198" s="8" t="n">
        <v>0</v>
      </c>
      <c r="J198" s="8" t="n">
        <v>0</v>
      </c>
      <c r="K198" s="9" t="n">
        <v>1</v>
      </c>
      <c r="L198" s="9" t="n">
        <v>0</v>
      </c>
      <c r="M198" s="9" t="n">
        <v>0</v>
      </c>
      <c r="N198" s="9" t="n">
        <v>0</v>
      </c>
      <c r="O198" s="10" t="n">
        <v>1</v>
      </c>
      <c r="P198" s="10" t="n">
        <v>0</v>
      </c>
      <c r="Q198" s="10" t="n">
        <v>0</v>
      </c>
      <c r="R198" s="10" t="n">
        <v>0</v>
      </c>
      <c r="S198" s="10" t="n">
        <v>0</v>
      </c>
    </row>
    <row r="199" ht="109" customHeight="1">
      <c r="A199" s="6">
        <f>IFERROR(__xludf.DUMMYFUNCTION("""COMPUTED_VALUE"""),"EPFL: Ecole Polytechnique de Lausanne")</f>
        <v/>
      </c>
      <c r="B199" s="6">
        <f>IFERROR(__xludf.DUMMYFUNCTION("""COMPUTED_VALUE"""),"Resource")</f>
        <v/>
      </c>
      <c r="C199" s="6">
        <f>IFERROR(__xludf.DUMMYFUNCTION("""COMPUTED_VALUE"""),"table.html")</f>
        <v/>
      </c>
      <c r="D199" s="7">
        <f>IFERROR(__xludf.DUMMYFUNCTION("""COMPUTED_VALUE"""),"&lt;p&gt;Une desc qui casse tout ?&lt;/p&gt;")</f>
        <v/>
      </c>
      <c r="E199" s="7">
        <f>IFERROR(__xludf.DUMMYFUNCTION("""COMPUTED_VALUE"""),"text/html – A webpage or web document that contains structured text, images, and links, designed for display in a web browser.")</f>
        <v/>
      </c>
      <c r="F199" s="7" t="n"/>
      <c r="G199" s="8" t="n">
        <v>0</v>
      </c>
      <c r="H199" s="8" t="n">
        <v>0</v>
      </c>
      <c r="I199" s="8" t="n">
        <v>0</v>
      </c>
      <c r="J199" s="8" t="n">
        <v>0</v>
      </c>
      <c r="K199" s="9" t="n">
        <v>0</v>
      </c>
      <c r="L199" s="9" t="n">
        <v>0</v>
      </c>
      <c r="M199" s="9" t="n">
        <v>0</v>
      </c>
      <c r="N199" s="9" t="n">
        <v>0</v>
      </c>
      <c r="O199" s="10" t="n">
        <v>0</v>
      </c>
      <c r="P199" s="10" t="n">
        <v>0</v>
      </c>
      <c r="Q199" s="10" t="n">
        <v>0</v>
      </c>
      <c r="R199" s="10" t="n">
        <v>0</v>
      </c>
      <c r="S199" s="10" t="n">
        <v>0</v>
      </c>
    </row>
    <row r="200" ht="25" customHeight="1">
      <c r="A200" s="6">
        <f>IFERROR(__xludf.DUMMYFUNCTION("""COMPUTED_VALUE"""),"EPFL: Ecole Polytechnique de Lausanne")</f>
        <v/>
      </c>
      <c r="B200" s="6">
        <f>IFERROR(__xludf.DUMMYFUNCTION("""COMPUTED_VALUE"""),"Space")</f>
        <v/>
      </c>
      <c r="C200" s="6">
        <f>IFERROR(__xludf.DUMMYFUNCTION("""COMPUTED_VALUE"""),"Rankings")</f>
        <v/>
      </c>
      <c r="D200" s="7">
        <f>IFERROR(__xludf.DUMMYFUNCTION("""COMPUTED_VALUE"""),"&lt;p&gt;This is a chapter&lt;/p&gt;")</f>
        <v/>
      </c>
      <c r="E200" s="7">
        <f>IFERROR(__xludf.DUMMYFUNCTION("""COMPUTED_VALUE"""),"No artifact embedded")</f>
        <v/>
      </c>
      <c r="F200" s="7" t="n"/>
      <c r="G200" s="8" t="n">
        <v>0</v>
      </c>
      <c r="H200" s="8" t="n">
        <v>0</v>
      </c>
      <c r="I200" s="8" t="n">
        <v>0</v>
      </c>
      <c r="J200" s="8" t="n">
        <v>0</v>
      </c>
      <c r="K200" s="9" t="n">
        <v>0</v>
      </c>
      <c r="L200" s="9" t="n">
        <v>0</v>
      </c>
      <c r="M200" s="9" t="n">
        <v>0</v>
      </c>
      <c r="N200" s="9" t="n">
        <v>0</v>
      </c>
      <c r="O200" s="10" t="n">
        <v>0</v>
      </c>
      <c r="P200" s="10" t="n">
        <v>0</v>
      </c>
      <c r="Q200" s="10" t="n">
        <v>0</v>
      </c>
      <c r="R200" s="10" t="n">
        <v>0</v>
      </c>
      <c r="S200" s="10" t="n">
        <v>0</v>
      </c>
    </row>
    <row r="201" ht="409.5" customHeight="1">
      <c r="A201" s="6">
        <f>IFERROR(__xludf.DUMMYFUNCTION("""COMPUTED_VALUE"""),"EPFL: Ecole Polytechnique de Lausanne")</f>
        <v/>
      </c>
      <c r="B201" s="6">
        <f>IFERROR(__xludf.DUMMYFUNCTION("""COMPUTED_VALUE"""),"Resource")</f>
        <v/>
      </c>
      <c r="C201" s="6">
        <f>IFERROR(__xludf.DUMMYFUNCTION("""COMPUTED_VALUE"""),"rankings.graasp")</f>
        <v/>
      </c>
      <c r="D201" s="7">
        <f>IFERROR(__xludf.DUMMYFUNCTION("""COMPUTED_VALUE"""),"&lt;p&gt;The three most widely observed international university rankings, QS World University Rankings, Academic Ranking of World Universities and Times Higher Education World University Rankings ranks EPFL 5th, 2nd and 5th respectively in Europe in their 2017"&amp;" rankings. In the rankings EPFL competes with Cambridge, Oxford, Imperial College London and its sister institution, ETH Zurich, for the European top five spots in Engineering and Technology.&lt;/p&gt;&lt;p&gt;QS World University Ranking 2017/2018 ranks EPFL as the w"&amp;"orld's 12th best university across all fields, and world 11th in the Natural Sciences subcategory.[15] Academic Ranking of World Universities 2016 ranks EPFL world 11th and Europe 2nd in the Engineering, Technology and Computer Sciences category.[16] THE "&amp;"World University Rankings 2016–2017 ranks EPFL world 11th in the Engineering and Technology subcategory.[17]&lt;br&gt;EPFL typically scores high on faculty to student ratio, international outlook and scientific impact. The specialized CWTS Leiden Ranking[18] th"&amp;"at ""aims to provide highly accurate measurements of the scientific impact of universities"" ranks EPFL world 13th, and 1st in Europe in the 2013 rankings for all the sciences.&lt;br&gt;Although EPFL generally ranks among the worlds best universities on measure"&amp;"s such as citation index, international outlook and scientific impact, due to the young age and small size of the school, it tends to rank comparatively low in name-brand surveys. A recent example of this being the Times 2017 reputation ranking where EPFL"&amp;" was ranked world 45th, comparatively low for EPFL.[19] In recent years, multiple EPFL faculty members have been selected as Young Global Leader or as Young Scientist by the World Economic Forum, increasing the visibility of EPFL outside tech circles.[20]"&amp;"&lt;br&gt;The Times 100 Under 50 Rankings is a ranking of the top 100 universities in the world under 50 years old. Since EPFL in its current form was formed in 1969, EPFL is included in this ranking. EPFL was ranked 1st in the world for three years in a row in"&amp;" 2015,[21] 2016 [22][23] and 2017.[24] Times Higher Education also ranked EPFL as the most international university in the world two years in a row 2014[25] and 2015.[26]&lt;/p&gt;")</f>
        <v/>
      </c>
      <c r="E201" s="7">
        <f>IFERROR(__xludf.DUMMYFUNCTION("""COMPUTED_VALUE"""),"No artifact embedded")</f>
        <v/>
      </c>
      <c r="F201" s="7" t="n"/>
      <c r="G201" s="8" t="n">
        <v>1</v>
      </c>
      <c r="H201" s="8" t="n">
        <v>0</v>
      </c>
      <c r="I201" s="8" t="n">
        <v>0</v>
      </c>
      <c r="J201" s="8" t="n">
        <v>0</v>
      </c>
      <c r="K201" s="9" t="n">
        <v>1</v>
      </c>
      <c r="L201" s="9" t="n">
        <v>0</v>
      </c>
      <c r="M201" s="9" t="n">
        <v>0</v>
      </c>
      <c r="N201" s="9" t="n">
        <v>0</v>
      </c>
      <c r="O201" s="10" t="n">
        <v>1</v>
      </c>
      <c r="P201" s="10" t="n">
        <v>0</v>
      </c>
      <c r="Q201" s="10" t="n">
        <v>0</v>
      </c>
      <c r="R201" s="10" t="n">
        <v>0</v>
      </c>
      <c r="S201" s="10" t="n">
        <v>0</v>
      </c>
    </row>
    <row r="202" ht="193" customHeight="1">
      <c r="A202" s="6">
        <f>IFERROR(__xludf.DUMMYFUNCTION("""COMPUTED_VALUE"""),"EPFL: Ecole Polytechnique de Lausanne")</f>
        <v/>
      </c>
      <c r="B202" s="6">
        <f>IFERROR(__xludf.DUMMYFUNCTION("""COMPUTED_VALUE"""),"Resource")</f>
        <v/>
      </c>
      <c r="C202" s="6">
        <f>IFERROR(__xludf.DUMMYFUNCTION("""COMPUTED_VALUE"""),"Engineering and Technology")</f>
        <v/>
      </c>
      <c r="D202" s="7">
        <f>IFERROR(__xludf.DUMMYFUNCTION("""COMPUTED_VALUE"""),"As well as this broad subject area ranking, rankings are also available for the following individual Engineering &amp; Technology subjects: Computer Science &amp; Information Systems Chemical Engineering")</f>
        <v/>
      </c>
      <c r="E202" s="7">
        <f>IFERROR(__xludf.DUMMYFUNCTION("""COMPUTED_VALUE"""),"topuniversities.com: Provides university rankings and information on higher education institutions.")</f>
        <v/>
      </c>
      <c r="F202" s="7" t="n"/>
      <c r="G202" s="8" t="n">
        <v>1</v>
      </c>
      <c r="H202" s="8" t="n">
        <v>0</v>
      </c>
      <c r="I202" s="8" t="n">
        <v>0</v>
      </c>
      <c r="J202" s="8" t="n">
        <v>0</v>
      </c>
      <c r="K202" s="9" t="n">
        <v>1</v>
      </c>
      <c r="L202" s="9" t="n">
        <v>0</v>
      </c>
      <c r="M202" s="9" t="n">
        <v>0</v>
      </c>
      <c r="N202" s="9" t="n">
        <v>0</v>
      </c>
      <c r="O202" s="10" t="n">
        <v>1</v>
      </c>
      <c r="P202" s="10" t="n">
        <v>0</v>
      </c>
      <c r="Q202" s="10" t="n">
        <v>0</v>
      </c>
      <c r="R202" s="10" t="n">
        <v>0</v>
      </c>
      <c r="S202" s="10" t="n">
        <v>0</v>
      </c>
    </row>
    <row r="203" ht="193" customHeight="1">
      <c r="A203" s="6">
        <f>IFERROR(__xludf.DUMMYFUNCTION("""COMPUTED_VALUE"""),"EPFL: Ecole Polytechnique de Lausanne")</f>
        <v/>
      </c>
      <c r="B203" s="6">
        <f>IFERROR(__xludf.DUMMYFUNCTION("""COMPUTED_VALUE"""),"Resource")</f>
        <v/>
      </c>
      <c r="C203" s="6">
        <f>IFERROR(__xludf.DUMMYFUNCTION("""COMPUTED_VALUE"""),"Engineering and Technology (1)")</f>
        <v/>
      </c>
      <c r="D203" s="7">
        <f>IFERROR(__xludf.DUMMYFUNCTION("""COMPUTED_VALUE"""),"As well as this broad subject area ranking, rankings are also available for the following individual Engineering &amp; Technology subjects: Computer Science &amp; Information Systems Chemical Engineering")</f>
        <v/>
      </c>
      <c r="E203" s="7">
        <f>IFERROR(__xludf.DUMMYFUNCTION("""COMPUTED_VALUE"""),"topuniversities.com: Provides university rankings and information on higher education institutions.")</f>
        <v/>
      </c>
      <c r="F203" s="7" t="n"/>
      <c r="G203" s="8" t="n">
        <v>1</v>
      </c>
      <c r="H203" s="8" t="n">
        <v>0</v>
      </c>
      <c r="I203" s="8" t="n">
        <v>0</v>
      </c>
      <c r="J203" s="8" t="n">
        <v>0</v>
      </c>
      <c r="K203" s="9" t="n">
        <v>1</v>
      </c>
      <c r="L203" s="9" t="n">
        <v>0</v>
      </c>
      <c r="M203" s="9" t="n">
        <v>0</v>
      </c>
      <c r="N203" s="9" t="n">
        <v>0</v>
      </c>
      <c r="O203" s="10" t="n">
        <v>1</v>
      </c>
      <c r="P203" s="10" t="n">
        <v>0</v>
      </c>
      <c r="Q203" s="10" t="n">
        <v>0</v>
      </c>
      <c r="R203" s="10" t="n">
        <v>0</v>
      </c>
      <c r="S203" s="10" t="n">
        <v>0</v>
      </c>
    </row>
    <row r="204" ht="25" customHeight="1">
      <c r="A204" s="6">
        <f>IFERROR(__xludf.DUMMYFUNCTION("""COMPUTED_VALUE"""),"EPFL: Ecole Polytechnique de Lausanne")</f>
        <v/>
      </c>
      <c r="B204" s="6">
        <f>IFERROR(__xludf.DUMMYFUNCTION("""COMPUTED_VALUE"""),"Space")</f>
        <v/>
      </c>
      <c r="C204" s="6">
        <f>IFERROR(__xludf.DUMMYFUNCTION("""COMPUTED_VALUE"""),"A lab")</f>
        <v/>
      </c>
      <c r="D204" s="7">
        <f>IFERROR(__xludf.DUMMYFUNCTION("""COMPUTED_VALUE"""),"&lt;p&gt;This is a chapter&lt;/p&gt;")</f>
        <v/>
      </c>
      <c r="E204" s="7">
        <f>IFERROR(__xludf.DUMMYFUNCTION("""COMPUTED_VALUE"""),"No artifact embedded")</f>
        <v/>
      </c>
      <c r="F204" s="7" t="n"/>
      <c r="G204" s="8" t="n">
        <v>0</v>
      </c>
      <c r="H204" s="8" t="n">
        <v>0</v>
      </c>
      <c r="I204" s="8" t="n">
        <v>0</v>
      </c>
      <c r="J204" s="8" t="n">
        <v>0</v>
      </c>
      <c r="K204" s="9" t="n">
        <v>0</v>
      </c>
      <c r="L204" s="9" t="n">
        <v>0</v>
      </c>
      <c r="M204" s="9" t="n">
        <v>0</v>
      </c>
      <c r="N204" s="9" t="n">
        <v>0</v>
      </c>
      <c r="O204" s="10" t="n">
        <v>0</v>
      </c>
      <c r="P204" s="10" t="n">
        <v>0</v>
      </c>
      <c r="Q204" s="10" t="n">
        <v>0</v>
      </c>
      <c r="R204" s="10" t="n">
        <v>0</v>
      </c>
      <c r="S204" s="10" t="n">
        <v>0</v>
      </c>
    </row>
    <row r="205" ht="409.5" customHeight="1">
      <c r="A205" s="6">
        <f>IFERROR(__xludf.DUMMYFUNCTION("""COMPUTED_VALUE"""),"EPFL: Ecole Polytechnique de Lausanne")</f>
        <v/>
      </c>
      <c r="B205" s="6">
        <f>IFERROR(__xludf.DUMMYFUNCTION("""COMPUTED_VALUE"""),"Application")</f>
        <v/>
      </c>
      <c r="C205" s="6">
        <f>IFERROR(__xludf.DUMMYFUNCTION("""COMPUTED_VALUE"""),"Pile Attraction")</f>
        <v/>
      </c>
      <c r="D205" s="7">
        <f>IFERROR(__xludf.DUMMYFUNCTION("""COMPUTED_VALUE"""),"No task description")</f>
        <v/>
      </c>
      <c r="E205" s="7">
        <f>IFERROR(__xludf.DUMMYFUNCTION("""COMPUTED_VALUE"""),"Golabz app/lab: &lt;p style=""margin-left:6.0pt;""&gt;This is an interactive simulation showing objects with mutual gravitational force pulling them together. Uses the&amp;nbsp;&lt;a href=""http://www.myphysicslab.com/explain/physics-engine-en.html""&gt;myPhysicsLab 2D R"&amp;"igid Body Physics Engine&lt;/a&gt;.&lt;/p&gt;&lt;p style=""margin-left:6.0pt;""&gt;Students can change gravity, elasticity (bounciness), and damping (friction) to observe the effect and turn on the&amp;nbsp;&lt;strong&gt;show forces&lt;/strong&gt;&amp;nbsp;checkbox to see the gravitational fo"&amp;"rces between the center of mass of each object and the contact forces where objects touch each other.&lt;/p&gt;'")</f>
        <v/>
      </c>
      <c r="F205" s="7" t="n"/>
      <c r="G205" s="8" t="n">
        <v>0</v>
      </c>
      <c r="H205" s="8" t="n">
        <v>0</v>
      </c>
      <c r="I205" s="8" t="n">
        <v>0</v>
      </c>
      <c r="J205" s="8" t="n">
        <v>0</v>
      </c>
      <c r="K205" s="9" t="n">
        <v>0</v>
      </c>
      <c r="L205" s="9" t="n">
        <v>0</v>
      </c>
      <c r="M205" s="9" t="n">
        <v>0</v>
      </c>
      <c r="N205" s="9" t="n">
        <v>0</v>
      </c>
      <c r="O205" s="10" t="n">
        <v>0</v>
      </c>
      <c r="P205" s="10" t="n">
        <v>0</v>
      </c>
      <c r="Q205" s="10" t="n">
        <v>0</v>
      </c>
      <c r="R205" s="10" t="n">
        <v>0</v>
      </c>
      <c r="S205" s="10" t="n">
        <v>0</v>
      </c>
    </row>
    <row r="206" ht="25" customHeight="1">
      <c r="A206" s="6">
        <f>IFERROR(__xludf.DUMMYFUNCTION("""COMPUTED_VALUE"""),"EPFL: Ecole Polytechnique de Lausanne")</f>
        <v/>
      </c>
      <c r="B206" s="6">
        <f>IFERROR(__xludf.DUMMYFUNCTION("""COMPUTED_VALUE"""),"Space")</f>
        <v/>
      </c>
      <c r="C206" s="6">
        <f>IFERROR(__xludf.DUMMYFUNCTION("""COMPUTED_VALUE"""),"Chapter 5")</f>
        <v/>
      </c>
      <c r="D206" s="7">
        <f>IFERROR(__xludf.DUMMYFUNCTION("""COMPUTED_VALUE"""),"&lt;p&gt;This is a chapter&lt;/p&gt;")</f>
        <v/>
      </c>
      <c r="E206" s="7">
        <f>IFERROR(__xludf.DUMMYFUNCTION("""COMPUTED_VALUE"""),"No artifact embedded")</f>
        <v/>
      </c>
      <c r="F206" s="7" t="n"/>
      <c r="G206" s="8" t="n">
        <v>0</v>
      </c>
      <c r="H206" s="8" t="n">
        <v>0</v>
      </c>
      <c r="I206" s="8" t="n">
        <v>0</v>
      </c>
      <c r="J206" s="8" t="n">
        <v>0</v>
      </c>
      <c r="K206" s="9" t="n">
        <v>0</v>
      </c>
      <c r="L206" s="9" t="n">
        <v>0</v>
      </c>
      <c r="M206" s="9" t="n">
        <v>0</v>
      </c>
      <c r="N206" s="9" t="n">
        <v>0</v>
      </c>
      <c r="O206" s="10" t="n">
        <v>0</v>
      </c>
      <c r="P206" s="10" t="n">
        <v>0</v>
      </c>
      <c r="Q206" s="10" t="n">
        <v>0</v>
      </c>
      <c r="R206" s="10" t="n">
        <v>0</v>
      </c>
      <c r="S206" s="10" t="n">
        <v>0</v>
      </c>
    </row>
    <row r="207" ht="97" customHeight="1">
      <c r="A207" s="6">
        <f>IFERROR(__xludf.DUMMYFUNCTION("""COMPUTED_VALUE"""),"EPFL: Ecole Polytechnique de Lausanne")</f>
        <v/>
      </c>
      <c r="B207" s="6">
        <f>IFERROR(__xludf.DUMMYFUNCTION("""COMPUTED_VALUE"""),"Resource")</f>
        <v/>
      </c>
      <c r="C207" s="6">
        <f>IFERROR(__xludf.DUMMYFUNCTION("""COMPUTED_VALUE"""),"Bruno Mars - Billionaire.mp3")</f>
        <v/>
      </c>
      <c r="D207" s="7">
        <f>IFERROR(__xludf.DUMMYFUNCTION("""COMPUTED_VALUE"""),"No task description")</f>
        <v/>
      </c>
      <c r="E207" s="7">
        <f>IFERROR(__xludf.DUMMYFUNCTION("""COMPUTED_VALUE"""),"audio/mpeg – A compressed audio file (MP3), commonly used for music, podcasts, and other audio recordings.")</f>
        <v/>
      </c>
      <c r="F207" s="7" t="n"/>
      <c r="G207" s="8" t="n">
        <v>0</v>
      </c>
      <c r="H207" s="8" t="n">
        <v>0</v>
      </c>
      <c r="I207" s="8" t="n">
        <v>0</v>
      </c>
      <c r="J207" s="8" t="n">
        <v>0</v>
      </c>
      <c r="K207" s="9" t="n">
        <v>0</v>
      </c>
      <c r="L207" s="9" t="n">
        <v>0</v>
      </c>
      <c r="M207" s="9" t="n">
        <v>0</v>
      </c>
      <c r="N207" s="9" t="n">
        <v>0</v>
      </c>
      <c r="O207" s="10" t="n">
        <v>0</v>
      </c>
      <c r="P207" s="10" t="n">
        <v>0</v>
      </c>
      <c r="Q207" s="10" t="n">
        <v>0</v>
      </c>
      <c r="R207" s="10" t="n">
        <v>0</v>
      </c>
      <c r="S207" s="10" t="n">
        <v>0</v>
      </c>
    </row>
    <row r="208" ht="318" customHeight="1">
      <c r="A208" s="6">
        <f>IFERROR(__xludf.DUMMYFUNCTION("""COMPUTED_VALUE"""),"EPFL: Ecole Polytechnique de Lausanne")</f>
        <v/>
      </c>
      <c r="B208" s="6">
        <f>IFERROR(__xludf.DUMMYFUNCTION("""COMPUTED_VALUE"""),"Application")</f>
        <v/>
      </c>
      <c r="C208" s="6">
        <f>IFERROR(__xludf.DUMMYFUNCTION("""COMPUTED_VALUE"""),"Balancing Act App")</f>
        <v/>
      </c>
      <c r="D208" s="7">
        <f>IFERROR(__xludf.DUMMYFUNCTION("""COMPUTED_VALUE"""),"No task description")</f>
        <v/>
      </c>
      <c r="E208" s="7">
        <f>IFERROR(__xludf.DUMMYFUNCTION("""COMPUTED_VALUE"""),"Golabz app/lab: ""&lt;p&gt;Play with objects on a teeter totter to learn about balance. Test what you've learned by trying the Balance Challenge game.&lt;br /&gt;\r\nThe primary aims of the lab are:&lt;br /&gt;\r\n1) Predict how objects of various masses can be used to mak"&amp;"e a plank balance,&lt;br /&gt;\r\n2) Predict how changing the positions of the masses on the plank will affect the motion of the plank.&lt;/p&gt;\r\n""")</f>
        <v/>
      </c>
      <c r="F208" s="7" t="n"/>
      <c r="G208" s="8" t="n">
        <v>0</v>
      </c>
      <c r="H208" s="8" t="n">
        <v>0</v>
      </c>
      <c r="I208" s="8" t="n">
        <v>0</v>
      </c>
      <c r="J208" s="8" t="n">
        <v>0</v>
      </c>
      <c r="K208" s="9" t="n">
        <v>0</v>
      </c>
      <c r="L208" s="9" t="n">
        <v>0</v>
      </c>
      <c r="M208" s="9" t="n">
        <v>0</v>
      </c>
      <c r="N208" s="9" t="n">
        <v>0</v>
      </c>
      <c r="O208" s="10" t="n">
        <v>0</v>
      </c>
      <c r="P208" s="10" t="n">
        <v>0</v>
      </c>
      <c r="Q208" s="10" t="n">
        <v>0</v>
      </c>
      <c r="R208" s="10" t="n">
        <v>0</v>
      </c>
      <c r="S208" s="10" t="n">
        <v>0</v>
      </c>
    </row>
    <row r="209" ht="121" customHeight="1">
      <c r="A209" s="6">
        <f>IFERROR(__xludf.DUMMYFUNCTION("""COMPUTED_VALUE"""),"EPFL: Ecole Polytechnique de Lausanne")</f>
        <v/>
      </c>
      <c r="B209" s="6">
        <f>IFERROR(__xludf.DUMMYFUNCTION("""COMPUTED_VALUE"""),"Resource")</f>
        <v/>
      </c>
      <c r="C209" s="6">
        <f>IFERROR(__xludf.DUMMYFUNCTION("""COMPUTED_VALUE"""),"SampleVideo_360x240_30mb.mp4")</f>
        <v/>
      </c>
      <c r="D209" s="7">
        <f>IFERROR(__xludf.DUMMYFUNCTION("""COMPUTED_VALUE"""),"No task description")</f>
        <v/>
      </c>
      <c r="E209" s="7">
        <f>IFERROR(__xludf.DUMMYFUNCTION("""COMPUTED_VALUE"""),"video/mp4 – A video file containing moving images and possibly audio, suitable for playback on most modern devices and platforms.")</f>
        <v/>
      </c>
      <c r="F209" s="7" t="n"/>
      <c r="G209" s="8" t="n">
        <v>0</v>
      </c>
      <c r="H209" s="8" t="n">
        <v>0</v>
      </c>
      <c r="I209" s="8" t="n">
        <v>0</v>
      </c>
      <c r="J209" s="8" t="n">
        <v>0</v>
      </c>
      <c r="K209" s="9" t="n">
        <v>0</v>
      </c>
      <c r="L209" s="9" t="n">
        <v>0</v>
      </c>
      <c r="M209" s="9" t="n">
        <v>0</v>
      </c>
      <c r="N209" s="9" t="n">
        <v>0</v>
      </c>
      <c r="O209" s="10" t="n">
        <v>0</v>
      </c>
      <c r="P209" s="10" t="n">
        <v>0</v>
      </c>
      <c r="Q209" s="10" t="n">
        <v>0</v>
      </c>
      <c r="R209" s="10" t="n">
        <v>0</v>
      </c>
      <c r="S209" s="10" t="n">
        <v>0</v>
      </c>
    </row>
    <row r="210" ht="25" customHeight="1">
      <c r="A210" s="6">
        <f>IFERROR(__xludf.DUMMYFUNCTION("""COMPUTED_VALUE"""),"EPFL: Ecole Polytechnique de Lausanne")</f>
        <v/>
      </c>
      <c r="B210" s="6">
        <f>IFERROR(__xludf.DUMMYFUNCTION("""COMPUTED_VALUE"""),"Space")</f>
        <v/>
      </c>
      <c r="C210" s="6">
        <f>IFERROR(__xludf.DUMMYFUNCTION("""COMPUTED_VALUE"""),"App")</f>
        <v/>
      </c>
      <c r="D210" s="7">
        <f>IFERROR(__xludf.DUMMYFUNCTION("""COMPUTED_VALUE"""),"No task description")</f>
        <v/>
      </c>
      <c r="E210" s="7">
        <f>IFERROR(__xludf.DUMMYFUNCTION("""COMPUTED_VALUE"""),"No artifact embedded")</f>
        <v/>
      </c>
      <c r="F210" s="7" t="n"/>
      <c r="G210" s="8" t="n">
        <v>0</v>
      </c>
      <c r="H210" s="8" t="n">
        <v>0</v>
      </c>
      <c r="I210" s="8" t="n">
        <v>0</v>
      </c>
      <c r="J210" s="8" t="n">
        <v>0</v>
      </c>
      <c r="K210" s="9" t="n">
        <v>0</v>
      </c>
      <c r="L210" s="9" t="n">
        <v>0</v>
      </c>
      <c r="M210" s="9" t="n">
        <v>0</v>
      </c>
      <c r="N210" s="9" t="n">
        <v>0</v>
      </c>
      <c r="O210" s="10" t="n">
        <v>0</v>
      </c>
      <c r="P210" s="10" t="n">
        <v>0</v>
      </c>
      <c r="Q210" s="10" t="n">
        <v>0</v>
      </c>
      <c r="R210" s="10" t="n">
        <v>0</v>
      </c>
      <c r="S210" s="10" t="n">
        <v>0</v>
      </c>
    </row>
    <row r="211" ht="409.5" customHeight="1">
      <c r="A211" s="6">
        <f>IFERROR(__xludf.DUMMYFUNCTION("""COMPUTED_VALUE"""),"EPFL: Ecole Polytechnique de Lausanne")</f>
        <v/>
      </c>
      <c r="B211" s="6">
        <f>IFERROR(__xludf.DUMMYFUNCTION("""COMPUTED_VALUE"""),"Application")</f>
        <v/>
      </c>
      <c r="C211" s="6">
        <f>IFERROR(__xludf.DUMMYFUNCTION("""COMPUTED_VALUE"""),"Calculator")</f>
        <v/>
      </c>
      <c r="D211" s="7">
        <f>IFERROR(__xludf.DUMMYFUNCTION("""COMPUTED_VALUE"""),"No task description")</f>
        <v/>
      </c>
      <c r="E211" s="7">
        <f>IFERROR(__xludf.DUMMYFUNCTION("""COMPUTED_VALUE"""),"Golabz app/lab: `&lt;p&gt;&lt;span&gt;&lt;span&gt;A normal calculator, which is showing the entered formula and its result, instead of only showing the last value.&lt;/span&gt;&lt;/span&gt;&lt;/p&gt;\r\n\r\n&lt;p&gt;&lt;span&gt;&lt;span&gt;It currently support two modes, standard and advanced. The standard m"&amp;"ode is aimed at primary education; it only has the basic operations (addition, subtraction, multiplication and division). The advanced mode adds square root, exponentiation and nesting.&lt;/span&gt;&lt;/span&gt;&lt;/p&gt;\r\n\r\n&lt;p&gt;If you would like to learn how to add the"&amp;" Calculator (and other apps) as general tools throughout the inquiry Space&amp;nbsp;phases, visit the Support Page's section on &lt;a href=""https://support.golabz.eu/videos?category=5""&gt;How to create an ILS&lt;/a&gt;, or use this &lt;a href=""https://support.golabz.eu/v"&amp;"ideo/add-a-general-tool-in-an-ils""&gt;direct link&lt;/a&gt;.&lt;/p&gt;\r\n`")</f>
        <v/>
      </c>
      <c r="F211" s="7" t="n"/>
      <c r="G211" s="8" t="n">
        <v>0</v>
      </c>
      <c r="H211" s="8" t="n">
        <v>0</v>
      </c>
      <c r="I211" s="8" t="n">
        <v>0</v>
      </c>
      <c r="J211" s="8" t="n">
        <v>0</v>
      </c>
      <c r="K211" s="9" t="n">
        <v>0</v>
      </c>
      <c r="L211" s="9" t="n">
        <v>0</v>
      </c>
      <c r="M211" s="9" t="n">
        <v>0</v>
      </c>
      <c r="N211" s="9" t="n">
        <v>0</v>
      </c>
      <c r="O211" s="10" t="n">
        <v>0</v>
      </c>
      <c r="P211" s="10" t="n">
        <v>0</v>
      </c>
      <c r="Q211" s="10" t="n">
        <v>0</v>
      </c>
      <c r="R211" s="10" t="n">
        <v>0</v>
      </c>
      <c r="S211" s="10" t="n">
        <v>0</v>
      </c>
    </row>
    <row r="212" ht="169" customHeight="1">
      <c r="A212" s="6">
        <f>IFERROR(__xludf.DUMMYFUNCTION("""COMPUTED_VALUE"""),"EPFL: Ecole Polytechnique de Lausanne")</f>
        <v/>
      </c>
      <c r="B212" s="6">
        <f>IFERROR(__xludf.DUMMYFUNCTION("""COMPUTED_VALUE"""),"Application")</f>
        <v/>
      </c>
      <c r="C212" s="6">
        <f>IFERROR(__xludf.DUMMYFUNCTION("""COMPUTED_VALUE"""),"sketch")</f>
        <v/>
      </c>
      <c r="D212" s="7">
        <f>IFERROR(__xludf.DUMMYFUNCTION("""COMPUTED_VALUE"""),"No task description")</f>
        <v/>
      </c>
      <c r="E212" s="7">
        <f>IFERROR(__xludf.DUMMYFUNCTION("""COMPUTED_VALUE"""),"Golabz app/lab: ""&lt;p&gt;A drawing-based learning environment for the gears domain. The primary aims of the lab are: Let students to explore the ways in which gears and chains transmit motion.&lt;/p&gt;\r\n""")</f>
        <v/>
      </c>
      <c r="F212" s="7" t="n"/>
      <c r="G212" s="8" t="n">
        <v>0</v>
      </c>
      <c r="H212" s="8" t="n">
        <v>0</v>
      </c>
      <c r="I212" s="8" t="n">
        <v>0</v>
      </c>
      <c r="J212" s="8" t="n">
        <v>0</v>
      </c>
      <c r="K212" s="9" t="n">
        <v>0</v>
      </c>
      <c r="L212" s="9" t="n">
        <v>0</v>
      </c>
      <c r="M212" s="9" t="n">
        <v>0</v>
      </c>
      <c r="N212" s="9" t="n">
        <v>0</v>
      </c>
      <c r="O212" s="10" t="n">
        <v>0</v>
      </c>
      <c r="P212" s="10" t="n">
        <v>0</v>
      </c>
      <c r="Q212" s="10" t="n">
        <v>0</v>
      </c>
      <c r="R212" s="10" t="n">
        <v>0</v>
      </c>
      <c r="S212" s="10" t="n">
        <v>0</v>
      </c>
    </row>
    <row r="213" ht="157" customHeight="1">
      <c r="A213" s="6">
        <f>IFERROR(__xludf.DUMMYFUNCTION("""COMPUTED_VALUE"""),"EPFL: Ecole Polytechnique de Lausanne")</f>
        <v/>
      </c>
      <c r="B213" s="6">
        <f>IFERROR(__xludf.DUMMYFUNCTION("""COMPUTED_VALUE"""),"Application")</f>
        <v/>
      </c>
      <c r="C213" s="6">
        <f>IFERROR(__xludf.DUMMYFUNCTION("""COMPUTED_VALUE"""),"File Drop")</f>
        <v/>
      </c>
      <c r="D213" s="7">
        <f>IFERROR(__xludf.DUMMYFUNCTION("""COMPUTED_VALUE"""),"No task description")</f>
        <v/>
      </c>
      <c r="E213" s="7">
        <f>IFERROR(__xludf.DUMMYFUNCTION("""COMPUTED_VALUE"""),"Golabz app/lab: ""&lt;p&gt;This app allows students to upload files, e.g., assignment and reports, to the Inquiry learning Space. The app also allows teachers to download the uploaded files.&lt;/p&gt;\r\n""")</f>
        <v/>
      </c>
      <c r="F213" s="7" t="n"/>
      <c r="G213" s="8" t="n">
        <v>0</v>
      </c>
      <c r="H213" s="8" t="n">
        <v>0</v>
      </c>
      <c r="I213" s="8" t="n">
        <v>0</v>
      </c>
      <c r="J213" s="8" t="n">
        <v>0</v>
      </c>
      <c r="K213" s="9" t="n">
        <v>0</v>
      </c>
      <c r="L213" s="9" t="n">
        <v>0</v>
      </c>
      <c r="M213" s="9" t="n">
        <v>0</v>
      </c>
      <c r="N213" s="9" t="n">
        <v>0</v>
      </c>
      <c r="O213" s="10" t="n">
        <v>0</v>
      </c>
      <c r="P213" s="10" t="n">
        <v>0</v>
      </c>
      <c r="Q213" s="10" t="n">
        <v>0</v>
      </c>
      <c r="R213" s="10" t="n">
        <v>0</v>
      </c>
      <c r="S213" s="10" t="n">
        <v>0</v>
      </c>
    </row>
    <row r="214" ht="409.5" customHeight="1">
      <c r="A214" s="6">
        <f>IFERROR(__xludf.DUMMYFUNCTION("""COMPUTED_VALUE"""),"EPFL: Ecole Polytechnique de Lausanne")</f>
        <v/>
      </c>
      <c r="B214" s="6">
        <f>IFERROR(__xludf.DUMMYFUNCTION("""COMPUTED_VALUE"""),"Application")</f>
        <v/>
      </c>
      <c r="C214" s="6">
        <f>IFERROR(__xludf.DUMMYFUNCTION("""COMPUTED_VALUE"""),"SpeakUp")</f>
        <v/>
      </c>
      <c r="D214" s="7">
        <f>IFERROR(__xludf.DUMMYFUNCTION("""COMPUTED_VALUE"""),"No task description")</f>
        <v/>
      </c>
      <c r="E21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14" s="7" t="n"/>
      <c r="G214" s="8" t="n">
        <v>0</v>
      </c>
      <c r="H214" s="8" t="n">
        <v>0</v>
      </c>
      <c r="I214" s="8" t="n">
        <v>0</v>
      </c>
      <c r="J214" s="8" t="n">
        <v>0</v>
      </c>
      <c r="K214" s="9" t="n">
        <v>0</v>
      </c>
      <c r="L214" s="9" t="n">
        <v>0</v>
      </c>
      <c r="M214" s="9" t="n">
        <v>0</v>
      </c>
      <c r="N214" s="9" t="n">
        <v>0</v>
      </c>
      <c r="O214" s="10" t="n">
        <v>0</v>
      </c>
      <c r="P214" s="10" t="n">
        <v>0</v>
      </c>
      <c r="Q214" s="10" t="n">
        <v>0</v>
      </c>
      <c r="R214" s="10" t="n">
        <v>0</v>
      </c>
      <c r="S214" s="10" t="n">
        <v>0</v>
      </c>
    </row>
    <row r="215" ht="25" customHeight="1">
      <c r="A215" s="6">
        <f>IFERROR(__xludf.DUMMYFUNCTION("""COMPUTED_VALUE"""),"EPFL: Ecole Polytechnique de Lausanne")</f>
        <v/>
      </c>
      <c r="B215" s="6">
        <f>IFERROR(__xludf.DUMMYFUNCTION("""COMPUTED_VALUE"""),"Application")</f>
        <v/>
      </c>
      <c r="C215" s="6">
        <f>IFERROR(__xludf.DUMMYFUNCTION("""COMPUTED_VALUE"""),"SpeakUp")</f>
        <v/>
      </c>
      <c r="D215" s="7">
        <f>IFERROR(__xludf.DUMMYFUNCTION("""COMPUTED_VALUE"""),"No task description")</f>
        <v/>
      </c>
      <c r="E215" s="7">
        <f>IFERROR(__xludf.DUMMYFUNCTION("""COMPUTED_VALUE"""),"No artifact embedded")</f>
        <v/>
      </c>
      <c r="F215" s="7" t="n"/>
      <c r="G215" s="8" t="n">
        <v>0</v>
      </c>
      <c r="H215" s="8" t="n">
        <v>0</v>
      </c>
      <c r="I215" s="8" t="n">
        <v>0</v>
      </c>
      <c r="J215" s="8" t="n">
        <v>0</v>
      </c>
      <c r="K215" s="9" t="n">
        <v>0</v>
      </c>
      <c r="L215" s="9" t="n">
        <v>0</v>
      </c>
      <c r="M215" s="9" t="n">
        <v>0</v>
      </c>
      <c r="N215" s="9" t="n">
        <v>0</v>
      </c>
      <c r="O215" s="10" t="n">
        <v>0</v>
      </c>
      <c r="P215" s="10" t="n">
        <v>0</v>
      </c>
      <c r="Q215" s="10" t="n">
        <v>0</v>
      </c>
      <c r="R215" s="10" t="n">
        <v>0</v>
      </c>
      <c r="S215" s="10" t="n">
        <v>0</v>
      </c>
    </row>
    <row r="216" ht="318" customHeight="1">
      <c r="A216" s="6">
        <f>IFERROR(__xludf.DUMMYFUNCTION("""COMPUTED_VALUE"""),"EPFL: Ecole Polytechnique de Lausanne")</f>
        <v/>
      </c>
      <c r="B216" s="6">
        <f>IFERROR(__xludf.DUMMYFUNCTION("""COMPUTED_VALUE"""),"Resource")</f>
        <v/>
      </c>
      <c r="C216" s="6">
        <f>IFERROR(__xludf.DUMMYFUNCTION("""COMPUTED_VALUE"""),"Accueil")</f>
        <v/>
      </c>
      <c r="D216" s="7">
        <f>IFERROR(__xludf.DUMMYFUNCTION("""COMPUTED_VALUE"""),"L'Ecole polytechnique fédérale de Lausanne (EPFL) est un institut de recherche et une université à Lausanne, en Suisse, spécialisé dans les sciences naturelles et l'ingénierie. C'est l'une des deux Ecoles polytechniques fédérales suisses et elle a trois m"&amp;"issions principales : l'enseignement, la recherche et le transfert de technologie au plus haut niveau international.")</f>
        <v/>
      </c>
      <c r="E216" s="7">
        <f>IFERROR(__xludf.DUMMYFUNCTION("""COMPUTED_VALUE"""),"No artifact embedded")</f>
        <v/>
      </c>
      <c r="F216" s="7" t="n"/>
      <c r="G216" s="8" t="n">
        <v>0</v>
      </c>
      <c r="H216" s="8" t="n">
        <v>0</v>
      </c>
      <c r="I216" s="8" t="n">
        <v>0</v>
      </c>
      <c r="J216" s="8" t="n">
        <v>0</v>
      </c>
      <c r="K216" s="9" t="n">
        <v>0</v>
      </c>
      <c r="L216" s="9" t="n">
        <v>0</v>
      </c>
      <c r="M216" s="9" t="n">
        <v>0</v>
      </c>
      <c r="N216" s="9" t="n">
        <v>0</v>
      </c>
      <c r="O216" s="10" t="n">
        <v>0</v>
      </c>
      <c r="P216" s="10" t="n">
        <v>0</v>
      </c>
      <c r="Q216" s="10" t="n">
        <v>0</v>
      </c>
      <c r="R216" s="10" t="n">
        <v>0</v>
      </c>
      <c r="S216" s="10" t="n">
        <v>0</v>
      </c>
    </row>
    <row r="217" ht="25" customHeight="1">
      <c r="A217" s="6">
        <f>IFERROR(__xludf.DUMMYFUNCTION("""COMPUTED_VALUE"""),"EPFL: Ecole Polytechnique de Lausanne")</f>
        <v/>
      </c>
      <c r="B217" s="6">
        <f>IFERROR(__xludf.DUMMYFUNCTION("""COMPUTED_VALUE"""),"Space")</f>
        <v/>
      </c>
      <c r="C217" s="6">
        <f>IFERROR(__xludf.DUMMYFUNCTION("""COMPUTED_VALUE"""),"objects")</f>
        <v/>
      </c>
      <c r="D217" s="7">
        <f>IFERROR(__xludf.DUMMYFUNCTION("""COMPUTED_VALUE"""),"No task description")</f>
        <v/>
      </c>
      <c r="E217" s="7">
        <f>IFERROR(__xludf.DUMMYFUNCTION("""COMPUTED_VALUE"""),"No artifact embedded")</f>
        <v/>
      </c>
      <c r="F217" s="7" t="n"/>
      <c r="G217" s="8" t="n">
        <v>0</v>
      </c>
      <c r="H217" s="8" t="n">
        <v>0</v>
      </c>
      <c r="I217" s="8" t="n">
        <v>0</v>
      </c>
      <c r="J217" s="8" t="n">
        <v>0</v>
      </c>
      <c r="K217" s="9" t="n">
        <v>0</v>
      </c>
      <c r="L217" s="9" t="n">
        <v>0</v>
      </c>
      <c r="M217" s="9" t="n">
        <v>0</v>
      </c>
      <c r="N217" s="9" t="n">
        <v>0</v>
      </c>
      <c r="O217" s="10" t="n">
        <v>0</v>
      </c>
      <c r="P217" s="10" t="n">
        <v>0</v>
      </c>
      <c r="Q217" s="10" t="n">
        <v>0</v>
      </c>
      <c r="R217" s="10" t="n">
        <v>0</v>
      </c>
      <c r="S217" s="10" t="n">
        <v>0</v>
      </c>
    </row>
    <row r="218" ht="85" customHeight="1">
      <c r="A218" s="6">
        <f>IFERROR(__xludf.DUMMYFUNCTION("""COMPUTED_VALUE"""),"EPFL: Ecole Polytechnique de Lausanne")</f>
        <v/>
      </c>
      <c r="B218" s="6">
        <f>IFERROR(__xludf.DUMMYFUNCTION("""COMPUTED_VALUE"""),"Resource")</f>
        <v/>
      </c>
      <c r="C218" s="6">
        <f>IFERROR(__xludf.DUMMYFUNCTION("""COMPUTED_VALUE"""),"Weiterleitungshinweis")</f>
        <v/>
      </c>
      <c r="D218" s="7">
        <f>IFERROR(__xludf.DUMMYFUNCTION("""COMPUTED_VALUE"""),"No task description")</f>
        <v/>
      </c>
      <c r="E218" s="7">
        <f>IFERROR(__xludf.DUMMYFUNCTION("""COMPUTED_VALUE"""),"google.com: A search engine that also provides various services, including image searches.")</f>
        <v/>
      </c>
      <c r="F218" s="7" t="n"/>
      <c r="G218" s="8" t="n">
        <v>0</v>
      </c>
      <c r="H218" s="8" t="n">
        <v>0</v>
      </c>
      <c r="I218" s="8" t="n">
        <v>0</v>
      </c>
      <c r="J218" s="8" t="n">
        <v>0</v>
      </c>
      <c r="K218" s="9" t="n">
        <v>0</v>
      </c>
      <c r="L218" s="9" t="n">
        <v>0</v>
      </c>
      <c r="M218" s="9" t="n">
        <v>0</v>
      </c>
      <c r="N218" s="9" t="n">
        <v>0</v>
      </c>
      <c r="O218" s="10" t="n">
        <v>0</v>
      </c>
      <c r="P218" s="10" t="n">
        <v>0</v>
      </c>
      <c r="Q218" s="10" t="n">
        <v>0</v>
      </c>
      <c r="R218" s="10" t="n">
        <v>0</v>
      </c>
      <c r="S218" s="10" t="n">
        <v>0</v>
      </c>
    </row>
    <row r="219" ht="109" customHeight="1">
      <c r="A219" s="6">
        <f>IFERROR(__xludf.DUMMYFUNCTION("""COMPUTED_VALUE"""),"EPFL: Ecole Polytechnique de Lausanne")</f>
        <v/>
      </c>
      <c r="B219" s="6">
        <f>IFERROR(__xludf.DUMMYFUNCTION("""COMPUTED_VALUE"""),"Resource")</f>
        <v/>
      </c>
      <c r="C219" s="6">
        <f>IFERROR(__xludf.DUMMYFUNCTION("""COMPUTED_VALUE"""),"wfd.html")</f>
        <v/>
      </c>
      <c r="D219" s="7">
        <f>IFERROR(__xludf.DUMMYFUNCTION("""COMPUTED_VALUE"""),"&lt;h1&gt;Hello !!!!&lt;/h1&gt;  &lt;div style=""background:red""&gt;&lt;/div&gt;&lt;h1&gt;Hello !!!!&lt;/h1&gt;  &lt;div style=""background:red""&gt;wef&lt;/div&gt;")</f>
        <v/>
      </c>
      <c r="E219" s="7">
        <f>IFERROR(__xludf.DUMMYFUNCTION("""COMPUTED_VALUE"""),"text/html – A webpage or web document that contains structured text, images, and links, designed for display in a web browser.")</f>
        <v/>
      </c>
      <c r="F219" s="7" t="n"/>
      <c r="G219" s="8" t="n">
        <v>0</v>
      </c>
      <c r="H219" s="8" t="n">
        <v>0</v>
      </c>
      <c r="I219" s="8" t="n">
        <v>0</v>
      </c>
      <c r="J219" s="8" t="n">
        <v>0</v>
      </c>
      <c r="K219" s="9" t="n">
        <v>0</v>
      </c>
      <c r="L219" s="9" t="n">
        <v>0</v>
      </c>
      <c r="M219" s="9" t="n">
        <v>0</v>
      </c>
      <c r="N219" s="9" t="n">
        <v>0</v>
      </c>
      <c r="O219" s="10" t="n">
        <v>0</v>
      </c>
      <c r="P219" s="10" t="n">
        <v>0</v>
      </c>
      <c r="Q219" s="10" t="n">
        <v>0</v>
      </c>
      <c r="R219" s="10" t="n">
        <v>0</v>
      </c>
      <c r="S219" s="10" t="n">
        <v>0</v>
      </c>
    </row>
    <row r="220" ht="121" customHeight="1">
      <c r="A220" s="6">
        <f>IFERROR(__xludf.DUMMYFUNCTION("""COMPUTED_VALUE"""),"EPFL: Ecole Polytechnique de Lausanne")</f>
        <v/>
      </c>
      <c r="B220" s="6">
        <f>IFERROR(__xludf.DUMMYFUNCTION("""COMPUTED_VALUE"""),"Resource")</f>
        <v/>
      </c>
      <c r="C220" s="6">
        <f>IFERROR(__xludf.DUMMYFUNCTION("""COMPUTED_VALUE"""),"New Link")</f>
        <v/>
      </c>
      <c r="D220" s="7">
        <f>IFERROR(__xludf.DUMMYFUNCTION("""COMPUTED_VALUE"""),"No task description")</f>
        <v/>
      </c>
      <c r="E220" s="7">
        <f>IFERROR(__xludf.DUMMYFUNCTION("""COMPUTED_VALUE"""),"medium.com: A platform for writers to share articles and stories, often accompanied by images hosted on subdomains like cdn-images-1.medium.com.")</f>
        <v/>
      </c>
      <c r="F220" s="7" t="n"/>
      <c r="G220" s="8" t="n">
        <v>0</v>
      </c>
      <c r="H220" s="8" t="n">
        <v>0</v>
      </c>
      <c r="I220" s="8" t="n">
        <v>0</v>
      </c>
      <c r="J220" s="8" t="n">
        <v>0</v>
      </c>
      <c r="K220" s="9" t="n">
        <v>0</v>
      </c>
      <c r="L220" s="9" t="n">
        <v>0</v>
      </c>
      <c r="M220" s="9" t="n">
        <v>0</v>
      </c>
      <c r="N220" s="9" t="n">
        <v>0</v>
      </c>
      <c r="O220" s="10" t="n">
        <v>0</v>
      </c>
      <c r="P220" s="10" t="n">
        <v>0</v>
      </c>
      <c r="Q220" s="10" t="n">
        <v>0</v>
      </c>
      <c r="R220" s="10" t="n">
        <v>0</v>
      </c>
      <c r="S220" s="10" t="n">
        <v>0</v>
      </c>
    </row>
    <row r="221" ht="409.5" customHeight="1">
      <c r="A221" s="6">
        <f>IFERROR(__xludf.DUMMYFUNCTION("""COMPUTED_VALUE"""),"EPFL: Ecole Polytechnique de Lausanne")</f>
        <v/>
      </c>
      <c r="B221" s="6">
        <f>IFERROR(__xludf.DUMMYFUNCTION("""COMPUTED_VALUE"""),"Resource")</f>
        <v/>
      </c>
      <c r="C221" s="6">
        <f>IFERROR(__xludf.DUMMYFUNCTION("""COMPUTED_VALUE"""),"werfd.txt")</f>
        <v/>
      </c>
      <c r="D221" s="7">
        <f>IFERROR(__xludf.DUMMYFUNCTION("""COMPUTED_VALUE"""),"Homepage Hacker Noon AMA W/ BLOCKSTACK CEOAILATESTTOP2.0CRYPTODEVJOIN COMMUNITY A guide to giving your cats their annual performance review Go to the profile of Thryn Thryn Dec 19, 2016  My cat Linus, who is kind of a jerk but I just love his fuzzy little"&amp;" face. As the year draws to a close, it’s time to sit down with your cats and give them feedback on how they’ve been performing. To help you prepare for the conversation, I’ve written a few guidelines from my own experiences.  Evaluate against a standard "&amp;"When thinking about how your cat is meeting expectations, ensure that you are evaluating against a standard. It should take into account the cat’s level which is ultimately based on age and breed. A level 2 cat such as a 6 month old Persian kitten will no"&amp;"t have the same performance expectations as a level 5 cat like an 8-year-old gray tabby. Ideally you’ve discussed these expectations with your cat at length. They should be reasonable and achievable while still providing enough of a challenge to allow for"&amp;" personal growth. Some sample performance goals can include: number of hours of expected sleep during the day (aim for 16–18); time spent playing in boxes; level of cuteness on a scale from 1–10 (this should be maintained with self-grooming and a general "&amp;"posture of perky ears and wide eyes).  Focus on impact In order to help your cat grow, your feedback must be specific and actionable. By using the situation-behavior-impact (SBI) model, your cat will be able to understand the rationale behind your feedbac"&amp;"k. An example conversation might go: “Skittles, when I was sleeping and you jumped on the bed and meowed in my face at 4am, it woke me up and that made me feel angry and tired all day. One way you can have more positive impact is to STFU and sleep until a"&amp;"t least 8am.”  How to frame a needs-improvement discussion This can be challenging. Your cat might get defensive, or worse, ignore you entirely and pretend that she doesn’t understand you. Don’t be fooled. She understands everything you say. When your cat"&amp;" is not meeting expectations, you’ll need to be prepared with a performance improvement plan or PIP. This PIP should include specific steps your cat will need to take in order to meet the expectations of her role and level. You can tell her, for example, "&amp;"that the number of times she jumps on the counter and gets her poo-poo paws all over your food prep areas is unacceptable and must be reduced by at least 80% over the next quarter.  It may be necessary to remind her just what a lucky SOB she is to have fo"&amp;"od and a warm place to sleep on these cold winter nights. Help your cat understand the consequences if performance does not improve. It may be necessary to remind her just what a lucky SOB she is to have food and a warm place to sleep on these cold winter"&amp;" nights. As your cat’s manager, you should also be aware of your own role in her performance. Are you present enough? Does she get adequate space to grow, play? Have you provided the necessary toys and furniture to scratch? It’s unfair to punish your cats"&amp;" for scratching the couch and destroying your nice things if you haven’t given them a proper scratching post.  Cupcake Schoolbus tries to demonstrate impact by destroying my f-ing blinds. When to give team feedback vs individual feedback You should be hav"&amp;"ing regular individual 1:1s with your cats. Any negative feedback should be given privately so as not to embarrass or shame one cat in front of the group. However, some feedback can be given in a group setting when it benefits the whole team. For example,"&amp;" you can share with all of your cats how much you appreciate their adorable fuzzy faces and how cute they are when they make biscuits on your lap before curling up for a good snuggle.  Skittles, I loved that time you tried to jump on the bookshelf but com"&amp;"pletely missed and fell. I laughed for days. Don’t leave out the positive You might be more concerned with your cat’s negative behaviors but it’s important to show appreciation where it is due. Again, follow the SBI model: “Skittles, I loved that time you"&amp;" tried to jump on the bookshelf but completely missed and fell. I laughed for days. The video got me over 50 likes on Instagram.” Remember it’s your job to support your cats as they grow, encourage them to lean in, and work hard at being cats.  Follow Lin"&amp;"us and Cupcake Schoolbus on Instagram @linus_hates_cupcake  CatsLeadershipManagementSatireWork Go to the profile of Thryn Thryn Medium member since Jul 2018 Design Manager at Google  Hacker Noon Hacker Noon how hackers start their afternoons.  Hacker Noon"&amp;" Never miss a story from Hacker Noon, when you sign up for Medium. Learn more")</f>
        <v/>
      </c>
      <c r="E221" s="7">
        <f>IFERROR(__xludf.DUMMYFUNCTION("""COMPUTED_VALUE"""),"text/plain – A simple text file containing unformatted text, often used for notes, logs, or source code.")</f>
        <v/>
      </c>
      <c r="F221" s="7" t="n"/>
      <c r="G221" s="8" t="n">
        <v>0</v>
      </c>
      <c r="H221" s="8" t="n">
        <v>0</v>
      </c>
      <c r="I221" s="8" t="n">
        <v>0</v>
      </c>
      <c r="J221" s="8" t="n">
        <v>0</v>
      </c>
      <c r="K221" s="9" t="n">
        <v>0</v>
      </c>
      <c r="L221" s="9" t="n">
        <v>0</v>
      </c>
      <c r="M221" s="9" t="n">
        <v>0</v>
      </c>
      <c r="N221" s="9" t="n">
        <v>0</v>
      </c>
      <c r="O221" s="10" t="n">
        <v>0</v>
      </c>
      <c r="P221" s="10" t="n">
        <v>0</v>
      </c>
      <c r="Q221" s="10" t="n">
        <v>0</v>
      </c>
      <c r="R221" s="10" t="n">
        <v>0</v>
      </c>
      <c r="S221" s="10" t="n">
        <v>0</v>
      </c>
    </row>
    <row r="222" ht="205" customHeight="1">
      <c r="A222" s="6">
        <f>IFERROR(__xludf.DUMMYFUNCTION("""COMPUTED_VALUE"""),"Modeling-based Estimation Learning Environment - MEttLE")</f>
        <v/>
      </c>
      <c r="B222" s="6">
        <f>IFERROR(__xludf.DUMMYFUNCTION("""COMPUTED_VALUE"""),"Space")</f>
        <v/>
      </c>
      <c r="C222" s="6">
        <f>IFERROR(__xludf.DUMMYFUNCTION("""COMPUTED_VALUE"""),"Introduction")</f>
        <v/>
      </c>
      <c r="D222" s="7">
        <f>IFERROR(__xludf.DUMMYFUNCTION("""COMPUTED_VALUE"""),"&lt;p&gt;In MEttLE you will:&lt;/p&gt;&lt;p&gt;1) Solve this estimation problem.&lt;/p&gt;&lt;p&gt;2) Learn the process of solving such estimation problems.&lt;/p&gt;&lt;p&gt;You can swipe up the ""Tools"" tab at the bottom of the page to add your notes at any time.&lt;/p&gt;")</f>
        <v/>
      </c>
      <c r="E222" s="7">
        <f>IFERROR(__xludf.DUMMYFUNCTION("""COMPUTED_VALUE"""),"No artifact embedded")</f>
        <v/>
      </c>
      <c r="F222" s="7" t="n"/>
      <c r="G222" s="8" t="n">
        <v>0</v>
      </c>
      <c r="H222" s="8" t="n">
        <v>0</v>
      </c>
      <c r="I222" s="8" t="n">
        <v>1</v>
      </c>
      <c r="J222" s="8" t="n">
        <v>0</v>
      </c>
      <c r="K222" s="9" t="n">
        <v>0</v>
      </c>
      <c r="L222" s="9" t="n">
        <v>1</v>
      </c>
      <c r="M222" s="9" t="n">
        <v>0</v>
      </c>
      <c r="N222" s="9" t="n">
        <v>0</v>
      </c>
      <c r="O222" s="10" t="n">
        <v>1</v>
      </c>
      <c r="P222" s="10" t="n">
        <v>0</v>
      </c>
      <c r="Q222" s="10" t="n">
        <v>0</v>
      </c>
      <c r="R222" s="10" t="n">
        <v>0</v>
      </c>
      <c r="S222" s="10" t="n">
        <v>0</v>
      </c>
    </row>
    <row r="223" ht="97" customHeight="1">
      <c r="A223" s="6">
        <f>IFERROR(__xludf.DUMMYFUNCTION("""COMPUTED_VALUE"""),"Modeling-based Estimation Learning Environment - MEttLE")</f>
        <v/>
      </c>
      <c r="B223" s="6">
        <f>IFERROR(__xludf.DUMMYFUNCTION("""COMPUTED_VALUE"""),"Resource")</f>
        <v/>
      </c>
      <c r="C223" s="6">
        <f>IFERROR(__xludf.DUMMYFUNCTION("""COMPUTED_VALUE"""),"EstiMap")</f>
        <v/>
      </c>
      <c r="D223" s="7">
        <f>IFERROR(__xludf.DUMMYFUNCTION("""COMPUTED_VALUE"""),"&lt;p&gt;This map describes the process you will follow to solve the estimation problem&lt;/p&gt;")</f>
        <v/>
      </c>
      <c r="E223" s="7">
        <f>IFERROR(__xludf.DUMMYFUNCTION("""COMPUTED_VALUE"""),"image/png – A high-quality image with support for transparency, often used in design and web applications.")</f>
        <v/>
      </c>
      <c r="F223" s="7" t="n"/>
      <c r="G223" s="8" t="n">
        <v>1</v>
      </c>
      <c r="H223" s="8" t="n">
        <v>0</v>
      </c>
      <c r="I223" s="8" t="n">
        <v>0</v>
      </c>
      <c r="J223" s="8" t="n">
        <v>0</v>
      </c>
      <c r="K223" s="9" t="n">
        <v>1</v>
      </c>
      <c r="L223" s="9" t="n">
        <v>0</v>
      </c>
      <c r="M223" s="9" t="n">
        <v>0</v>
      </c>
      <c r="N223" s="9" t="n">
        <v>0</v>
      </c>
      <c r="O223" s="10" t="n">
        <v>1</v>
      </c>
      <c r="P223" s="10" t="n">
        <v>0</v>
      </c>
      <c r="Q223" s="10" t="n">
        <v>0</v>
      </c>
      <c r="R223" s="10" t="n">
        <v>0</v>
      </c>
      <c r="S223" s="10" t="n">
        <v>0</v>
      </c>
    </row>
    <row r="224" ht="109" customHeight="1">
      <c r="A224" s="6">
        <f>IFERROR(__xludf.DUMMYFUNCTION("""COMPUTED_VALUE"""),"Modeling-based Estimation Learning Environment - MEttLE")</f>
        <v/>
      </c>
      <c r="B224" s="6">
        <f>IFERROR(__xludf.DUMMYFUNCTION("""COMPUTED_VALUE"""),"Space")</f>
        <v/>
      </c>
      <c r="C224" s="6">
        <f>IFERROR(__xludf.DUMMYFUNCTION("""COMPUTED_VALUE"""),"Functional Modeling")</f>
        <v/>
      </c>
      <c r="D224" s="7">
        <f>IFERROR(__xludf.DUMMYFUNCTION("""COMPUTED_VALUE"""),"&lt;p&gt;In this first phase of estimation, you will create a functional model of the electric car that you can use to estimate power.&lt;/p&gt;")</f>
        <v/>
      </c>
      <c r="E224" s="7">
        <f>IFERROR(__xludf.DUMMYFUNCTION("""COMPUTED_VALUE"""),"No artifact embedded")</f>
        <v/>
      </c>
      <c r="F224" s="7" t="n"/>
      <c r="G224" s="8" t="n">
        <v>0</v>
      </c>
      <c r="H224" s="8" t="n">
        <v>0</v>
      </c>
      <c r="I224" s="8" t="n">
        <v>1</v>
      </c>
      <c r="J224" s="8" t="n">
        <v>0</v>
      </c>
      <c r="K224" s="9" t="n">
        <v>0</v>
      </c>
      <c r="L224" s="9" t="n">
        <v>1</v>
      </c>
      <c r="M224" s="9" t="n">
        <v>0</v>
      </c>
      <c r="N224" s="9" t="n">
        <v>0</v>
      </c>
      <c r="O224" s="10" t="n">
        <v>1</v>
      </c>
      <c r="P224" s="10" t="n">
        <v>0</v>
      </c>
      <c r="Q224" s="10" t="n">
        <v>0</v>
      </c>
      <c r="R224" s="10" t="n">
        <v>0</v>
      </c>
      <c r="S224" s="10" t="n">
        <v>0</v>
      </c>
    </row>
    <row r="225" ht="97" customHeight="1">
      <c r="A225" s="6">
        <f>IFERROR(__xludf.DUMMYFUNCTION("""COMPUTED_VALUE"""),"Modeling-based Estimation Learning Environment - MEttLE")</f>
        <v/>
      </c>
      <c r="B225" s="6">
        <f>IFERROR(__xludf.DUMMYFUNCTION("""COMPUTED_VALUE"""),"Resource")</f>
        <v/>
      </c>
      <c r="C225" s="6">
        <f>IFERROR(__xludf.DUMMYFUNCTION("""COMPUTED_VALUE"""),"EstiMap")</f>
        <v/>
      </c>
      <c r="D225" s="7">
        <f>IFERROR(__xludf.DUMMYFUNCTION("""COMPUTED_VALUE"""),"&lt;p&gt;This is where you are in the estimation process&lt;/p&gt;")</f>
        <v/>
      </c>
      <c r="E225" s="7">
        <f>IFERROR(__xludf.DUMMYFUNCTION("""COMPUTED_VALUE"""),"image/png – A high-quality image with support for transparency, often used in design and web applications.")</f>
        <v/>
      </c>
      <c r="F225" s="7" t="n"/>
      <c r="G225" s="8" t="n">
        <v>1</v>
      </c>
      <c r="H225" s="8" t="n">
        <v>0</v>
      </c>
      <c r="I225" s="8" t="n">
        <v>0</v>
      </c>
      <c r="J225" s="8" t="n">
        <v>0</v>
      </c>
      <c r="K225" s="9" t="n">
        <v>1</v>
      </c>
      <c r="L225" s="9" t="n">
        <v>0</v>
      </c>
      <c r="M225" s="9" t="n">
        <v>0</v>
      </c>
      <c r="N225" s="9" t="n">
        <v>0</v>
      </c>
      <c r="O225" s="10" t="n">
        <v>1</v>
      </c>
      <c r="P225" s="10" t="n">
        <v>0</v>
      </c>
      <c r="Q225" s="10" t="n">
        <v>0</v>
      </c>
      <c r="R225" s="10" t="n">
        <v>0</v>
      </c>
      <c r="S225" s="10" t="n">
        <v>0</v>
      </c>
    </row>
    <row r="226" ht="409.5" customHeight="1">
      <c r="A226" s="6">
        <f>IFERROR(__xludf.DUMMYFUNCTION("""COMPUTED_VALUE"""),"Modeling-based Estimation Learning Environment - MEttLE")</f>
        <v/>
      </c>
      <c r="B226" s="6">
        <f>IFERROR(__xludf.DUMMYFUNCTION("""COMPUTED_VALUE"""),"Application")</f>
        <v/>
      </c>
      <c r="C226" s="6">
        <f>IFERROR(__xludf.DUMMYFUNCTION("""COMPUTED_VALUE"""),"Word Bag")</f>
        <v/>
      </c>
      <c r="D226" s="7">
        <f>IFERROR(__xludf.DUMMYFUNCTION("""COMPUTED_VALUE"""),"&lt;p&gt;Create a sentence using the words below that describes how an electric car runs. This is the functional model of the electric car. You can use the reference material and scratch pads given below.&lt;/p&gt;")</f>
        <v/>
      </c>
      <c r="E22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26" s="7" t="n"/>
      <c r="G226" s="8" t="n">
        <v>0</v>
      </c>
      <c r="H226" s="8" t="n">
        <v>0</v>
      </c>
      <c r="I226" s="8" t="n">
        <v>1</v>
      </c>
      <c r="J226" s="8" t="n">
        <v>0</v>
      </c>
      <c r="K226" s="9" t="n">
        <v>0</v>
      </c>
      <c r="L226" s="9" t="n">
        <v>1</v>
      </c>
      <c r="M226" s="9" t="n">
        <v>0</v>
      </c>
      <c r="N226" s="9" t="n">
        <v>0</v>
      </c>
      <c r="O226" s="10" t="n">
        <v>0</v>
      </c>
      <c r="P226" s="10" t="n">
        <v>1</v>
      </c>
      <c r="Q226" s="10" t="n">
        <v>0</v>
      </c>
      <c r="R226" s="10" t="n">
        <v>0</v>
      </c>
      <c r="S226" s="10" t="n">
        <v>0</v>
      </c>
    </row>
    <row r="227" ht="296" customHeight="1">
      <c r="A227" s="6">
        <f>IFERROR(__xludf.DUMMYFUNCTION("""COMPUTED_VALUE"""),"Modeling-based Estimation Learning Environment - MEttLE")</f>
        <v/>
      </c>
      <c r="B227" s="6">
        <f>IFERROR(__xludf.DUMMYFUNCTION("""COMPUTED_VALUE"""),"Application")</f>
        <v/>
      </c>
      <c r="C227" s="6">
        <f>IFERROR(__xludf.DUMMYFUNCTION("""COMPUTED_VALUE"""),"Evaluate your model")</f>
        <v/>
      </c>
      <c r="D227" s="7">
        <f>IFERROR(__xludf.DUMMYFUNCTION("""COMPUTED_VALUE"""),"&lt;p&gt;Let's evaluate whether your functional model is useful for estimating power. &lt;/p&gt;")</f>
        <v/>
      </c>
      <c r="E22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7" s="7" t="n"/>
      <c r="G227" s="8" t="n">
        <v>0</v>
      </c>
      <c r="H227" s="8" t="n">
        <v>0</v>
      </c>
      <c r="I227" s="8" t="n">
        <v>0</v>
      </c>
      <c r="J227" s="8" t="n">
        <v>1</v>
      </c>
      <c r="K227" s="9" t="n">
        <v>0</v>
      </c>
      <c r="L227" s="9" t="n">
        <v>1</v>
      </c>
      <c r="M227" s="9" t="n">
        <v>0</v>
      </c>
      <c r="N227" s="9" t="n">
        <v>0</v>
      </c>
      <c r="O227" s="10" t="n">
        <v>0</v>
      </c>
      <c r="P227" s="10" t="n">
        <v>0</v>
      </c>
      <c r="Q227" s="10" t="n">
        <v>1</v>
      </c>
      <c r="R227" s="10" t="n">
        <v>0</v>
      </c>
      <c r="S227" s="10" t="n">
        <v>1</v>
      </c>
    </row>
    <row r="228" ht="109" customHeight="1">
      <c r="A228" s="6">
        <f>IFERROR(__xludf.DUMMYFUNCTION("""COMPUTED_VALUE"""),"Modeling-based Estimation Learning Environment - MEttLE")</f>
        <v/>
      </c>
      <c r="B228" s="6">
        <f>IFERROR(__xludf.DUMMYFUNCTION("""COMPUTED_VALUE"""),"Resource")</f>
        <v/>
      </c>
      <c r="C228" s="6">
        <f>IFERROR(__xludf.DUMMYFUNCTION("""COMPUTED_VALUE"""),"A utilizable functional model")</f>
        <v/>
      </c>
      <c r="D228" s="7">
        <f>IFERROR(__xludf.DUMMYFUNCTION("""COMPUTED_VALUE"""),"&lt;p&gt;Here is a functional model that you can use to estimate power.&lt;/p&gt;")</f>
        <v/>
      </c>
      <c r="E228" s="7">
        <f>IFERROR(__xludf.DUMMYFUNCTION("""COMPUTED_VALUE"""),"text/html – A webpage or web document that contains structured text, images, and links, designed for display in a web browser.")</f>
        <v/>
      </c>
      <c r="F228" s="7" t="n"/>
      <c r="G228" s="8" t="n">
        <v>1</v>
      </c>
      <c r="H228" s="8" t="n">
        <v>0</v>
      </c>
      <c r="I228" s="8" t="n">
        <v>0</v>
      </c>
      <c r="J228" s="8" t="n">
        <v>0</v>
      </c>
      <c r="K228" s="9" t="n">
        <v>1</v>
      </c>
      <c r="L228" s="9" t="n">
        <v>0</v>
      </c>
      <c r="M228" s="9" t="n">
        <v>0</v>
      </c>
      <c r="N228" s="9" t="n">
        <v>0</v>
      </c>
      <c r="O228" s="10" t="n">
        <v>1</v>
      </c>
      <c r="P228" s="10" t="n">
        <v>0</v>
      </c>
      <c r="Q228" s="10" t="n">
        <v>0</v>
      </c>
      <c r="R228" s="10" t="n">
        <v>0</v>
      </c>
      <c r="S228" s="10" t="n">
        <v>0</v>
      </c>
    </row>
    <row r="229" ht="296" customHeight="1">
      <c r="A229" s="6">
        <f>IFERROR(__xludf.DUMMYFUNCTION("""COMPUTED_VALUE"""),"Modeling-based Estimation Learning Environment - MEttLE")</f>
        <v/>
      </c>
      <c r="B229" s="6">
        <f>IFERROR(__xludf.DUMMYFUNCTION("""COMPUTED_VALUE"""),"Application")</f>
        <v/>
      </c>
      <c r="C229" s="6">
        <f>IFERROR(__xludf.DUMMYFUNCTION("""COMPUTED_VALUE"""),"Reflect and plan")</f>
        <v/>
      </c>
      <c r="D229" s="7">
        <f>IFERROR(__xludf.DUMMYFUNCTION("""COMPUTED_VALUE"""),"&lt;p&gt;Here you will reflect on what you did in this phase and what you intend to do next.&lt;/p&gt;")</f>
        <v/>
      </c>
      <c r="E22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9" s="7" t="n"/>
      <c r="G229" s="8" t="n">
        <v>0</v>
      </c>
      <c r="H229" s="8" t="n">
        <v>0</v>
      </c>
      <c r="I229" s="8" t="n">
        <v>0</v>
      </c>
      <c r="J229" s="8" t="n">
        <v>1</v>
      </c>
      <c r="K229" s="9" t="n">
        <v>0</v>
      </c>
      <c r="L229" s="9" t="n">
        <v>1</v>
      </c>
      <c r="M229" s="9" t="n">
        <v>0</v>
      </c>
      <c r="N229" s="9" t="n">
        <v>0</v>
      </c>
      <c r="O229" s="10" t="n">
        <v>0</v>
      </c>
      <c r="P229" s="10" t="n">
        <v>0</v>
      </c>
      <c r="Q229" s="10" t="n">
        <v>0</v>
      </c>
      <c r="R229" s="10" t="n">
        <v>0</v>
      </c>
      <c r="S229" s="10" t="n">
        <v>1</v>
      </c>
    </row>
    <row r="230" ht="109" customHeight="1">
      <c r="A230" s="6">
        <f>IFERROR(__xludf.DUMMYFUNCTION("""COMPUTED_VALUE"""),"Modeling-based Estimation Learning Environment - MEttLE")</f>
        <v/>
      </c>
      <c r="B230" s="6">
        <f>IFERROR(__xludf.DUMMYFUNCTION("""COMPUTED_VALUE"""),"Resource")</f>
        <v/>
      </c>
      <c r="C230" s="6">
        <f>IFERROR(__xludf.DUMMYFUNCTION("""COMPUTED_VALUE"""),"Reference Materials")</f>
        <v/>
      </c>
      <c r="D230" s="7">
        <f>IFERROR(__xludf.DUMMYFUNCTION("""COMPUTED_VALUE"""),"&lt;p&gt;Read about how an electric car works here.&lt;/p&gt;")</f>
        <v/>
      </c>
      <c r="E230" s="7">
        <f>IFERROR(__xludf.DUMMYFUNCTION("""COMPUTED_VALUE"""),"application/pdf – A portable document format (PDF) file, preserving text and layout for consistent viewing across devices.")</f>
        <v/>
      </c>
      <c r="F230" s="7" t="n"/>
      <c r="G230" s="8" t="n">
        <v>1</v>
      </c>
      <c r="H230" s="8" t="n">
        <v>0</v>
      </c>
      <c r="I230" s="8" t="n">
        <v>0</v>
      </c>
      <c r="J230" s="8" t="n">
        <v>0</v>
      </c>
      <c r="K230" s="9" t="n">
        <v>1</v>
      </c>
      <c r="L230" s="9" t="n">
        <v>0</v>
      </c>
      <c r="M230" s="9" t="n">
        <v>0</v>
      </c>
      <c r="N230" s="9" t="n">
        <v>0</v>
      </c>
      <c r="O230" s="10" t="n">
        <v>1</v>
      </c>
      <c r="P230" s="10" t="n">
        <v>0</v>
      </c>
      <c r="Q230" s="10" t="n">
        <v>0</v>
      </c>
      <c r="R230" s="10" t="n">
        <v>0</v>
      </c>
      <c r="S230" s="10" t="n">
        <v>0</v>
      </c>
    </row>
    <row r="231" ht="109" customHeight="1">
      <c r="A231" s="6">
        <f>IFERROR(__xludf.DUMMYFUNCTION("""COMPUTED_VALUE"""),"Modeling-based Estimation Learning Environment - MEttLE")</f>
        <v/>
      </c>
      <c r="B231" s="6">
        <f>IFERROR(__xludf.DUMMYFUNCTION("""COMPUTED_VALUE"""),"Resource")</f>
        <v/>
      </c>
      <c r="C231" s="6">
        <f>IFERROR(__xludf.DUMMYFUNCTION("""COMPUTED_VALUE"""),"Scratch Pad - drawing")</f>
        <v/>
      </c>
      <c r="D231" s="7">
        <f>IFERROR(__xludf.DUMMYFUNCTION("""COMPUTED_VALUE"""),"&lt;p&gt;Draw your initial thoughts and ideas.&lt;/p&gt;")</f>
        <v/>
      </c>
      <c r="E231" s="7">
        <f>IFERROR(__xludf.DUMMYFUNCTION("""COMPUTED_VALUE"""),"text/html – A webpage or web document that contains structured text, images, and links, designed for display in a web browser.")</f>
        <v/>
      </c>
      <c r="F231" s="7" t="n"/>
      <c r="G231" s="8" t="n">
        <v>0</v>
      </c>
      <c r="H231" s="8" t="n">
        <v>0</v>
      </c>
      <c r="I231" s="8" t="n">
        <v>1</v>
      </c>
      <c r="J231" s="8" t="n">
        <v>0</v>
      </c>
      <c r="K231" s="9" t="n">
        <v>0</v>
      </c>
      <c r="L231" s="9" t="n">
        <v>1</v>
      </c>
      <c r="M231" s="9" t="n">
        <v>0</v>
      </c>
      <c r="N231" s="9" t="n">
        <v>0</v>
      </c>
      <c r="O231" s="10" t="n">
        <v>1</v>
      </c>
      <c r="P231" s="10" t="n">
        <v>0</v>
      </c>
      <c r="Q231" s="10" t="n">
        <v>0</v>
      </c>
      <c r="R231" s="10" t="n">
        <v>0</v>
      </c>
      <c r="S231" s="10" t="n">
        <v>0</v>
      </c>
    </row>
    <row r="232" ht="329" customHeight="1">
      <c r="A232" s="6">
        <f>IFERROR(__xludf.DUMMYFUNCTION("""COMPUTED_VALUE"""),"Modeling-based Estimation Learning Environment - MEttLE")</f>
        <v/>
      </c>
      <c r="B232" s="6">
        <f>IFERROR(__xludf.DUMMYFUNCTION("""COMPUTED_VALUE"""),"Application")</f>
        <v/>
      </c>
      <c r="C232" s="6">
        <f>IFERROR(__xludf.DUMMYFUNCTION("""COMPUTED_VALUE"""),"Scratch pad - notes")</f>
        <v/>
      </c>
      <c r="D232" s="7">
        <f>IFERROR(__xludf.DUMMYFUNCTION("""COMPUTED_VALUE"""),"&lt;p&gt;Take notes here.&lt;/p&gt;")</f>
        <v/>
      </c>
      <c r="E2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32" s="7" t="n"/>
      <c r="G232" s="8" t="n">
        <v>0</v>
      </c>
      <c r="H232" s="8" t="n">
        <v>0</v>
      </c>
      <c r="I232" s="8" t="n">
        <v>1</v>
      </c>
      <c r="J232" s="8" t="n">
        <v>0</v>
      </c>
      <c r="K232" s="9" t="n">
        <v>0</v>
      </c>
      <c r="L232" s="9" t="n">
        <v>1</v>
      </c>
      <c r="M232" s="9" t="n">
        <v>0</v>
      </c>
      <c r="N232" s="9" t="n">
        <v>0</v>
      </c>
      <c r="O232" s="10" t="n">
        <v>0</v>
      </c>
      <c r="P232" s="10" t="n">
        <v>0</v>
      </c>
      <c r="Q232" s="10" t="n">
        <v>0</v>
      </c>
      <c r="R232" s="10" t="n">
        <v>0</v>
      </c>
      <c r="S232" s="10" t="n">
        <v>0</v>
      </c>
    </row>
    <row r="233" ht="109" customHeight="1">
      <c r="A233" s="6">
        <f>IFERROR(__xludf.DUMMYFUNCTION("""COMPUTED_VALUE"""),"Modeling-based Estimation Learning Environment - MEttLE")</f>
        <v/>
      </c>
      <c r="B233" s="6">
        <f>IFERROR(__xludf.DUMMYFUNCTION("""COMPUTED_VALUE"""),"Space")</f>
        <v/>
      </c>
      <c r="C233" s="6">
        <f>IFERROR(__xludf.DUMMYFUNCTION("""COMPUTED_VALUE"""),"Qualitative Modeling")</f>
        <v/>
      </c>
      <c r="D233" s="7">
        <f>IFERROR(__xludf.DUMMYFUNCTION("""COMPUTED_VALUE"""),"&lt;p&gt;In this second phase of estimation, you will create a qualitative model of the electric car that you can use to estimate power.&lt;/p&gt;")</f>
        <v/>
      </c>
      <c r="E233" s="7">
        <f>IFERROR(__xludf.DUMMYFUNCTION("""COMPUTED_VALUE"""),"No artifact embedded")</f>
        <v/>
      </c>
      <c r="F233" s="7" t="n"/>
      <c r="G233" s="8" t="n">
        <v>0</v>
      </c>
      <c r="H233" s="8" t="n">
        <v>0</v>
      </c>
      <c r="I233" s="8" t="n">
        <v>1</v>
      </c>
      <c r="J233" s="8" t="n">
        <v>0</v>
      </c>
      <c r="K233" s="9" t="n">
        <v>0</v>
      </c>
      <c r="L233" s="9" t="n">
        <v>1</v>
      </c>
      <c r="M233" s="9" t="n">
        <v>0</v>
      </c>
      <c r="N233" s="9" t="n">
        <v>0</v>
      </c>
      <c r="O233" s="10" t="n">
        <v>1</v>
      </c>
      <c r="P233" s="10" t="n">
        <v>0</v>
      </c>
      <c r="Q233" s="10" t="n">
        <v>0</v>
      </c>
      <c r="R233" s="10" t="n">
        <v>0</v>
      </c>
      <c r="S233" s="10" t="n">
        <v>0</v>
      </c>
    </row>
    <row r="234" ht="97" customHeight="1">
      <c r="A234" s="6">
        <f>IFERROR(__xludf.DUMMYFUNCTION("""COMPUTED_VALUE"""),"Modeling-based Estimation Learning Environment - MEttLE")</f>
        <v/>
      </c>
      <c r="B234" s="6">
        <f>IFERROR(__xludf.DUMMYFUNCTION("""COMPUTED_VALUE"""),"Resource")</f>
        <v/>
      </c>
      <c r="C234" s="6">
        <f>IFERROR(__xludf.DUMMYFUNCTION("""COMPUTED_VALUE"""),"EstiMap")</f>
        <v/>
      </c>
      <c r="D234" s="7">
        <f>IFERROR(__xludf.DUMMYFUNCTION("""COMPUTED_VALUE"""),"&lt;p&gt;This is where you are in the estimation process.&lt;/p&gt;")</f>
        <v/>
      </c>
      <c r="E234" s="7">
        <f>IFERROR(__xludf.DUMMYFUNCTION("""COMPUTED_VALUE"""),"image/png – A high-quality image with support for transparency, often used in design and web applications.")</f>
        <v/>
      </c>
      <c r="F234" s="7" t="n"/>
      <c r="G234" s="8" t="n">
        <v>1</v>
      </c>
      <c r="H234" s="8" t="n">
        <v>0</v>
      </c>
      <c r="I234" s="8" t="n">
        <v>0</v>
      </c>
      <c r="J234" s="8" t="n">
        <v>0</v>
      </c>
      <c r="K234" s="9" t="n">
        <v>1</v>
      </c>
      <c r="L234" s="9" t="n">
        <v>0</v>
      </c>
      <c r="M234" s="9" t="n">
        <v>0</v>
      </c>
      <c r="N234" s="9" t="n">
        <v>0</v>
      </c>
      <c r="O234" s="10" t="n">
        <v>1</v>
      </c>
      <c r="P234" s="10" t="n">
        <v>0</v>
      </c>
      <c r="Q234" s="10" t="n">
        <v>0</v>
      </c>
      <c r="R234" s="10" t="n">
        <v>0</v>
      </c>
      <c r="S234" s="10" t="n">
        <v>0</v>
      </c>
    </row>
    <row r="235" ht="409.5" customHeight="1">
      <c r="A235" s="6">
        <f>IFERROR(__xludf.DUMMYFUNCTION("""COMPUTED_VALUE"""),"Modeling-based Estimation Learning Environment - MEttLE")</f>
        <v/>
      </c>
      <c r="B235" s="6">
        <f>IFERROR(__xludf.DUMMYFUNCTION("""COMPUTED_VALUE"""),"Application")</f>
        <v/>
      </c>
      <c r="C235" s="6">
        <f>IFERROR(__xludf.DUMMYFUNCTION("""COMPUTED_VALUE"""),"Simulator")</f>
        <v/>
      </c>
      <c r="D235" s="7">
        <f>IFERROR(__xludf.DUMMYFUNCTION("""COMPUTED_VALUE"""),"No task description")</f>
        <v/>
      </c>
      <c r="E235" s="7">
        <f>IFERROR(__xludf.DUMMYFUNCTION("""COMPUTED_VALUE"""),"Golabz app/lab: `&lt;p&gt;The Quest 2.0 app can be used to create questionnaires and surveys. These can contain containing multiple choice, multiple select, open answer and table like questions with multiple choice, multiple select, and smileys type answers. Te"&amp;"achers can see an overview of all submitted responses in Graasp. It is likely that in future releases new question types will be added.&lt;/p&gt;\r\n\r\n&lt;p&gt;To learn more about how to configure the app, visit the Support Page's section on &lt;a href=""https://suppo"&amp;"rt.golabz.eu/videos?category=4""&gt;How to set up Apps&lt;/a&gt;.&lt;/p&gt;\r\n\r\n&lt;p&gt;This app can also be configured to run in collaboration mode. To enable collaboration, add the &lt;a href=""https://www.golabz.eu/app/collaboration-tool""&gt;Collaboration Tool&lt;/a&gt;&amp;nbsp;to t"&amp;"he ILS in Graasp.&lt;/p&gt;\r\n\r\n&lt;p&gt;This Quest 2.0 app was developed with financial support from the Dutch&lt;a href=""https://www.techyourfuture.nl/""&gt;Tech Your Future&lt;/a&gt;&amp;nbsp;organization and replaces the former Quest app.&lt;/p&gt;\r\n\r\n&lt;p&gt;The Quest 2.0 app is n"&amp;"ot backwards compatible with the former Quest app. However, the former Quest app will keep on working in the ILSses.&lt;/p&gt;\r\n\r\n&lt;p&gt;If you want to present students with a quiz, the &lt;a href=""https://www.golabz.eu/app/quiz-tool""&gt;Quiz&lt;/a&gt; and &lt;a href=""http"&amp;"s://www.golabz.eu/app/quiz-2-0""&gt;Quiz 2.0&lt;/a&gt; apps are better suited for this purpose.&amp;nbsp;&lt;/p&gt;\r\n`")</f>
        <v/>
      </c>
      <c r="F235" s="7" t="n"/>
      <c r="G235" s="8" t="n">
        <v>0</v>
      </c>
      <c r="H235" s="8" t="n">
        <v>0</v>
      </c>
      <c r="I235" s="8" t="n">
        <v>1</v>
      </c>
      <c r="J235" s="8" t="n">
        <v>0</v>
      </c>
      <c r="K235" s="9" t="n">
        <v>0</v>
      </c>
      <c r="L235" s="9" t="n">
        <v>1</v>
      </c>
      <c r="M235" s="9" t="n">
        <v>0</v>
      </c>
      <c r="N235" s="9" t="n">
        <v>0</v>
      </c>
      <c r="O235" s="10" t="n">
        <v>0</v>
      </c>
      <c r="P235" s="10" t="n">
        <v>0</v>
      </c>
      <c r="Q235" s="10" t="n">
        <v>0</v>
      </c>
      <c r="R235" s="10" t="n">
        <v>0</v>
      </c>
      <c r="S235" s="10" t="n">
        <v>0</v>
      </c>
    </row>
    <row r="236" ht="296" customHeight="1">
      <c r="A236" s="6">
        <f>IFERROR(__xludf.DUMMYFUNCTION("""COMPUTED_VALUE"""),"Modeling-based Estimation Learning Environment - MEttLE")</f>
        <v/>
      </c>
      <c r="B236" s="6">
        <f>IFERROR(__xludf.DUMMYFUNCTION("""COMPUTED_VALUE"""),"Application")</f>
        <v/>
      </c>
      <c r="C236" s="6">
        <f>IFERROR(__xludf.DUMMYFUNCTION("""COMPUTED_VALUE"""),"Check your understanding of parameter relationships")</f>
        <v/>
      </c>
      <c r="D236" s="7">
        <f>IFERROR(__xludf.DUMMYFUNCTION("""COMPUTED_VALUE"""),"&lt;p&gt;Answer the questions here to see if you recognize the relationship between the various parameters. Note that multiple answers maybe correct.&lt;/p&gt;")</f>
        <v/>
      </c>
      <c r="E23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36" s="7" t="n"/>
      <c r="G236" s="8" t="n">
        <v>0</v>
      </c>
      <c r="H236" s="8" t="n">
        <v>0</v>
      </c>
      <c r="I236" s="8" t="n">
        <v>0</v>
      </c>
      <c r="J236" s="8" t="n">
        <v>1</v>
      </c>
      <c r="K236" s="9" t="n">
        <v>0</v>
      </c>
      <c r="L236" s="9" t="n">
        <v>1</v>
      </c>
      <c r="M236" s="9" t="n">
        <v>0</v>
      </c>
      <c r="N236" s="9" t="n">
        <v>0</v>
      </c>
      <c r="O236" s="10" t="n">
        <v>0</v>
      </c>
      <c r="P236" s="10" t="n">
        <v>0</v>
      </c>
      <c r="Q236" s="10" t="n">
        <v>0</v>
      </c>
      <c r="R236" s="10" t="n">
        <v>0</v>
      </c>
      <c r="S236" s="10" t="n">
        <v>1</v>
      </c>
    </row>
    <row r="237" ht="409.5" customHeight="1">
      <c r="A237" s="6">
        <f>IFERROR(__xludf.DUMMYFUNCTION("""COMPUTED_VALUE"""),"Modeling-based Estimation Learning Environment - MEttLE")</f>
        <v/>
      </c>
      <c r="B237" s="6">
        <f>IFERROR(__xludf.DUMMYFUNCTION("""COMPUTED_VALUE"""),"Application")</f>
        <v/>
      </c>
      <c r="C237" s="6">
        <f>IFERROR(__xludf.DUMMYFUNCTION("""COMPUTED_VALUE"""),"Concept Mapper")</f>
        <v/>
      </c>
      <c r="D237" s="7">
        <f>IFERROR(__xludf.DUMMYFUNCTION("""COMPUTED_VALUE"""),"&lt;p&gt;Draw a causal map describing how the various parameters affecting the running of the car are related.&lt;/p&gt;")</f>
        <v/>
      </c>
      <c r="E237"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237" s="7" t="n"/>
      <c r="G237" s="8" t="n">
        <v>0</v>
      </c>
      <c r="H237" s="8" t="n">
        <v>0</v>
      </c>
      <c r="I237" s="8" t="n">
        <v>1</v>
      </c>
      <c r="J237" s="8" t="n">
        <v>0</v>
      </c>
      <c r="K237" s="9" t="n">
        <v>0</v>
      </c>
      <c r="L237" s="9" t="n">
        <v>1</v>
      </c>
      <c r="M237" s="9" t="n">
        <v>0</v>
      </c>
      <c r="N237" s="9" t="n">
        <v>0</v>
      </c>
      <c r="O237" s="10" t="n">
        <v>0</v>
      </c>
      <c r="P237" s="10" t="n">
        <v>1</v>
      </c>
      <c r="Q237" s="10" t="n">
        <v>0</v>
      </c>
      <c r="R237" s="10" t="n">
        <v>0</v>
      </c>
      <c r="S237" s="10" t="n">
        <v>0</v>
      </c>
    </row>
    <row r="238" ht="109" customHeight="1">
      <c r="A238" s="6">
        <f>IFERROR(__xludf.DUMMYFUNCTION("""COMPUTED_VALUE"""),"Modeling-based Estimation Learning Environment - MEttLE")</f>
        <v/>
      </c>
      <c r="B238" s="6">
        <f>IFERROR(__xludf.DUMMYFUNCTION("""COMPUTED_VALUE"""),"Resource")</f>
        <v/>
      </c>
      <c r="C238" s="6">
        <f>IFERROR(__xludf.DUMMYFUNCTION("""COMPUTED_VALUE"""),"Reference Materials")</f>
        <v/>
      </c>
      <c r="D238" s="7">
        <f>IFERROR(__xludf.DUMMYFUNCTION("""COMPUTED_VALUE"""),"&lt;p&gt;Read about how an electric car works here.&lt;/p&gt;")</f>
        <v/>
      </c>
      <c r="E238" s="7">
        <f>IFERROR(__xludf.DUMMYFUNCTION("""COMPUTED_VALUE"""),"application/pdf – A portable document format (PDF) file, preserving text and layout for consistent viewing across devices.")</f>
        <v/>
      </c>
      <c r="F238" s="7" t="n"/>
      <c r="G238" s="8" t="n">
        <v>1</v>
      </c>
      <c r="H238" s="8" t="n">
        <v>0</v>
      </c>
      <c r="I238" s="8" t="n">
        <v>0</v>
      </c>
      <c r="J238" s="8" t="n">
        <v>0</v>
      </c>
      <c r="K238" s="9" t="n">
        <v>1</v>
      </c>
      <c r="L238" s="9" t="n">
        <v>0</v>
      </c>
      <c r="M238" s="9" t="n">
        <v>0</v>
      </c>
      <c r="N238" s="9" t="n">
        <v>0</v>
      </c>
      <c r="O238" s="10" t="n">
        <v>1</v>
      </c>
      <c r="P238" s="10" t="n">
        <v>0</v>
      </c>
      <c r="Q238" s="10" t="n">
        <v>0</v>
      </c>
      <c r="R238" s="10" t="n">
        <v>0</v>
      </c>
      <c r="S238" s="10" t="n">
        <v>0</v>
      </c>
    </row>
    <row r="239" ht="109" customHeight="1">
      <c r="A239" s="6">
        <f>IFERROR(__xludf.DUMMYFUNCTION("""COMPUTED_VALUE"""),"Modeling-based Estimation Learning Environment - MEttLE")</f>
        <v/>
      </c>
      <c r="B239" s="6">
        <f>IFERROR(__xludf.DUMMYFUNCTION("""COMPUTED_VALUE"""),"Resource")</f>
        <v/>
      </c>
      <c r="C239" s="6">
        <f>IFERROR(__xludf.DUMMYFUNCTION("""COMPUTED_VALUE"""),"Scratch Pad - drawing")</f>
        <v/>
      </c>
      <c r="D239" s="7">
        <f>IFERROR(__xludf.DUMMYFUNCTION("""COMPUTED_VALUE"""),"&lt;p&gt;Draw your initial thoughts and ideas.&lt;/p&gt;")</f>
        <v/>
      </c>
      <c r="E239" s="7">
        <f>IFERROR(__xludf.DUMMYFUNCTION("""COMPUTED_VALUE"""),"text/html – A webpage or web document that contains structured text, images, and links, designed for display in a web browser.")</f>
        <v/>
      </c>
      <c r="F239" s="7" t="n"/>
      <c r="G239" s="8" t="n">
        <v>0</v>
      </c>
      <c r="H239" s="8" t="n">
        <v>0</v>
      </c>
      <c r="I239" s="8" t="n">
        <v>1</v>
      </c>
      <c r="J239" s="8" t="n">
        <v>0</v>
      </c>
      <c r="K239" s="9" t="n">
        <v>0</v>
      </c>
      <c r="L239" s="9" t="n">
        <v>1</v>
      </c>
      <c r="M239" s="9" t="n">
        <v>0</v>
      </c>
      <c r="N239" s="9" t="n">
        <v>0</v>
      </c>
      <c r="O239" s="10" t="n">
        <v>0</v>
      </c>
      <c r="P239" s="10" t="n">
        <v>0</v>
      </c>
      <c r="Q239" s="10" t="n">
        <v>0</v>
      </c>
      <c r="R239" s="10" t="n">
        <v>0</v>
      </c>
      <c r="S239" s="10" t="n">
        <v>0</v>
      </c>
    </row>
    <row r="240" ht="329" customHeight="1">
      <c r="A240" s="6">
        <f>IFERROR(__xludf.DUMMYFUNCTION("""COMPUTED_VALUE"""),"Modeling-based Estimation Learning Environment - MEttLE")</f>
        <v/>
      </c>
      <c r="B240" s="6">
        <f>IFERROR(__xludf.DUMMYFUNCTION("""COMPUTED_VALUE"""),"Application")</f>
        <v/>
      </c>
      <c r="C240" s="6">
        <f>IFERROR(__xludf.DUMMYFUNCTION("""COMPUTED_VALUE"""),"Scratch pad - notes")</f>
        <v/>
      </c>
      <c r="D240" s="7">
        <f>IFERROR(__xludf.DUMMYFUNCTION("""COMPUTED_VALUE"""),"&lt;p&gt;Take notes here.&lt;/p&gt;")</f>
        <v/>
      </c>
      <c r="E24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0" s="7" t="n"/>
      <c r="G240" s="8" t="n">
        <v>0</v>
      </c>
      <c r="H240" s="8" t="n">
        <v>0</v>
      </c>
      <c r="I240" s="8" t="n">
        <v>1</v>
      </c>
      <c r="J240" s="8" t="n">
        <v>0</v>
      </c>
      <c r="K240" s="9" t="n">
        <v>0</v>
      </c>
      <c r="L240" s="9" t="n">
        <v>1</v>
      </c>
      <c r="M240" s="9" t="n">
        <v>0</v>
      </c>
      <c r="N240" s="9" t="n">
        <v>0</v>
      </c>
      <c r="O240" s="10" t="n">
        <v>0</v>
      </c>
      <c r="P240" s="10" t="n">
        <v>0</v>
      </c>
      <c r="Q240" s="10" t="n">
        <v>0</v>
      </c>
      <c r="R240" s="10" t="n">
        <v>0</v>
      </c>
      <c r="S240" s="10" t="n">
        <v>0</v>
      </c>
    </row>
    <row r="241" ht="121" customHeight="1">
      <c r="A241" s="6">
        <f>IFERROR(__xludf.DUMMYFUNCTION("""COMPUTED_VALUE"""),"Modeling-based Estimation Learning Environment - MEttLE")</f>
        <v/>
      </c>
      <c r="B241" s="6">
        <f>IFERROR(__xludf.DUMMYFUNCTION("""COMPUTED_VALUE"""),"Space")</f>
        <v/>
      </c>
      <c r="C241" s="6">
        <f>IFERROR(__xludf.DUMMYFUNCTION("""COMPUTED_VALUE"""),"Quantitative Modeling")</f>
        <v/>
      </c>
      <c r="D241" s="7">
        <f>IFERROR(__xludf.DUMMYFUNCTION("""COMPUTED_VALUE"""),"&lt;p&gt;In the third phase of estimation, you will create a quantitative model of the electric car that you can use to estimate power.&lt;/p&gt;")</f>
        <v/>
      </c>
      <c r="E241" s="7">
        <f>IFERROR(__xludf.DUMMYFUNCTION("""COMPUTED_VALUE"""),"No artifact embedded")</f>
        <v/>
      </c>
      <c r="F241" s="7" t="n"/>
      <c r="G241" s="8" t="n">
        <v>0</v>
      </c>
      <c r="H241" s="8" t="n">
        <v>0</v>
      </c>
      <c r="I241" s="8" t="n">
        <v>1</v>
      </c>
      <c r="J241" s="8" t="n">
        <v>0</v>
      </c>
      <c r="K241" s="9" t="n">
        <v>0</v>
      </c>
      <c r="L241" s="9" t="n">
        <v>1</v>
      </c>
      <c r="M241" s="9" t="n">
        <v>0</v>
      </c>
      <c r="N241" s="9" t="n">
        <v>0</v>
      </c>
      <c r="O241" s="10" t="n">
        <v>0</v>
      </c>
      <c r="P241" s="10" t="n">
        <v>0</v>
      </c>
      <c r="Q241" s="10" t="n">
        <v>1</v>
      </c>
      <c r="R241" s="10" t="n">
        <v>0</v>
      </c>
      <c r="S241" s="10" t="n">
        <v>0</v>
      </c>
    </row>
    <row r="242" ht="97" customHeight="1">
      <c r="A242" s="6">
        <f>IFERROR(__xludf.DUMMYFUNCTION("""COMPUTED_VALUE"""),"Modeling-based Estimation Learning Environment - MEttLE")</f>
        <v/>
      </c>
      <c r="B242" s="6">
        <f>IFERROR(__xludf.DUMMYFUNCTION("""COMPUTED_VALUE"""),"Resource")</f>
        <v/>
      </c>
      <c r="C242" s="6">
        <f>IFERROR(__xludf.DUMMYFUNCTION("""COMPUTED_VALUE"""),"EstiMap")</f>
        <v/>
      </c>
      <c r="D242" s="7">
        <f>IFERROR(__xludf.DUMMYFUNCTION("""COMPUTED_VALUE"""),"&lt;p&gt;This is where you are in the estimation process.&lt;/p&gt;")</f>
        <v/>
      </c>
      <c r="E242" s="7">
        <f>IFERROR(__xludf.DUMMYFUNCTION("""COMPUTED_VALUE"""),"image/png – A high-quality image with support for transparency, often used in design and web applications.")</f>
        <v/>
      </c>
      <c r="F242" s="7" t="n"/>
      <c r="G242" s="8" t="n">
        <v>1</v>
      </c>
      <c r="H242" s="8" t="n">
        <v>0</v>
      </c>
      <c r="I242" s="8" t="n">
        <v>0</v>
      </c>
      <c r="J242" s="8" t="n">
        <v>0</v>
      </c>
      <c r="K242" s="9" t="n">
        <v>1</v>
      </c>
      <c r="L242" s="9" t="n">
        <v>0</v>
      </c>
      <c r="M242" s="9" t="n">
        <v>0</v>
      </c>
      <c r="N242" s="9" t="n">
        <v>0</v>
      </c>
      <c r="O242" s="10" t="n">
        <v>1</v>
      </c>
      <c r="P242" s="10" t="n">
        <v>0</v>
      </c>
      <c r="Q242" s="10" t="n">
        <v>0</v>
      </c>
      <c r="R242" s="10" t="n">
        <v>0</v>
      </c>
      <c r="S242" s="10" t="n">
        <v>0</v>
      </c>
    </row>
    <row r="243" ht="49" customHeight="1">
      <c r="A243" s="6">
        <f>IFERROR(__xludf.DUMMYFUNCTION("""COMPUTED_VALUE"""),"Modeling-based Estimation Learning Environment - MEttLE")</f>
        <v/>
      </c>
      <c r="B243" s="6">
        <f>IFERROR(__xludf.DUMMYFUNCTION("""COMPUTED_VALUE"""),"Application")</f>
        <v/>
      </c>
      <c r="C243" s="6">
        <f>IFERROR(__xludf.DUMMYFUNCTION("""COMPUTED_VALUE"""),"EquationBuilder")</f>
        <v/>
      </c>
      <c r="D243" s="7">
        <f>IFERROR(__xludf.DUMMYFUNCTION("""COMPUTED_VALUE"""),"No task description")</f>
        <v/>
      </c>
      <c r="E243" s="7">
        <f>IFERROR(__xludf.DUMMYFUNCTION("""COMPUTED_VALUE"""),"Golabz app/lab: An app for students to build equations")</f>
        <v/>
      </c>
      <c r="F243" s="7" t="n"/>
      <c r="G243" s="8" t="n">
        <v>0</v>
      </c>
      <c r="H243" s="8" t="n">
        <v>1</v>
      </c>
      <c r="I243" s="8" t="n">
        <v>0</v>
      </c>
      <c r="J243" s="8" t="n">
        <v>0</v>
      </c>
      <c r="K243" s="9" t="n">
        <v>1</v>
      </c>
      <c r="L243" s="9" t="n">
        <v>0</v>
      </c>
      <c r="M243" s="9" t="n">
        <v>0</v>
      </c>
      <c r="N243" s="9" t="n">
        <v>0</v>
      </c>
      <c r="O243" s="10" t="n">
        <v>0</v>
      </c>
      <c r="P243" s="10" t="n">
        <v>0</v>
      </c>
      <c r="Q243" s="10" t="n">
        <v>0</v>
      </c>
      <c r="R243" s="10" t="n">
        <v>0</v>
      </c>
      <c r="S243" s="10" t="n">
        <v>0</v>
      </c>
    </row>
    <row r="244" ht="109" customHeight="1">
      <c r="A244" s="6">
        <f>IFERROR(__xludf.DUMMYFUNCTION("""COMPUTED_VALUE"""),"Modeling-based Estimation Learning Environment - MEttLE")</f>
        <v/>
      </c>
      <c r="B244" s="6">
        <f>IFERROR(__xludf.DUMMYFUNCTION("""COMPUTED_VALUE"""),"Resource")</f>
        <v/>
      </c>
      <c r="C244" s="6">
        <f>IFERROR(__xludf.DUMMYFUNCTION("""COMPUTED_VALUE"""),"Reference Materials")</f>
        <v/>
      </c>
      <c r="D244" s="7">
        <f>IFERROR(__xludf.DUMMYFUNCTION("""COMPUTED_VALUE"""),"&lt;p&gt;Read about how an electric car works here.&lt;/p&gt;")</f>
        <v/>
      </c>
      <c r="E244" s="7">
        <f>IFERROR(__xludf.DUMMYFUNCTION("""COMPUTED_VALUE"""),"application/pdf – A portable document format (PDF) file, preserving text and layout for consistent viewing across devices.")</f>
        <v/>
      </c>
      <c r="F244" s="7" t="n"/>
      <c r="G244" s="8" t="n">
        <v>1</v>
      </c>
      <c r="H244" s="8" t="n">
        <v>0</v>
      </c>
      <c r="I244" s="8" t="n">
        <v>0</v>
      </c>
      <c r="J244" s="8" t="n">
        <v>0</v>
      </c>
      <c r="K244" s="9" t="n">
        <v>1</v>
      </c>
      <c r="L244" s="9" t="n">
        <v>0</v>
      </c>
      <c r="M244" s="9" t="n">
        <v>0</v>
      </c>
      <c r="N244" s="9" t="n">
        <v>0</v>
      </c>
      <c r="O244" s="10" t="n">
        <v>1</v>
      </c>
      <c r="P244" s="10" t="n">
        <v>0</v>
      </c>
      <c r="Q244" s="10" t="n">
        <v>0</v>
      </c>
      <c r="R244" s="10" t="n">
        <v>0</v>
      </c>
      <c r="S244" s="10" t="n">
        <v>0</v>
      </c>
    </row>
    <row r="245" ht="109" customHeight="1">
      <c r="A245" s="6">
        <f>IFERROR(__xludf.DUMMYFUNCTION("""COMPUTED_VALUE"""),"Modeling-based Estimation Learning Environment - MEttLE")</f>
        <v/>
      </c>
      <c r="B245" s="6">
        <f>IFERROR(__xludf.DUMMYFUNCTION("""COMPUTED_VALUE"""),"Resource")</f>
        <v/>
      </c>
      <c r="C245" s="6">
        <f>IFERROR(__xludf.DUMMYFUNCTION("""COMPUTED_VALUE"""),"Scratch Pad - drawing")</f>
        <v/>
      </c>
      <c r="D245" s="7">
        <f>IFERROR(__xludf.DUMMYFUNCTION("""COMPUTED_VALUE"""),"&lt;p&gt;Draw your initial thoughts and ideas.&lt;/p&gt;")</f>
        <v/>
      </c>
      <c r="E245" s="7">
        <f>IFERROR(__xludf.DUMMYFUNCTION("""COMPUTED_VALUE"""),"text/html – A webpage or web document that contains structured text, images, and links, designed for display in a web browser.")</f>
        <v/>
      </c>
      <c r="F245" s="7" t="n"/>
      <c r="G245" s="8" t="n">
        <v>0</v>
      </c>
      <c r="H245" s="8" t="n">
        <v>0</v>
      </c>
      <c r="I245" s="8" t="n">
        <v>1</v>
      </c>
      <c r="J245" s="8" t="n">
        <v>0</v>
      </c>
      <c r="K245" s="9" t="n">
        <v>0</v>
      </c>
      <c r="L245" s="9" t="n">
        <v>1</v>
      </c>
      <c r="M245" s="9" t="n">
        <v>0</v>
      </c>
      <c r="N245" s="9" t="n">
        <v>0</v>
      </c>
      <c r="O245" s="10" t="n">
        <v>0</v>
      </c>
      <c r="P245" s="10" t="n">
        <v>0</v>
      </c>
      <c r="Q245" s="10" t="n">
        <v>0</v>
      </c>
      <c r="R245" s="10" t="n">
        <v>0</v>
      </c>
      <c r="S245" s="10" t="n">
        <v>0</v>
      </c>
    </row>
    <row r="246" ht="329" customHeight="1">
      <c r="A246" s="6">
        <f>IFERROR(__xludf.DUMMYFUNCTION("""COMPUTED_VALUE"""),"Modeling-based Estimation Learning Environment - MEttLE")</f>
        <v/>
      </c>
      <c r="B246" s="6">
        <f>IFERROR(__xludf.DUMMYFUNCTION("""COMPUTED_VALUE"""),"Application")</f>
        <v/>
      </c>
      <c r="C246" s="6">
        <f>IFERROR(__xludf.DUMMYFUNCTION("""COMPUTED_VALUE"""),"Scratch pad - notes")</f>
        <v/>
      </c>
      <c r="D246" s="7">
        <f>IFERROR(__xludf.DUMMYFUNCTION("""COMPUTED_VALUE"""),"&lt;p&gt;Take notes here.&lt;/p&gt;")</f>
        <v/>
      </c>
      <c r="E2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6" s="7" t="n"/>
      <c r="G246" s="8" t="n">
        <v>0</v>
      </c>
      <c r="H246" s="8" t="n">
        <v>0</v>
      </c>
      <c r="I246" s="8" t="n">
        <v>1</v>
      </c>
      <c r="J246" s="8" t="n">
        <v>0</v>
      </c>
      <c r="K246" s="9" t="n">
        <v>0</v>
      </c>
      <c r="L246" s="9" t="n">
        <v>1</v>
      </c>
      <c r="M246" s="9" t="n">
        <v>0</v>
      </c>
      <c r="N246" s="9" t="n">
        <v>0</v>
      </c>
      <c r="O246" s="10" t="n">
        <v>0</v>
      </c>
      <c r="P246" s="10" t="n">
        <v>0</v>
      </c>
      <c r="Q246" s="10" t="n">
        <v>0</v>
      </c>
      <c r="R246" s="10" t="n">
        <v>0</v>
      </c>
      <c r="S246" s="10" t="n">
        <v>0</v>
      </c>
    </row>
    <row r="247" ht="85" customHeight="1">
      <c r="A247" s="6">
        <f>IFERROR(__xludf.DUMMYFUNCTION("""COMPUTED_VALUE"""),"Modeling-based Estimation Learning Environment - MEttLE")</f>
        <v/>
      </c>
      <c r="B247" s="6">
        <f>IFERROR(__xludf.DUMMYFUNCTION("""COMPUTED_VALUE"""),"Space")</f>
        <v/>
      </c>
      <c r="C247" s="6">
        <f>IFERROR(__xludf.DUMMYFUNCTION("""COMPUTED_VALUE"""),"Calculation")</f>
        <v/>
      </c>
      <c r="D247" s="7">
        <f>IFERROR(__xludf.DUMMYFUNCTION("""COMPUTED_VALUE"""),"&lt;p&gt;What are the reasonable values of other parameters required to calculate power?&lt;/p&gt;")</f>
        <v/>
      </c>
      <c r="E247" s="7">
        <f>IFERROR(__xludf.DUMMYFUNCTION("""COMPUTED_VALUE"""),"No artifact embedded")</f>
        <v/>
      </c>
      <c r="F247" s="7" t="n"/>
      <c r="G247" s="8" t="n">
        <v>1</v>
      </c>
      <c r="H247" s="8" t="n">
        <v>0</v>
      </c>
      <c r="I247" s="8" t="n">
        <v>0</v>
      </c>
      <c r="J247" s="8" t="n">
        <v>0</v>
      </c>
      <c r="K247" s="9" t="n">
        <v>1</v>
      </c>
      <c r="L247" s="9" t="n">
        <v>0</v>
      </c>
      <c r="M247" s="9" t="n">
        <v>0</v>
      </c>
      <c r="N247" s="9" t="n">
        <v>0</v>
      </c>
      <c r="O247" s="10" t="n">
        <v>0</v>
      </c>
      <c r="P247" s="10" t="n">
        <v>0</v>
      </c>
      <c r="Q247" s="10" t="n">
        <v>0</v>
      </c>
      <c r="R247" s="10" t="n">
        <v>1</v>
      </c>
      <c r="S247" s="10" t="n">
        <v>0</v>
      </c>
    </row>
    <row r="248" ht="49" customHeight="1">
      <c r="A248" s="6">
        <f>IFERROR(__xludf.DUMMYFUNCTION("""COMPUTED_VALUE"""),"Modeling-based Estimation Learning Environment - MEttLE")</f>
        <v/>
      </c>
      <c r="B248" s="6">
        <f>IFERROR(__xludf.DUMMYFUNCTION("""COMPUTED_VALUE"""),"Space")</f>
        <v/>
      </c>
      <c r="C248" s="6">
        <f>IFERROR(__xludf.DUMMYFUNCTION("""COMPUTED_VALUE"""),"Evaluation")</f>
        <v/>
      </c>
      <c r="D248" s="7">
        <f>IFERROR(__xludf.DUMMYFUNCTION("""COMPUTED_VALUE"""),"&lt;p&gt;Is the determined value of power reasonable?&lt;/p&gt;")</f>
        <v/>
      </c>
      <c r="E248" s="7">
        <f>IFERROR(__xludf.DUMMYFUNCTION("""COMPUTED_VALUE"""),"No artifact embedded")</f>
        <v/>
      </c>
      <c r="F248" s="7" t="n"/>
      <c r="G248" s="8" t="n">
        <v>1</v>
      </c>
      <c r="H248" s="8" t="n">
        <v>0</v>
      </c>
      <c r="I248" s="8" t="n">
        <v>0</v>
      </c>
      <c r="J248" s="8" t="n">
        <v>0</v>
      </c>
      <c r="K248" s="9" t="n">
        <v>1</v>
      </c>
      <c r="L248" s="9" t="n">
        <v>0</v>
      </c>
      <c r="M248" s="9" t="n">
        <v>0</v>
      </c>
      <c r="N248" s="9" t="n">
        <v>0</v>
      </c>
      <c r="O248" s="10" t="n">
        <v>0</v>
      </c>
      <c r="P248" s="10" t="n">
        <v>0</v>
      </c>
      <c r="Q248" s="10" t="n">
        <v>0</v>
      </c>
      <c r="R248" s="10" t="n">
        <v>1</v>
      </c>
      <c r="S248" s="10" t="n">
        <v>0</v>
      </c>
    </row>
    <row r="249" ht="61" customHeight="1">
      <c r="A249" s="6">
        <f>IFERROR(__xludf.DUMMYFUNCTION("""COMPUTED_VALUE"""),"Modeling-based Estimation Learning Environment - MEttLE")</f>
        <v/>
      </c>
      <c r="B249" s="6">
        <f>IFERROR(__xludf.DUMMYFUNCTION("""COMPUTED_VALUE"""),"Application")</f>
        <v/>
      </c>
      <c r="C249" s="6">
        <f>IFERROR(__xludf.DUMMYFUNCTION("""COMPUTED_VALUE"""),"My Plan")</f>
        <v/>
      </c>
      <c r="D249" s="7">
        <f>IFERROR(__xludf.DUMMYFUNCTION("""COMPUTED_VALUE"""),"&lt;p&gt;How do you think you will solve this estimation problem?&lt;/p&gt;")</f>
        <v/>
      </c>
      <c r="E249" s="7">
        <f>IFERROR(__xludf.DUMMYFUNCTION("""COMPUTED_VALUE"""),"No artifact embedded")</f>
        <v/>
      </c>
      <c r="F249" s="7" t="n"/>
      <c r="G249" s="8" t="n">
        <v>1</v>
      </c>
      <c r="H249" s="8" t="n">
        <v>0</v>
      </c>
      <c r="I249" s="8" t="n">
        <v>0</v>
      </c>
      <c r="J249" s="8" t="n">
        <v>0</v>
      </c>
      <c r="K249" s="9" t="n">
        <v>1</v>
      </c>
      <c r="L249" s="9" t="n">
        <v>0</v>
      </c>
      <c r="M249" s="9" t="n">
        <v>0</v>
      </c>
      <c r="N249" s="9" t="n">
        <v>0</v>
      </c>
      <c r="O249" s="10" t="n">
        <v>0</v>
      </c>
      <c r="P249" s="10" t="n">
        <v>0</v>
      </c>
      <c r="Q249" s="10" t="n">
        <v>0</v>
      </c>
      <c r="R249" s="10" t="n">
        <v>1</v>
      </c>
      <c r="S249" s="10" t="n">
        <v>0</v>
      </c>
    </row>
    <row r="250" ht="25" customHeight="1">
      <c r="A250" s="6">
        <f>IFERROR(__xludf.DUMMYFUNCTION("""COMPUTED_VALUE"""),"RATE OF DIFFUSION")</f>
        <v/>
      </c>
      <c r="B250" s="6">
        <f>IFERROR(__xludf.DUMMYFUNCTION("""COMPUTED_VALUE"""),"Space")</f>
        <v/>
      </c>
      <c r="C250" s="6">
        <f>IFERROR(__xludf.DUMMYFUNCTION("""COMPUTED_VALUE"""),"About")</f>
        <v/>
      </c>
      <c r="D250" s="7">
        <f>IFERROR(__xludf.DUMMYFUNCTION("""COMPUTED_VALUE"""),"No task description")</f>
        <v/>
      </c>
      <c r="E250" s="7">
        <f>IFERROR(__xludf.DUMMYFUNCTION("""COMPUTED_VALUE"""),"No artifact embedded")</f>
        <v/>
      </c>
      <c r="F250" s="7" t="n"/>
      <c r="G250" s="8" t="n">
        <v>0</v>
      </c>
      <c r="H250" s="8" t="n">
        <v>0</v>
      </c>
      <c r="I250" s="8" t="n">
        <v>0</v>
      </c>
      <c r="J250" s="8" t="n">
        <v>0</v>
      </c>
      <c r="K250" s="9" t="n">
        <v>0</v>
      </c>
      <c r="L250" s="9" t="n">
        <v>0</v>
      </c>
      <c r="M250" s="9" t="n">
        <v>0</v>
      </c>
      <c r="N250" s="9" t="n">
        <v>0</v>
      </c>
      <c r="O250" s="10" t="n">
        <v>0</v>
      </c>
      <c r="P250" s="10" t="n">
        <v>0</v>
      </c>
      <c r="Q250" s="10" t="n">
        <v>0</v>
      </c>
      <c r="R250" s="10" t="n">
        <v>0</v>
      </c>
      <c r="S250" s="10" t="n">
        <v>0</v>
      </c>
    </row>
    <row r="251" ht="157" customHeight="1">
      <c r="A251" s="6">
        <f>IFERROR(__xludf.DUMMYFUNCTION("""COMPUTED_VALUE"""),"RATE OF DIFFUSION")</f>
        <v/>
      </c>
      <c r="B251" s="6">
        <f>IFERROR(__xludf.DUMMYFUNCTION("""COMPUTED_VALUE"""),"Resource")</f>
        <v/>
      </c>
      <c r="C251" s="6">
        <f>IFERROR(__xludf.DUMMYFUNCTION("""COMPUTED_VALUE"""),"About.graasp")</f>
        <v/>
      </c>
      <c r="D251" s="7">
        <f>IFERROR(__xludf.DUMMYFUNCTION("""COMPUTED_VALUE"""),"&lt;p&gt;FORM ONE,KENYAN CURRICULUM&lt;/p&gt;&lt;p&gt;topic:Particulate nature of matter&lt;br&gt;subtopic: Rate of diffusion&lt;br&gt;objective:To determine factors affecting rate of diffusion&lt;/p&gt;")</f>
        <v/>
      </c>
      <c r="E251" s="7">
        <f>IFERROR(__xludf.DUMMYFUNCTION("""COMPUTED_VALUE"""),"No artifact embedded")</f>
        <v/>
      </c>
      <c r="F251" s="7" t="n"/>
      <c r="G251" s="8" t="n">
        <v>1</v>
      </c>
      <c r="H251" s="8" t="n">
        <v>0</v>
      </c>
      <c r="I251" s="8" t="n">
        <v>0</v>
      </c>
      <c r="J251" s="8" t="n">
        <v>0</v>
      </c>
      <c r="K251" s="9" t="n">
        <v>1</v>
      </c>
      <c r="L251" s="9" t="n">
        <v>0</v>
      </c>
      <c r="M251" s="9" t="n">
        <v>0</v>
      </c>
      <c r="N251" s="9" t="n">
        <v>0</v>
      </c>
      <c r="O251" s="10" t="n">
        <v>1</v>
      </c>
      <c r="P251" s="10" t="n">
        <v>0</v>
      </c>
      <c r="Q251" s="10" t="n">
        <v>0</v>
      </c>
      <c r="R251" s="10" t="n">
        <v>0</v>
      </c>
      <c r="S251" s="10" t="n">
        <v>0</v>
      </c>
    </row>
    <row r="252" ht="193" customHeight="1">
      <c r="A252" s="6">
        <f>IFERROR(__xludf.DUMMYFUNCTION("""COMPUTED_VALUE"""),"RATE OF DIFFUSION")</f>
        <v/>
      </c>
      <c r="B252" s="6">
        <f>IFERROR(__xludf.DUMMYFUNCTION("""COMPUTED_VALUE"""),"Space")</f>
        <v/>
      </c>
      <c r="C252" s="6">
        <f>IFERROR(__xludf.DUMMYFUNCTION("""COMPUTED_VALUE"""),"Engage")</f>
        <v/>
      </c>
      <c r="D252" s="7">
        <f>IFERROR(__xludf.DUMMYFUNCTION("""COMPUTED_VALUE"""),"&lt;p&gt;My two year old nephew visited us over the weekend,she got curious of how possible it is to tell from a distance, my wife was preparing her favorite meal 'omena' .&lt;/p&gt;&lt;p&gt;Study the video below and respond to her concerns&lt;/p&gt;")</f>
        <v/>
      </c>
      <c r="E252" s="7">
        <f>IFERROR(__xludf.DUMMYFUNCTION("""COMPUTED_VALUE"""),"No artifact embedded")</f>
        <v/>
      </c>
      <c r="F252" s="7" t="n"/>
      <c r="G252" s="8" t="n">
        <v>0</v>
      </c>
      <c r="H252" s="8" t="n">
        <v>0</v>
      </c>
      <c r="I252" s="8" t="n">
        <v>1</v>
      </c>
      <c r="J252" s="8" t="n">
        <v>0</v>
      </c>
      <c r="K252" s="9" t="n">
        <v>0</v>
      </c>
      <c r="L252" s="9" t="n">
        <v>1</v>
      </c>
      <c r="M252" s="9" t="n">
        <v>0</v>
      </c>
      <c r="N252" s="9" t="n">
        <v>0</v>
      </c>
      <c r="O252" s="10" t="n">
        <v>1</v>
      </c>
      <c r="P252" s="10" t="n">
        <v>0</v>
      </c>
      <c r="Q252" s="10" t="n">
        <v>0</v>
      </c>
      <c r="R252" s="10" t="n">
        <v>0</v>
      </c>
      <c r="S252" s="10" t="n">
        <v>0</v>
      </c>
    </row>
    <row r="253" ht="121" customHeight="1">
      <c r="A253" s="6">
        <f>IFERROR(__xludf.DUMMYFUNCTION("""COMPUTED_VALUE"""),"RATE OF DIFFUSION")</f>
        <v/>
      </c>
      <c r="B253" s="6">
        <f>IFERROR(__xludf.DUMMYFUNCTION("""COMPUTED_VALUE"""),"Resource")</f>
        <v/>
      </c>
      <c r="C253" s="6">
        <f>IFERROR(__xludf.DUMMYFUNCTION("""COMPUTED_VALUE"""),"A good example of DIFFUSION.mp4")</f>
        <v/>
      </c>
      <c r="D253" s="7">
        <f>IFERROR(__xludf.DUMMYFUNCTION("""COMPUTED_VALUE"""),"No task description")</f>
        <v/>
      </c>
      <c r="E253" s="7">
        <f>IFERROR(__xludf.DUMMYFUNCTION("""COMPUTED_VALUE"""),"video/mp4 – A video file containing moving images and possibly audio, suitable for playback on most modern devices and platforms.")</f>
        <v/>
      </c>
      <c r="F253" s="7" t="n"/>
      <c r="G253" s="8" t="n">
        <v>1</v>
      </c>
      <c r="H253" s="8" t="n">
        <v>0</v>
      </c>
      <c r="I253" s="8" t="n">
        <v>0</v>
      </c>
      <c r="J253" s="8" t="n">
        <v>0</v>
      </c>
      <c r="K253" s="9" t="n">
        <v>1</v>
      </c>
      <c r="L253" s="9" t="n">
        <v>0</v>
      </c>
      <c r="M253" s="9" t="n">
        <v>0</v>
      </c>
      <c r="N253" s="9" t="n">
        <v>0</v>
      </c>
      <c r="O253" s="10" t="n">
        <v>0</v>
      </c>
      <c r="P253" s="10" t="n">
        <v>0</v>
      </c>
      <c r="Q253" s="10" t="n">
        <v>0</v>
      </c>
      <c r="R253" s="10" t="n">
        <v>0</v>
      </c>
      <c r="S253" s="10" t="n">
        <v>0</v>
      </c>
    </row>
    <row r="254" ht="61" customHeight="1">
      <c r="A254" s="6">
        <f>IFERROR(__xludf.DUMMYFUNCTION("""COMPUTED_VALUE"""),"RATE OF DIFFUSION")</f>
        <v/>
      </c>
      <c r="B254" s="6">
        <f>IFERROR(__xludf.DUMMYFUNCTION("""COMPUTED_VALUE"""),"Resource")</f>
        <v/>
      </c>
      <c r="C254" s="6">
        <f>IFERROR(__xludf.DUMMYFUNCTION("""COMPUTED_VALUE"""),"Q1.graasp")</f>
        <v/>
      </c>
      <c r="D254" s="7">
        <f>IFERROR(__xludf.DUMMYFUNCTION("""COMPUTED_VALUE"""),"&lt;p&gt;1. from the video what is your understanding of diffusion?&lt;/p&gt;")</f>
        <v/>
      </c>
      <c r="E254" s="7">
        <f>IFERROR(__xludf.DUMMYFUNCTION("""COMPUTED_VALUE"""),"No artifact embedded")</f>
        <v/>
      </c>
      <c r="F254" s="7" t="n"/>
      <c r="G254" s="8" t="n">
        <v>1</v>
      </c>
      <c r="H254" s="8" t="n">
        <v>0</v>
      </c>
      <c r="I254" s="8" t="n">
        <v>0</v>
      </c>
      <c r="J254" s="8" t="n">
        <v>0</v>
      </c>
      <c r="K254" s="9" t="n">
        <v>1</v>
      </c>
      <c r="L254" s="9" t="n">
        <v>0</v>
      </c>
      <c r="M254" s="9" t="n">
        <v>0</v>
      </c>
      <c r="N254" s="9" t="n">
        <v>0</v>
      </c>
      <c r="O254" s="10" t="n">
        <v>1</v>
      </c>
      <c r="P254" s="10" t="n">
        <v>0</v>
      </c>
      <c r="Q254" s="10" t="n">
        <v>0</v>
      </c>
      <c r="R254" s="10" t="n">
        <v>0</v>
      </c>
      <c r="S254" s="10" t="n">
        <v>0</v>
      </c>
    </row>
    <row r="255" ht="329" customHeight="1">
      <c r="A255" s="6">
        <f>IFERROR(__xludf.DUMMYFUNCTION("""COMPUTED_VALUE"""),"RATE OF DIFFUSION")</f>
        <v/>
      </c>
      <c r="B255" s="6">
        <f>IFERROR(__xludf.DUMMYFUNCTION("""COMPUTED_VALUE"""),"Application")</f>
        <v/>
      </c>
      <c r="C255" s="6">
        <f>IFERROR(__xludf.DUMMYFUNCTION("""COMPUTED_VALUE"""),"Input Box")</f>
        <v/>
      </c>
      <c r="D255" s="7">
        <f>IFERROR(__xludf.DUMMYFUNCTION("""COMPUTED_VALUE"""),"No task description")</f>
        <v/>
      </c>
      <c r="E25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5" s="7" t="n"/>
      <c r="G255" s="8" t="n">
        <v>0</v>
      </c>
      <c r="H255" s="8" t="n">
        <v>0</v>
      </c>
      <c r="I255" s="8" t="n">
        <v>1</v>
      </c>
      <c r="J255" s="8" t="n">
        <v>0</v>
      </c>
      <c r="K255" s="9" t="n">
        <v>0</v>
      </c>
      <c r="L255" s="9" t="n">
        <v>1</v>
      </c>
      <c r="M255" s="9" t="n">
        <v>0</v>
      </c>
      <c r="N255" s="9" t="n">
        <v>0</v>
      </c>
      <c r="O255" s="10" t="n">
        <v>0</v>
      </c>
      <c r="P255" s="10" t="n">
        <v>0</v>
      </c>
      <c r="Q255" s="10" t="n">
        <v>0</v>
      </c>
      <c r="R255" s="10" t="n">
        <v>0</v>
      </c>
      <c r="S255" s="10" t="n">
        <v>0</v>
      </c>
    </row>
    <row r="256" ht="49" customHeight="1">
      <c r="A256" s="6">
        <f>IFERROR(__xludf.DUMMYFUNCTION("""COMPUTED_VALUE"""),"RATE OF DIFFUSION")</f>
        <v/>
      </c>
      <c r="B256" s="6">
        <f>IFERROR(__xludf.DUMMYFUNCTION("""COMPUTED_VALUE"""),"Resource")</f>
        <v/>
      </c>
      <c r="C256" s="6">
        <f>IFERROR(__xludf.DUMMYFUNCTION("""COMPUTED_VALUE"""),"Q2.graasp")</f>
        <v/>
      </c>
      <c r="D256" s="7">
        <f>IFERROR(__xludf.DUMMYFUNCTION("""COMPUTED_VALUE"""),"&lt;p&gt;2. How does temperature affects rate of diffusion?&lt;/p&gt;")</f>
        <v/>
      </c>
      <c r="E256" s="7">
        <f>IFERROR(__xludf.DUMMYFUNCTION("""COMPUTED_VALUE"""),"No artifact embedded")</f>
        <v/>
      </c>
      <c r="F256" s="7" t="n"/>
      <c r="G256" s="8" t="n">
        <v>1</v>
      </c>
      <c r="H256" s="8" t="n">
        <v>0</v>
      </c>
      <c r="I256" s="8" t="n">
        <v>0</v>
      </c>
      <c r="J256" s="8" t="n">
        <v>0</v>
      </c>
      <c r="K256" s="9" t="n">
        <v>1</v>
      </c>
      <c r="L256" s="9" t="n">
        <v>0</v>
      </c>
      <c r="M256" s="9" t="n">
        <v>0</v>
      </c>
      <c r="N256" s="9" t="n">
        <v>0</v>
      </c>
      <c r="O256" s="10" t="n">
        <v>1</v>
      </c>
      <c r="P256" s="10" t="n">
        <v>0</v>
      </c>
      <c r="Q256" s="10" t="n">
        <v>0</v>
      </c>
      <c r="R256" s="10" t="n">
        <v>0</v>
      </c>
      <c r="S256" s="10" t="n">
        <v>0</v>
      </c>
    </row>
    <row r="257" ht="329" customHeight="1">
      <c r="A257" s="6">
        <f>IFERROR(__xludf.DUMMYFUNCTION("""COMPUTED_VALUE"""),"RATE OF DIFFUSION")</f>
        <v/>
      </c>
      <c r="B257" s="6">
        <f>IFERROR(__xludf.DUMMYFUNCTION("""COMPUTED_VALUE"""),"Application")</f>
        <v/>
      </c>
      <c r="C257" s="6">
        <f>IFERROR(__xludf.DUMMYFUNCTION("""COMPUTED_VALUE"""),"Input Box (1)")</f>
        <v/>
      </c>
      <c r="D257" s="7">
        <f>IFERROR(__xludf.DUMMYFUNCTION("""COMPUTED_VALUE"""),"No task description")</f>
        <v/>
      </c>
      <c r="E2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7" s="7" t="n"/>
      <c r="G257" s="8" t="n">
        <v>0</v>
      </c>
      <c r="H257" s="8" t="n">
        <v>0</v>
      </c>
      <c r="I257" s="8" t="n">
        <v>1</v>
      </c>
      <c r="J257" s="8" t="n">
        <v>0</v>
      </c>
      <c r="K257" s="9" t="n">
        <v>0</v>
      </c>
      <c r="L257" s="9" t="n">
        <v>1</v>
      </c>
      <c r="M257" s="9" t="n">
        <v>0</v>
      </c>
      <c r="N257" s="9" t="n">
        <v>0</v>
      </c>
      <c r="O257" s="10" t="n">
        <v>0</v>
      </c>
      <c r="P257" s="10" t="n">
        <v>0</v>
      </c>
      <c r="Q257" s="10" t="n">
        <v>0</v>
      </c>
      <c r="R257" s="10" t="n">
        <v>0</v>
      </c>
      <c r="S257" s="10" t="n">
        <v>0</v>
      </c>
    </row>
    <row r="258" ht="25" customHeight="1">
      <c r="A258" s="6">
        <f>IFERROR(__xludf.DUMMYFUNCTION("""COMPUTED_VALUE"""),"RATE OF DIFFUSION")</f>
        <v/>
      </c>
      <c r="B258" s="6">
        <f>IFERROR(__xludf.DUMMYFUNCTION("""COMPUTED_VALUE"""),"Space")</f>
        <v/>
      </c>
      <c r="C258" s="6">
        <f>IFERROR(__xludf.DUMMYFUNCTION("""COMPUTED_VALUE"""),"Explore")</f>
        <v/>
      </c>
      <c r="D258" s="7">
        <f>IFERROR(__xludf.DUMMYFUNCTION("""COMPUTED_VALUE"""),"No task description")</f>
        <v/>
      </c>
      <c r="E258" s="7">
        <f>IFERROR(__xludf.DUMMYFUNCTION("""COMPUTED_VALUE"""),"No artifact embedded")</f>
        <v/>
      </c>
      <c r="F258" s="7" t="n"/>
      <c r="G258" s="8" t="n">
        <v>0</v>
      </c>
      <c r="H258" s="8" t="n">
        <v>0</v>
      </c>
      <c r="I258" s="8" t="n">
        <v>0</v>
      </c>
      <c r="J258" s="8" t="n">
        <v>0</v>
      </c>
      <c r="K258" s="9" t="n">
        <v>0</v>
      </c>
      <c r="L258" s="9" t="n">
        <v>0</v>
      </c>
      <c r="M258" s="9" t="n">
        <v>0</v>
      </c>
      <c r="N258" s="9" t="n">
        <v>0</v>
      </c>
      <c r="O258" s="10" t="n">
        <v>0</v>
      </c>
      <c r="P258" s="10" t="n">
        <v>0</v>
      </c>
      <c r="Q258" s="10" t="n">
        <v>0</v>
      </c>
      <c r="R258" s="10" t="n">
        <v>0</v>
      </c>
      <c r="S258" s="10" t="n">
        <v>0</v>
      </c>
    </row>
    <row r="259" ht="409.5" customHeight="1">
      <c r="A259" s="6">
        <f>IFERROR(__xludf.DUMMYFUNCTION("""COMPUTED_VALUE"""),"RATE OF DIFFUSION")</f>
        <v/>
      </c>
      <c r="B259" s="6">
        <f>IFERROR(__xludf.DUMMYFUNCTION("""COMPUTED_VALUE"""),"Application")</f>
        <v/>
      </c>
      <c r="C259" s="6">
        <f>IFERROR(__xludf.DUMMYFUNCTION("""COMPUTED_VALUE"""),"Hypothesis Scratchpad")</f>
        <v/>
      </c>
      <c r="D259" s="7">
        <f>IFERROR(__xludf.DUMMYFUNCTION("""COMPUTED_VALUE"""),"&lt;p&gt;Before performing an activity in the lab you, first predict what you want to do,thereafter find out in the experiment if your prediction is true or false&lt;/p&gt;")</f>
        <v/>
      </c>
      <c r="E25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59" s="7" t="n"/>
      <c r="G259" s="8" t="n">
        <v>0</v>
      </c>
      <c r="H259" s="8" t="n">
        <v>0</v>
      </c>
      <c r="I259" s="8" t="n">
        <v>1</v>
      </c>
      <c r="J259" s="8" t="n">
        <v>0</v>
      </c>
      <c r="K259" s="9" t="n">
        <v>0</v>
      </c>
      <c r="L259" s="9" t="n">
        <v>1</v>
      </c>
      <c r="M259" s="9" t="n">
        <v>0</v>
      </c>
      <c r="N259" s="9" t="n">
        <v>0</v>
      </c>
      <c r="O259" s="10" t="n">
        <v>1</v>
      </c>
      <c r="P259" s="10" t="n">
        <v>1</v>
      </c>
      <c r="Q259" s="10" t="n">
        <v>1</v>
      </c>
      <c r="R259" s="10" t="n">
        <v>1</v>
      </c>
      <c r="S259" s="10" t="n">
        <v>0</v>
      </c>
    </row>
    <row r="260" ht="329" customHeight="1">
      <c r="A260" s="6">
        <f>IFERROR(__xludf.DUMMYFUNCTION("""COMPUTED_VALUE"""),"RATE OF DIFFUSION")</f>
        <v/>
      </c>
      <c r="B260" s="6">
        <f>IFERROR(__xludf.DUMMYFUNCTION("""COMPUTED_VALUE"""),"Resource")</f>
        <v/>
      </c>
      <c r="C260" s="6">
        <f>IFERROR(__xludf.DUMMYFUNCTION("""COMPUTED_VALUE"""),"procedure.graasp")</f>
        <v/>
      </c>
      <c r="D260" s="7">
        <f>IFERROR(__xludf.DUMMYFUNCTION("""COMPUTED_VALUE"""),"&lt;p&gt;1. press start button to begin the experiment&lt;/p&gt;&lt;p&gt;2. regulate temperature from low-medium-high by adjusting temperature button&lt;/p&gt;&lt;p&gt;3. regulate molecular mass from low-medium-high by adjusting molecular mass button&lt;/p&gt;&lt;p&gt;4. press 'remove barrier' bu"&amp;"tton to observe how the molecules randomly interact &lt;/p&gt;&lt;p&gt;5. press 'reset experiment' to start again&lt;/p&gt;")</f>
        <v/>
      </c>
      <c r="E260" s="7">
        <f>IFERROR(__xludf.DUMMYFUNCTION("""COMPUTED_VALUE"""),"No artifact embedded")</f>
        <v/>
      </c>
      <c r="F260" s="7" t="n"/>
      <c r="G260" s="8" t="n">
        <v>0</v>
      </c>
      <c r="H260" s="8" t="n">
        <v>1</v>
      </c>
      <c r="I260" s="8" t="n">
        <v>0</v>
      </c>
      <c r="J260" s="8" t="n">
        <v>0</v>
      </c>
      <c r="K260" s="9" t="n">
        <v>1</v>
      </c>
      <c r="L260" s="9" t="n">
        <v>0</v>
      </c>
      <c r="M260" s="9" t="n">
        <v>0</v>
      </c>
      <c r="N260" s="9" t="n">
        <v>0</v>
      </c>
      <c r="O260" s="10" t="n">
        <v>0</v>
      </c>
      <c r="P260" s="10" t="n">
        <v>0</v>
      </c>
      <c r="Q260" s="10" t="n">
        <v>1</v>
      </c>
      <c r="R260" s="10" t="n">
        <v>0</v>
      </c>
      <c r="S260" s="10" t="n">
        <v>0</v>
      </c>
    </row>
    <row r="261" ht="409.5" customHeight="1">
      <c r="A261" s="6">
        <f>IFERROR(__xludf.DUMMYFUNCTION("""COMPUTED_VALUE"""),"RATE OF DIFFUSION")</f>
        <v/>
      </c>
      <c r="B261" s="6">
        <f>IFERROR(__xludf.DUMMYFUNCTION("""COMPUTED_VALUE"""),"Application")</f>
        <v/>
      </c>
      <c r="C261" s="6">
        <f>IFERROR(__xludf.DUMMYFUNCTION("""COMPUTED_VALUE"""),"Diffusion and Molecular Mass App")</f>
        <v/>
      </c>
      <c r="D261" s="7">
        <f>IFERROR(__xludf.DUMMYFUNCTION("""COMPUTED_VALUE"""),"No task description")</f>
        <v/>
      </c>
      <c r="E261" s="7">
        <f>IFERROR(__xludf.DUMMYFUNCTION("""COMPUTED_VALUE"""),"Golabz app/lab: ""&lt;p&gt;Explore the role of a molecule&amp;#39;s mass with respect to its diffusion rate. Diffusion is the process of a substance spreading out from its origin. Molecules diffuse through random molecular motion. Diffusion is always happening, eve"&amp;"n when a system appears to have reached equilibrium, because molecules are always moving. Massive molecules have more kinetic energy than less massive molecules at the same temperature.&lt;br /&gt;The primary aim of the lab is:&lt;br /&gt;1) To learn about diffusion,"&amp;" molecular motion and Molecular kinetic energy&lt;/p&gt;""")</f>
        <v/>
      </c>
      <c r="F261" s="7" t="n"/>
      <c r="G261" s="8" t="n">
        <v>0</v>
      </c>
      <c r="H261" s="8" t="n">
        <v>1</v>
      </c>
      <c r="I261" s="8" t="n">
        <v>0</v>
      </c>
      <c r="J261" s="8" t="n">
        <v>0</v>
      </c>
      <c r="K261" s="9" t="n">
        <v>1</v>
      </c>
      <c r="L261" s="9" t="n">
        <v>0</v>
      </c>
      <c r="M261" s="9" t="n">
        <v>0</v>
      </c>
      <c r="N261" s="9" t="n">
        <v>0</v>
      </c>
      <c r="O261" s="10" t="n">
        <v>0</v>
      </c>
      <c r="P261" s="10" t="n">
        <v>0</v>
      </c>
      <c r="Q261" s="10" t="n">
        <v>1</v>
      </c>
      <c r="R261" s="10" t="n">
        <v>0</v>
      </c>
      <c r="S261" s="10" t="n">
        <v>0</v>
      </c>
    </row>
    <row r="262" ht="395" customHeight="1">
      <c r="A262" s="6">
        <f>IFERROR(__xludf.DUMMYFUNCTION("""COMPUTED_VALUE"""),"RATE OF DIFFUSION")</f>
        <v/>
      </c>
      <c r="B262" s="6">
        <f>IFERROR(__xludf.DUMMYFUNCTION("""COMPUTED_VALUE"""),"Application")</f>
        <v/>
      </c>
      <c r="C262" s="6">
        <f>IFERROR(__xludf.DUMMYFUNCTION("""COMPUTED_VALUE"""),"Observation Tool")</f>
        <v/>
      </c>
      <c r="D262" s="7">
        <f>IFERROR(__xludf.DUMMYFUNCTION("""COMPUTED_VALUE"""),"&lt;p&gt;Write a brief, accurate and precise observation from the experiment&lt;/p&gt;")</f>
        <v/>
      </c>
      <c r="E262"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262" s="7" t="n"/>
      <c r="G262" s="8" t="n">
        <v>0</v>
      </c>
      <c r="H262" s="8" t="n">
        <v>0</v>
      </c>
      <c r="I262" s="8" t="n">
        <v>1</v>
      </c>
      <c r="J262" s="8" t="n">
        <v>0</v>
      </c>
      <c r="K262" s="9" t="n">
        <v>0</v>
      </c>
      <c r="L262" s="9" t="n">
        <v>1</v>
      </c>
      <c r="M262" s="9" t="n">
        <v>0</v>
      </c>
      <c r="N262" s="9" t="n">
        <v>0</v>
      </c>
      <c r="O262" s="10" t="n">
        <v>0</v>
      </c>
      <c r="P262" s="10" t="n">
        <v>0</v>
      </c>
      <c r="Q262" s="10" t="n">
        <v>1</v>
      </c>
      <c r="R262" s="10" t="n">
        <v>0</v>
      </c>
      <c r="S262" s="10" t="n">
        <v>0</v>
      </c>
    </row>
    <row r="263" ht="409.5" customHeight="1">
      <c r="A263" s="6">
        <f>IFERROR(__xludf.DUMMYFUNCTION("""COMPUTED_VALUE"""),"RATE OF DIFFUSION")</f>
        <v/>
      </c>
      <c r="B263" s="6">
        <f>IFERROR(__xludf.DUMMYFUNCTION("""COMPUTED_VALUE"""),"Application")</f>
        <v/>
      </c>
      <c r="C263" s="6">
        <f>IFERROR(__xludf.DUMMYFUNCTION("""COMPUTED_VALUE"""),"Conclusion Tool")</f>
        <v/>
      </c>
      <c r="D263" s="7">
        <f>IFERROR(__xludf.DUMMYFUNCTION("""COMPUTED_VALUE"""),"No task description")</f>
        <v/>
      </c>
      <c r="E263"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263" s="7" t="n"/>
      <c r="G263" s="8" t="n">
        <v>0</v>
      </c>
      <c r="H263" s="8" t="n">
        <v>0</v>
      </c>
      <c r="I263" s="8" t="n">
        <v>1</v>
      </c>
      <c r="J263" s="8" t="n">
        <v>0</v>
      </c>
      <c r="K263" s="9" t="n">
        <v>0</v>
      </c>
      <c r="L263" s="9" t="n">
        <v>1</v>
      </c>
      <c r="M263" s="9" t="n">
        <v>0</v>
      </c>
      <c r="N263" s="9" t="n">
        <v>0</v>
      </c>
      <c r="O263" s="10" t="n">
        <v>0</v>
      </c>
      <c r="P263" s="10" t="n">
        <v>0</v>
      </c>
      <c r="Q263" s="10" t="n">
        <v>0</v>
      </c>
      <c r="R263" s="10" t="n">
        <v>1</v>
      </c>
      <c r="S263" s="10" t="n">
        <v>0</v>
      </c>
    </row>
    <row r="264" ht="61" customHeight="1">
      <c r="A264" s="6">
        <f>IFERROR(__xludf.DUMMYFUNCTION("""COMPUTED_VALUE"""),"RATE OF DIFFUSION")</f>
        <v/>
      </c>
      <c r="B264" s="6">
        <f>IFERROR(__xludf.DUMMYFUNCTION("""COMPUTED_VALUE"""),"Space")</f>
        <v/>
      </c>
      <c r="C264" s="6">
        <f>IFERROR(__xludf.DUMMYFUNCTION("""COMPUTED_VALUE"""),"Explain")</f>
        <v/>
      </c>
      <c r="D264" s="7">
        <f>IFERROR(__xludf.DUMMYFUNCTION("""COMPUTED_VALUE"""),"&lt;p&gt;Respond to the questions below for immediate feedback&lt;/p&gt;")</f>
        <v/>
      </c>
      <c r="E264" s="7">
        <f>IFERROR(__xludf.DUMMYFUNCTION("""COMPUTED_VALUE"""),"No artifact embedded")</f>
        <v/>
      </c>
      <c r="F264" s="7" t="n"/>
      <c r="G264" s="8" t="n">
        <v>0</v>
      </c>
      <c r="H264" s="8" t="n">
        <v>0</v>
      </c>
      <c r="I264" s="8" t="n">
        <v>0</v>
      </c>
      <c r="J264" s="8" t="n">
        <v>1</v>
      </c>
      <c r="K264" s="9" t="n">
        <v>0</v>
      </c>
      <c r="L264" s="9" t="n">
        <v>1</v>
      </c>
      <c r="M264" s="9" t="n">
        <v>0</v>
      </c>
      <c r="N264" s="9" t="n">
        <v>0</v>
      </c>
      <c r="O264" s="10" t="n">
        <v>0</v>
      </c>
      <c r="P264" s="10" t="n">
        <v>0</v>
      </c>
      <c r="Q264" s="10" t="n">
        <v>0</v>
      </c>
      <c r="R264" s="10" t="n">
        <v>0</v>
      </c>
      <c r="S264" s="10" t="n">
        <v>1</v>
      </c>
    </row>
    <row r="265" ht="296" customHeight="1">
      <c r="A265" s="6">
        <f>IFERROR(__xludf.DUMMYFUNCTION("""COMPUTED_VALUE"""),"RATE OF DIFFUSION")</f>
        <v/>
      </c>
      <c r="B265" s="6">
        <f>IFERROR(__xludf.DUMMYFUNCTION("""COMPUTED_VALUE"""),"Application")</f>
        <v/>
      </c>
      <c r="C265" s="6">
        <f>IFERROR(__xludf.DUMMYFUNCTION("""COMPUTED_VALUE"""),"Quiz Tool")</f>
        <v/>
      </c>
      <c r="D265" s="7">
        <f>IFERROR(__xludf.DUMMYFUNCTION("""COMPUTED_VALUE"""),"No task description")</f>
        <v/>
      </c>
      <c r="E26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65" s="7" t="n"/>
      <c r="G265" s="8" t="n">
        <v>0</v>
      </c>
      <c r="H265" s="8" t="n">
        <v>0</v>
      </c>
      <c r="I265" s="8" t="n">
        <v>0</v>
      </c>
      <c r="J265" s="8" t="n">
        <v>1</v>
      </c>
      <c r="K265" s="9" t="n">
        <v>0</v>
      </c>
      <c r="L265" s="9" t="n">
        <v>1</v>
      </c>
      <c r="M265" s="9" t="n">
        <v>0</v>
      </c>
      <c r="N265" s="9" t="n">
        <v>0</v>
      </c>
      <c r="O265" s="10" t="n">
        <v>0</v>
      </c>
      <c r="P265" s="10" t="n">
        <v>0</v>
      </c>
      <c r="Q265" s="10" t="n">
        <v>0</v>
      </c>
      <c r="R265" s="10" t="n">
        <v>0</v>
      </c>
      <c r="S265" s="10" t="n">
        <v>1</v>
      </c>
    </row>
    <row r="266" ht="49" customHeight="1">
      <c r="A266" s="6">
        <f>IFERROR(__xludf.DUMMYFUNCTION("""COMPUTED_VALUE"""),"RATE OF DIFFUSION")</f>
        <v/>
      </c>
      <c r="B266" s="6">
        <f>IFERROR(__xludf.DUMMYFUNCTION("""COMPUTED_VALUE"""),"Resource")</f>
        <v/>
      </c>
      <c r="C266" s="6">
        <f>IFERROR(__xludf.DUMMYFUNCTION("""COMPUTED_VALUE"""),"Q1.graasp")</f>
        <v/>
      </c>
      <c r="D266" s="7">
        <f>IFERROR(__xludf.DUMMYFUNCTION("""COMPUTED_VALUE"""),"&lt;p&gt;Give your feedback in the input box below&lt;/p&gt;")</f>
        <v/>
      </c>
      <c r="E266" s="7">
        <f>IFERROR(__xludf.DUMMYFUNCTION("""COMPUTED_VALUE"""),"No artifact embedded")</f>
        <v/>
      </c>
      <c r="F266" s="7" t="n"/>
      <c r="G266" s="8" t="n">
        <v>0</v>
      </c>
      <c r="H266" s="8" t="n">
        <v>0</v>
      </c>
      <c r="I266" s="8" t="n">
        <v>1</v>
      </c>
      <c r="J266" s="8" t="n">
        <v>0</v>
      </c>
      <c r="K266" s="9" t="n">
        <v>0</v>
      </c>
      <c r="L266" s="9" t="n">
        <v>1</v>
      </c>
      <c r="M266" s="9" t="n">
        <v>0</v>
      </c>
      <c r="N266" s="9" t="n">
        <v>0</v>
      </c>
      <c r="O266" s="10" t="n">
        <v>0</v>
      </c>
      <c r="P266" s="10" t="n">
        <v>0</v>
      </c>
      <c r="Q266" s="10" t="n">
        <v>0</v>
      </c>
      <c r="R266" s="10" t="n">
        <v>0</v>
      </c>
      <c r="S266" s="10" t="n">
        <v>1</v>
      </c>
    </row>
    <row r="267" ht="329" customHeight="1">
      <c r="A267" s="6">
        <f>IFERROR(__xludf.DUMMYFUNCTION("""COMPUTED_VALUE"""),"RATE OF DIFFUSION")</f>
        <v/>
      </c>
      <c r="B267" s="6">
        <f>IFERROR(__xludf.DUMMYFUNCTION("""COMPUTED_VALUE"""),"Application")</f>
        <v/>
      </c>
      <c r="C267" s="6">
        <f>IFERROR(__xludf.DUMMYFUNCTION("""COMPUTED_VALUE"""),"Input Box")</f>
        <v/>
      </c>
      <c r="D267" s="7">
        <f>IFERROR(__xludf.DUMMYFUNCTION("""COMPUTED_VALUE"""),"No task description")</f>
        <v/>
      </c>
      <c r="E2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67" s="7" t="n"/>
      <c r="G267" s="8" t="n">
        <v>0</v>
      </c>
      <c r="H267" s="8" t="n">
        <v>0</v>
      </c>
      <c r="I267" s="8" t="n">
        <v>1</v>
      </c>
      <c r="J267" s="8" t="n">
        <v>0</v>
      </c>
      <c r="K267" s="9" t="n">
        <v>0</v>
      </c>
      <c r="L267" s="9" t="n">
        <v>1</v>
      </c>
      <c r="M267" s="9" t="n">
        <v>0</v>
      </c>
      <c r="N267" s="9" t="n">
        <v>0</v>
      </c>
      <c r="O267" s="10" t="n">
        <v>0</v>
      </c>
      <c r="P267" s="10" t="n">
        <v>0</v>
      </c>
      <c r="Q267" s="10" t="n">
        <v>0</v>
      </c>
      <c r="R267" s="10" t="n">
        <v>0</v>
      </c>
      <c r="S267" s="10" t="n">
        <v>0</v>
      </c>
    </row>
    <row r="268" ht="25" customHeight="1">
      <c r="A268" s="6">
        <f>IFERROR(__xludf.DUMMYFUNCTION("""COMPUTED_VALUE"""),"RATE OF DIFFUSION")</f>
        <v/>
      </c>
      <c r="B268" s="6">
        <f>IFERROR(__xludf.DUMMYFUNCTION("""COMPUTED_VALUE"""),"Space")</f>
        <v/>
      </c>
      <c r="C268" s="6">
        <f>IFERROR(__xludf.DUMMYFUNCTION("""COMPUTED_VALUE"""),"Elaborate")</f>
        <v/>
      </c>
      <c r="D268" s="7">
        <f>IFERROR(__xludf.DUMMYFUNCTION("""COMPUTED_VALUE"""),"No task description")</f>
        <v/>
      </c>
      <c r="E268" s="7">
        <f>IFERROR(__xludf.DUMMYFUNCTION("""COMPUTED_VALUE"""),"No artifact embedded")</f>
        <v/>
      </c>
      <c r="F268" s="7" t="n"/>
      <c r="G268" s="8" t="n">
        <v>0</v>
      </c>
      <c r="H268" s="8" t="n">
        <v>0</v>
      </c>
      <c r="I268" s="8" t="n">
        <v>0</v>
      </c>
      <c r="J268" s="8" t="n">
        <v>0</v>
      </c>
      <c r="K268" s="9" t="n">
        <v>0</v>
      </c>
      <c r="L268" s="9" t="n">
        <v>0</v>
      </c>
      <c r="M268" s="9" t="n">
        <v>0</v>
      </c>
      <c r="N268" s="9" t="n">
        <v>0</v>
      </c>
      <c r="O268" s="10" t="n">
        <v>0</v>
      </c>
      <c r="P268" s="10" t="n">
        <v>0</v>
      </c>
      <c r="Q268" s="10" t="n">
        <v>0</v>
      </c>
      <c r="R268" s="10" t="n">
        <v>0</v>
      </c>
      <c r="S268" s="10" t="n">
        <v>0</v>
      </c>
    </row>
    <row r="269" ht="25" customHeight="1">
      <c r="A269" s="6">
        <f>IFERROR(__xludf.DUMMYFUNCTION("""COMPUTED_VALUE"""),"RATE OF DIFFUSION")</f>
        <v/>
      </c>
      <c r="B269" s="6">
        <f>IFERROR(__xludf.DUMMYFUNCTION("""COMPUTED_VALUE"""),"Space")</f>
        <v/>
      </c>
      <c r="C269" s="6">
        <f>IFERROR(__xludf.DUMMYFUNCTION("""COMPUTED_VALUE"""),"Evaluate")</f>
        <v/>
      </c>
      <c r="D269" s="7">
        <f>IFERROR(__xludf.DUMMYFUNCTION("""COMPUTED_VALUE"""),"No task description")</f>
        <v/>
      </c>
      <c r="E269" s="7">
        <f>IFERROR(__xludf.DUMMYFUNCTION("""COMPUTED_VALUE"""),"No artifact embedded")</f>
        <v/>
      </c>
      <c r="F269" s="7" t="n"/>
      <c r="G269" s="8" t="n">
        <v>0</v>
      </c>
      <c r="H269" s="8" t="n">
        <v>0</v>
      </c>
      <c r="I269" s="8" t="n">
        <v>0</v>
      </c>
      <c r="J269" s="8" t="n">
        <v>0</v>
      </c>
      <c r="K269" s="9" t="n">
        <v>0</v>
      </c>
      <c r="L269" s="9" t="n">
        <v>0</v>
      </c>
      <c r="M269" s="9" t="n">
        <v>0</v>
      </c>
      <c r="N269" s="9" t="n">
        <v>0</v>
      </c>
      <c r="O269" s="10" t="n">
        <v>0</v>
      </c>
      <c r="P269" s="10" t="n">
        <v>0</v>
      </c>
      <c r="Q269" s="10" t="n">
        <v>0</v>
      </c>
      <c r="R269" s="10" t="n">
        <v>0</v>
      </c>
      <c r="S269" s="10" t="n">
        <v>0</v>
      </c>
    </row>
    <row r="270" ht="25" customHeight="1">
      <c r="A270" s="6">
        <f>IFERROR(__xludf.DUMMYFUNCTION("""COMPUTED_VALUE"""),"How do light and temperature affect photosynthesis in plants? - Version A")</f>
        <v/>
      </c>
      <c r="B270" s="6">
        <f>IFERROR(__xludf.DUMMYFUNCTION("""COMPUTED_VALUE"""),"Space")</f>
        <v/>
      </c>
      <c r="C270" s="6">
        <f>IFERROR(__xludf.DUMMYFUNCTION("""COMPUTED_VALUE"""),"Demo")</f>
        <v/>
      </c>
      <c r="D270" s="7">
        <f>IFERROR(__xludf.DUMMYFUNCTION("""COMPUTED_VALUE"""),"No task description")</f>
        <v/>
      </c>
      <c r="E270" s="7">
        <f>IFERROR(__xludf.DUMMYFUNCTION("""COMPUTED_VALUE"""),"No artifact embedded")</f>
        <v/>
      </c>
      <c r="F270" s="7" t="n"/>
      <c r="G270" s="8" t="n">
        <v>0</v>
      </c>
      <c r="H270" s="8" t="n">
        <v>0</v>
      </c>
      <c r="I270" s="8" t="n">
        <v>0</v>
      </c>
      <c r="J270" s="8" t="n">
        <v>0</v>
      </c>
      <c r="K270" s="9" t="n">
        <v>0</v>
      </c>
      <c r="L270" s="9" t="n">
        <v>0</v>
      </c>
      <c r="M270" s="9" t="n">
        <v>0</v>
      </c>
      <c r="N270" s="9" t="n">
        <v>0</v>
      </c>
      <c r="O270" s="10" t="n">
        <v>0</v>
      </c>
      <c r="P270" s="10" t="n">
        <v>0</v>
      </c>
      <c r="Q270" s="10" t="n">
        <v>0</v>
      </c>
      <c r="R270" s="10" t="n">
        <v>0</v>
      </c>
      <c r="S270" s="10" t="n">
        <v>0</v>
      </c>
    </row>
    <row r="271" ht="97" customHeight="1">
      <c r="A271" s="6">
        <f>IFERROR(__xludf.DUMMYFUNCTION("""COMPUTED_VALUE"""),"How do light and temperature affect photosynthesis in plants? - Version A")</f>
        <v/>
      </c>
      <c r="B271" s="6">
        <f>IFERROR(__xludf.DUMMYFUNCTION("""COMPUTED_VALUE"""),"Resource")</f>
        <v/>
      </c>
      <c r="C271" s="6">
        <f>IFERROR(__xludf.DUMMYFUNCTION("""COMPUTED_VALUE"""),"pilt.png")</f>
        <v/>
      </c>
      <c r="D271" s="7">
        <f>IFERROR(__xludf.DUMMYFUNCTION("""COMPUTED_VALUE"""),"No task description")</f>
        <v/>
      </c>
      <c r="E271" s="7">
        <f>IFERROR(__xludf.DUMMYFUNCTION("""COMPUTED_VALUE"""),"image/png – A high-quality image with support for transparency, often used in design and web applications.")</f>
        <v/>
      </c>
      <c r="F271" s="7" t="n"/>
      <c r="G271" s="8" t="n">
        <v>0</v>
      </c>
      <c r="H271" s="8" t="n">
        <v>0</v>
      </c>
      <c r="I271" s="8" t="n">
        <v>0</v>
      </c>
      <c r="J271" s="8" t="n">
        <v>0</v>
      </c>
      <c r="K271" s="9" t="n">
        <v>0</v>
      </c>
      <c r="L271" s="9" t="n">
        <v>0</v>
      </c>
      <c r="M271" s="9" t="n">
        <v>0</v>
      </c>
      <c r="N271" s="9" t="n">
        <v>0</v>
      </c>
      <c r="O271" s="10" t="n">
        <v>0</v>
      </c>
      <c r="P271" s="10" t="n">
        <v>0</v>
      </c>
      <c r="Q271" s="10" t="n">
        <v>0</v>
      </c>
      <c r="R271" s="10" t="n">
        <v>0</v>
      </c>
      <c r="S271" s="10" t="n">
        <v>0</v>
      </c>
    </row>
    <row r="272" ht="169" customHeight="1">
      <c r="A272" s="6">
        <f>IFERROR(__xludf.DUMMYFUNCTION("""COMPUTED_VALUE"""),"How do light and temperature affect photosynthesis in plants? - Version A")</f>
        <v/>
      </c>
      <c r="B272" s="6">
        <f>IFERROR(__xludf.DUMMYFUNCTION("""COMPUTED_VALUE"""),"Resource")</f>
        <v/>
      </c>
      <c r="C272" s="6">
        <f>IFERROR(__xludf.DUMMYFUNCTION("""COMPUTED_VALUE"""),"Tekst5.graasp")</f>
        <v/>
      </c>
      <c r="D272" s="7">
        <f>IFERROR(__xludf.DUMMYFUNCTION("""COMPUTED_VALUE"""),"&lt;p&gt;Look at the picture and think how you could select and place objects on the seesaw so that the seesaw is balanced. Use the scratchpad tool below to formulate a prediction (hypothesis).&lt;br&gt;&lt;/p&gt;")</f>
        <v/>
      </c>
      <c r="E272" s="7">
        <f>IFERROR(__xludf.DUMMYFUNCTION("""COMPUTED_VALUE"""),"No artifact embedded")</f>
        <v/>
      </c>
      <c r="F272" s="7" t="n"/>
      <c r="G272" s="8" t="n">
        <v>0</v>
      </c>
      <c r="H272" s="8" t="n">
        <v>0</v>
      </c>
      <c r="I272" s="8" t="n">
        <v>1</v>
      </c>
      <c r="J272" s="8" t="n">
        <v>0</v>
      </c>
      <c r="K272" s="9" t="n">
        <v>0</v>
      </c>
      <c r="L272" s="9" t="n">
        <v>1</v>
      </c>
      <c r="M272" s="9" t="n">
        <v>0</v>
      </c>
      <c r="N272" s="9" t="n">
        <v>0</v>
      </c>
      <c r="O272" s="10" t="n">
        <v>0</v>
      </c>
      <c r="P272" s="10" t="n">
        <v>1</v>
      </c>
      <c r="Q272" s="10" t="n">
        <v>0</v>
      </c>
      <c r="R272" s="10" t="n">
        <v>0</v>
      </c>
      <c r="S272" s="10" t="n">
        <v>0</v>
      </c>
    </row>
    <row r="273" ht="409.5" customHeight="1">
      <c r="A273" s="6">
        <f>IFERROR(__xludf.DUMMYFUNCTION("""COMPUTED_VALUE"""),"How do light and temperature affect photosynthesis in plants? - Version A")</f>
        <v/>
      </c>
      <c r="B273" s="6">
        <f>IFERROR(__xludf.DUMMYFUNCTION("""COMPUTED_VALUE"""),"Application")</f>
        <v/>
      </c>
      <c r="C273" s="6">
        <f>IFERROR(__xludf.DUMMYFUNCTION("""COMPUTED_VALUE"""),"Hypothesis Scratchpad")</f>
        <v/>
      </c>
      <c r="D273" s="7">
        <f>IFERROR(__xludf.DUMMYFUNCTION("""COMPUTED_VALUE"""),"No task description")</f>
        <v/>
      </c>
      <c r="E273"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73" s="7" t="n"/>
      <c r="G273" s="8" t="n">
        <v>0</v>
      </c>
      <c r="H273" s="8" t="n">
        <v>0</v>
      </c>
      <c r="I273" s="8" t="n">
        <v>1</v>
      </c>
      <c r="J273" s="8" t="n">
        <v>0</v>
      </c>
      <c r="K273" s="9" t="n">
        <v>0</v>
      </c>
      <c r="L273" s="9" t="n">
        <v>1</v>
      </c>
      <c r="M273" s="9" t="n">
        <v>0</v>
      </c>
      <c r="N273" s="9" t="n">
        <v>0</v>
      </c>
      <c r="O273" s="10" t="n">
        <v>0</v>
      </c>
      <c r="P273" s="10" t="n">
        <v>1</v>
      </c>
      <c r="Q273" s="10" t="n">
        <v>0</v>
      </c>
      <c r="R273" s="10" t="n">
        <v>0</v>
      </c>
      <c r="S273" s="10" t="n">
        <v>0</v>
      </c>
    </row>
    <row r="274" ht="395" customHeight="1">
      <c r="A274" s="6">
        <f>IFERROR(__xludf.DUMMYFUNCTION("""COMPUTED_VALUE"""),"How do light and temperature affect photosynthesis in plants? - Version A")</f>
        <v/>
      </c>
      <c r="B274" s="6">
        <f>IFERROR(__xludf.DUMMYFUNCTION("""COMPUTED_VALUE"""),"Resource")</f>
        <v/>
      </c>
      <c r="C274" s="6">
        <f>IFERROR(__xludf.DUMMYFUNCTION("""COMPUTED_VALUE"""),"Text 1.graasp")</f>
        <v/>
      </c>
      <c r="D274"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274" s="7">
        <f>IFERROR(__xludf.DUMMYFUNCTION("""COMPUTED_VALUE"""),"No artifact embedded")</f>
        <v/>
      </c>
      <c r="F274" s="7" t="n"/>
      <c r="G274" s="8" t="n">
        <v>0</v>
      </c>
      <c r="H274" s="8" t="n">
        <v>0</v>
      </c>
      <c r="I274" s="8" t="n">
        <v>0</v>
      </c>
      <c r="J274" s="8" t="n">
        <v>1</v>
      </c>
      <c r="K274" s="9" t="n">
        <v>0</v>
      </c>
      <c r="L274" s="9" t="n">
        <v>0</v>
      </c>
      <c r="M274" s="9" t="n">
        <v>0</v>
      </c>
      <c r="N274" s="9" t="n">
        <v>1</v>
      </c>
      <c r="O274" s="10" t="n">
        <v>0</v>
      </c>
      <c r="P274" s="10" t="n">
        <v>0</v>
      </c>
      <c r="Q274" s="10" t="n">
        <v>1</v>
      </c>
      <c r="R274" s="10" t="n">
        <v>0</v>
      </c>
      <c r="S274" s="10" t="n">
        <v>1</v>
      </c>
    </row>
    <row r="275" ht="409.5" customHeight="1">
      <c r="A275" s="6">
        <f>IFERROR(__xludf.DUMMYFUNCTION("""COMPUTED_VALUE"""),"How do light and temperature affect photosynthesis in plants? - Version A")</f>
        <v/>
      </c>
      <c r="B275" s="6">
        <f>IFERROR(__xludf.DUMMYFUNCTION("""COMPUTED_VALUE"""),"Resource")</f>
        <v/>
      </c>
      <c r="C275" s="6">
        <f>IFERROR(__xludf.DUMMYFUNCTION("""COMPUTED_VALUE"""),"instructions for the simulation and chat app.graasp")</f>
        <v/>
      </c>
      <c r="D275"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275" s="7">
        <f>IFERROR(__xludf.DUMMYFUNCTION("""COMPUTED_VALUE"""),"No artifact embedded")</f>
        <v/>
      </c>
      <c r="F275" s="7" t="n"/>
      <c r="G275" s="8" t="n">
        <v>0</v>
      </c>
      <c r="H275" s="8" t="n">
        <v>0</v>
      </c>
      <c r="I275" s="8" t="n">
        <v>0</v>
      </c>
      <c r="J275" s="8" t="n">
        <v>1</v>
      </c>
      <c r="K275" s="9" t="n">
        <v>0</v>
      </c>
      <c r="L275" s="9" t="n">
        <v>0</v>
      </c>
      <c r="M275" s="9" t="n">
        <v>1</v>
      </c>
      <c r="N275" s="9" t="n">
        <v>0</v>
      </c>
      <c r="O275" s="10" t="n">
        <v>0</v>
      </c>
      <c r="P275" s="10" t="n">
        <v>0</v>
      </c>
      <c r="Q275" s="10" t="n">
        <v>1</v>
      </c>
      <c r="R275" s="10" t="n">
        <v>0</v>
      </c>
      <c r="S275" s="10" t="n">
        <v>1</v>
      </c>
    </row>
    <row r="276" ht="409.5" customHeight="1">
      <c r="A276" s="6">
        <f>IFERROR(__xludf.DUMMYFUNCTION("""COMPUTED_VALUE"""),"How do light and temperature affect photosynthesis in plants? - Version A")</f>
        <v/>
      </c>
      <c r="B276" s="6">
        <f>IFERROR(__xludf.DUMMYFUNCTION("""COMPUTED_VALUE"""),"Application")</f>
        <v/>
      </c>
      <c r="C276" s="6">
        <f>IFERROR(__xludf.DUMMYFUNCTION("""COMPUTED_VALUE"""),"Seesaw Lab - right side")</f>
        <v/>
      </c>
      <c r="D276" s="7">
        <f>IFERROR(__xludf.DUMMYFUNCTION("""COMPUTED_VALUE"""),"No task description")</f>
        <v/>
      </c>
      <c r="E276"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276" s="7" t="n"/>
      <c r="G276" s="8" t="n">
        <v>0</v>
      </c>
      <c r="H276" s="8" t="n">
        <v>0</v>
      </c>
      <c r="I276" s="8" t="n">
        <v>0</v>
      </c>
      <c r="J276" s="8" t="n">
        <v>1</v>
      </c>
      <c r="K276" s="9" t="n">
        <v>0</v>
      </c>
      <c r="L276" s="9" t="n">
        <v>0</v>
      </c>
      <c r="M276" s="9" t="n">
        <v>1</v>
      </c>
      <c r="N276" s="9" t="n">
        <v>0</v>
      </c>
      <c r="O276" s="10" t="n">
        <v>0</v>
      </c>
      <c r="P276" s="10" t="n">
        <v>0</v>
      </c>
      <c r="Q276" s="10" t="n">
        <v>1</v>
      </c>
      <c r="R276" s="10" t="n">
        <v>0</v>
      </c>
      <c r="S276" s="10" t="n">
        <v>1</v>
      </c>
    </row>
    <row r="277" ht="97" customHeight="1">
      <c r="A277" s="6">
        <f>IFERROR(__xludf.DUMMYFUNCTION("""COMPUTED_VALUE"""),"How do light and temperature affect photosynthesis in plants? - Version A")</f>
        <v/>
      </c>
      <c r="B277" s="6">
        <f>IFERROR(__xludf.DUMMYFUNCTION("""COMPUTED_VALUE"""),"Resource")</f>
        <v/>
      </c>
      <c r="C277" s="6">
        <f>IFERROR(__xludf.DUMMYFUNCTION("""COMPUTED_VALUE"""),"tips.png")</f>
        <v/>
      </c>
      <c r="D277" s="7">
        <f>IFERROR(__xludf.DUMMYFUNCTION("""COMPUTED_VALUE"""),"No task description")</f>
        <v/>
      </c>
      <c r="E277" s="7">
        <f>IFERROR(__xludf.DUMMYFUNCTION("""COMPUTED_VALUE"""),"image/png – A high-quality image with support for transparency, often used in design and web applications.")</f>
        <v/>
      </c>
      <c r="F277" s="7" t="n"/>
      <c r="G277" s="8" t="n">
        <v>0</v>
      </c>
      <c r="H277" s="8" t="n">
        <v>0</v>
      </c>
      <c r="I277" s="8" t="n">
        <v>0</v>
      </c>
      <c r="J277" s="8" t="n">
        <v>0</v>
      </c>
      <c r="K277" s="9" t="n">
        <v>0</v>
      </c>
      <c r="L277" s="9" t="n">
        <v>0</v>
      </c>
      <c r="M277" s="9" t="n">
        <v>0</v>
      </c>
      <c r="N277" s="9" t="n">
        <v>0</v>
      </c>
      <c r="O277" s="10" t="n">
        <v>0</v>
      </c>
      <c r="P277" s="10" t="n">
        <v>0</v>
      </c>
      <c r="Q277" s="10" t="n">
        <v>0</v>
      </c>
      <c r="R277" s="10" t="n">
        <v>0</v>
      </c>
      <c r="S277" s="10" t="n">
        <v>0</v>
      </c>
    </row>
    <row r="278" ht="409.5" customHeight="1">
      <c r="A278" s="6">
        <f>IFERROR(__xludf.DUMMYFUNCTION("""COMPUTED_VALUE"""),"How do light and temperature affect photosynthesis in plants? - Version A")</f>
        <v/>
      </c>
      <c r="B278" s="6">
        <f>IFERROR(__xludf.DUMMYFUNCTION("""COMPUTED_VALUE"""),"Application")</f>
        <v/>
      </c>
      <c r="C278" s="6">
        <f>IFERROR(__xludf.DUMMYFUNCTION("""COMPUTED_VALUE"""),"SpeakUp")</f>
        <v/>
      </c>
      <c r="D278" s="7">
        <f>IFERROR(__xludf.DUMMYFUNCTION("""COMPUTED_VALUE"""),"No task description")</f>
        <v/>
      </c>
      <c r="E278"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78" s="7" t="n"/>
      <c r="G278" s="8" t="n">
        <v>0</v>
      </c>
      <c r="H278" s="8" t="n">
        <v>0</v>
      </c>
      <c r="I278" s="8" t="n">
        <v>0</v>
      </c>
      <c r="J278" s="8" t="n">
        <v>1</v>
      </c>
      <c r="K278" s="9" t="n">
        <v>0</v>
      </c>
      <c r="L278" s="9" t="n">
        <v>0</v>
      </c>
      <c r="M278" s="9" t="n">
        <v>1</v>
      </c>
      <c r="N278" s="9" t="n">
        <v>0</v>
      </c>
      <c r="O278" s="10" t="n">
        <v>0</v>
      </c>
      <c r="P278" s="10" t="n">
        <v>0</v>
      </c>
      <c r="Q278" s="10" t="n">
        <v>0</v>
      </c>
      <c r="R278" s="10" t="n">
        <v>0</v>
      </c>
      <c r="S278" s="10" t="n">
        <v>1</v>
      </c>
    </row>
    <row r="279" ht="329" customHeight="1">
      <c r="A279" s="6">
        <f>IFERROR(__xludf.DUMMYFUNCTION("""COMPUTED_VALUE"""),"How do light and temperature affect photosynthesis in plants? - Version A")</f>
        <v/>
      </c>
      <c r="B279" s="6">
        <f>IFERROR(__xludf.DUMMYFUNCTION("""COMPUTED_VALUE"""),"Application")</f>
        <v/>
      </c>
      <c r="C279" s="6">
        <f>IFERROR(__xludf.DUMMYFUNCTION("""COMPUTED_VALUE"""),"Input Box 1")</f>
        <v/>
      </c>
      <c r="D279" s="7">
        <f>IFERROR(__xludf.DUMMYFUNCTION("""COMPUTED_VALUE"""),"&lt;p&gt;&lt;strong&gt;3. &lt;/strong&gt;&lt;strong&gt;Question&lt;/strong&gt;&lt;/p&gt;&lt;p&gt;Is it possible to balance the seesaw using a total of 3 objects on the seesaw? If so, then describe exactly how in the space below.&lt;/p&gt;")</f>
        <v/>
      </c>
      <c r="E27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79" s="7" t="n"/>
      <c r="G279" s="8" t="n">
        <v>0</v>
      </c>
      <c r="H279" s="8" t="n">
        <v>0</v>
      </c>
      <c r="I279" s="8" t="n">
        <v>1</v>
      </c>
      <c r="J279" s="8" t="n">
        <v>0</v>
      </c>
      <c r="K279" s="9" t="n">
        <v>0</v>
      </c>
      <c r="L279" s="9" t="n">
        <v>1</v>
      </c>
      <c r="M279" s="9" t="n">
        <v>0</v>
      </c>
      <c r="N279" s="9" t="n">
        <v>0</v>
      </c>
      <c r="O279" s="10" t="n">
        <v>0</v>
      </c>
      <c r="P279" s="10" t="n">
        <v>0</v>
      </c>
      <c r="Q279" s="10" t="n">
        <v>0</v>
      </c>
      <c r="R279" s="10" t="n">
        <v>1</v>
      </c>
      <c r="S279" s="10" t="n">
        <v>0</v>
      </c>
    </row>
    <row r="280" ht="229" customHeight="1">
      <c r="A280" s="6">
        <f>IFERROR(__xludf.DUMMYFUNCTION("""COMPUTED_VALUE"""),"How do light and temperature affect photosynthesis in plants? - Version A")</f>
        <v/>
      </c>
      <c r="B280" s="6">
        <f>IFERROR(__xludf.DUMMYFUNCTION("""COMPUTED_VALUE"""),"Resource")</f>
        <v/>
      </c>
      <c r="C280" s="6">
        <f>IFERROR(__xludf.DUMMYFUNCTION("""COMPUTED_VALUE"""),"Text 4.graasp")</f>
        <v/>
      </c>
      <c r="D280"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280" s="7">
        <f>IFERROR(__xludf.DUMMYFUNCTION("""COMPUTED_VALUE"""),"No artifact embedded")</f>
        <v/>
      </c>
      <c r="F280" s="7" t="n"/>
      <c r="G280" s="8" t="n">
        <v>0</v>
      </c>
      <c r="H280" s="8" t="n">
        <v>0</v>
      </c>
      <c r="I280" s="8" t="n">
        <v>0</v>
      </c>
      <c r="J280" s="8" t="n">
        <v>0</v>
      </c>
      <c r="K280" s="9" t="n">
        <v>0</v>
      </c>
      <c r="L280" s="9" t="n">
        <v>0</v>
      </c>
      <c r="M280" s="9" t="n">
        <v>0</v>
      </c>
      <c r="N280" s="9" t="n">
        <v>0</v>
      </c>
      <c r="O280" s="10" t="n">
        <v>0</v>
      </c>
      <c r="P280" s="10" t="n">
        <v>0</v>
      </c>
      <c r="Q280" s="10" t="n">
        <v>0</v>
      </c>
      <c r="R280" s="10" t="n">
        <v>0</v>
      </c>
      <c r="S280" s="10" t="n">
        <v>0</v>
      </c>
    </row>
    <row r="281" ht="25" customHeight="1">
      <c r="A281" s="6">
        <f>IFERROR(__xludf.DUMMYFUNCTION("""COMPUTED_VALUE"""),"How do light and temperature affect photosynthesis in plants? - Version A")</f>
        <v/>
      </c>
      <c r="B281" s="6">
        <f>IFERROR(__xludf.DUMMYFUNCTION("""COMPUTED_VALUE"""),"Space")</f>
        <v/>
      </c>
      <c r="C281" s="6">
        <f>IFERROR(__xludf.DUMMYFUNCTION("""COMPUTED_VALUE"""),"Intro")</f>
        <v/>
      </c>
      <c r="D281" s="7">
        <f>IFERROR(__xludf.DUMMYFUNCTION("""COMPUTED_VALUE"""),"No task description")</f>
        <v/>
      </c>
      <c r="E281" s="7">
        <f>IFERROR(__xludf.DUMMYFUNCTION("""COMPUTED_VALUE"""),"No artifact embedded")</f>
        <v/>
      </c>
      <c r="F281" s="7" t="n"/>
      <c r="G281" s="8" t="n">
        <v>0</v>
      </c>
      <c r="H281" s="8" t="n">
        <v>0</v>
      </c>
      <c r="I281" s="8" t="n">
        <v>0</v>
      </c>
      <c r="J281" s="8" t="n">
        <v>0</v>
      </c>
      <c r="K281" s="9" t="n">
        <v>0</v>
      </c>
      <c r="L281" s="9" t="n">
        <v>0</v>
      </c>
      <c r="M281" s="9" t="n">
        <v>0</v>
      </c>
      <c r="N281" s="9" t="n">
        <v>0</v>
      </c>
      <c r="O281" s="10" t="n">
        <v>0</v>
      </c>
      <c r="P281" s="10" t="n">
        <v>0</v>
      </c>
      <c r="Q281" s="10" t="n">
        <v>0</v>
      </c>
      <c r="R281" s="10" t="n">
        <v>0</v>
      </c>
      <c r="S281" s="10" t="n">
        <v>0</v>
      </c>
    </row>
    <row r="282" ht="318" customHeight="1">
      <c r="A282" s="6">
        <f>IFERROR(__xludf.DUMMYFUNCTION("""COMPUTED_VALUE"""),"How do light and temperature affect photosynthesis in plants? - Version A")</f>
        <v/>
      </c>
      <c r="B282" s="6">
        <f>IFERROR(__xludf.DUMMYFUNCTION("""COMPUTED_VALUE"""),"Resource")</f>
        <v/>
      </c>
      <c r="C282" s="6">
        <f>IFERROR(__xludf.DUMMYFUNCTION("""COMPUTED_VALUE"""),"Teooria.graasp")</f>
        <v/>
      </c>
      <c r="D282"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282" s="7">
        <f>IFERROR(__xludf.DUMMYFUNCTION("""COMPUTED_VALUE"""),"No artifact embedded")</f>
        <v/>
      </c>
      <c r="F282" s="7" t="n"/>
      <c r="G282" s="8" t="n">
        <v>1</v>
      </c>
      <c r="H282" s="8" t="n">
        <v>0</v>
      </c>
      <c r="I282" s="8" t="n">
        <v>0</v>
      </c>
      <c r="J282" s="8" t="n">
        <v>0</v>
      </c>
      <c r="K282" s="9" t="n">
        <v>1</v>
      </c>
      <c r="L282" s="9" t="n">
        <v>0</v>
      </c>
      <c r="M282" s="9" t="n">
        <v>0</v>
      </c>
      <c r="N282" s="9" t="n">
        <v>0</v>
      </c>
      <c r="O282" s="10" t="n">
        <v>1</v>
      </c>
      <c r="P282" s="10" t="n">
        <v>0</v>
      </c>
      <c r="Q282" s="10" t="n">
        <v>0</v>
      </c>
      <c r="R282" s="10" t="n">
        <v>0</v>
      </c>
      <c r="S282" s="10" t="n">
        <v>0</v>
      </c>
    </row>
    <row r="283" ht="121" customHeight="1">
      <c r="A283" s="6">
        <f>IFERROR(__xludf.DUMMYFUNCTION("""COMPUTED_VALUE"""),"How do light and temperature affect photosynthesis in plants? - Version A")</f>
        <v/>
      </c>
      <c r="B283" s="6">
        <f>IFERROR(__xludf.DUMMYFUNCTION("""COMPUTED_VALUE"""),"Resource")</f>
        <v/>
      </c>
      <c r="C283" s="6">
        <f>IFERROR(__xludf.DUMMYFUNCTION("""COMPUTED_VALUE"""),"photosynthesis.jpg")</f>
        <v/>
      </c>
      <c r="D283" s="7">
        <f>IFERROR(__xludf.DUMMYFUNCTION("""COMPUTED_VALUE"""),"CARBON DIOXIDE _—v .7 WATER &amp; MINERALS")</f>
        <v/>
      </c>
      <c r="E283" s="7">
        <f>IFERROR(__xludf.DUMMYFUNCTION("""COMPUTED_VALUE"""),"image/jpeg – A digital photograph or web image stored in a compressed format, often used for photography and web graphics.")</f>
        <v/>
      </c>
      <c r="F283" s="7" t="n"/>
      <c r="G283" s="8" t="n">
        <v>0</v>
      </c>
      <c r="H283" s="8" t="n">
        <v>0</v>
      </c>
      <c r="I283" s="8" t="n">
        <v>0</v>
      </c>
      <c r="J283" s="8" t="n">
        <v>0</v>
      </c>
      <c r="K283" s="9" t="n">
        <v>0</v>
      </c>
      <c r="L283" s="9" t="n">
        <v>0</v>
      </c>
      <c r="M283" s="9" t="n">
        <v>0</v>
      </c>
      <c r="N283" s="9" t="n">
        <v>0</v>
      </c>
      <c r="O283" s="10" t="n">
        <v>0</v>
      </c>
      <c r="P283" s="10" t="n">
        <v>0</v>
      </c>
      <c r="Q283" s="10" t="n">
        <v>0</v>
      </c>
      <c r="R283" s="10" t="n">
        <v>0</v>
      </c>
      <c r="S283" s="10" t="n">
        <v>0</v>
      </c>
    </row>
    <row r="284" ht="409.5" customHeight="1">
      <c r="A284" s="6">
        <f>IFERROR(__xludf.DUMMYFUNCTION("""COMPUTED_VALUE"""),"How do light and temperature affect photosynthesis in plants? - Version A")</f>
        <v/>
      </c>
      <c r="B284" s="6">
        <f>IFERROR(__xludf.DUMMYFUNCTION("""COMPUTED_VALUE"""),"Resource")</f>
        <v/>
      </c>
      <c r="C284" s="6">
        <f>IFERROR(__xludf.DUMMYFUNCTION("""COMPUTED_VALUE"""),"Veetaimedest.graasp")</f>
        <v/>
      </c>
      <c r="D284"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284" s="7">
        <f>IFERROR(__xludf.DUMMYFUNCTION("""COMPUTED_VALUE"""),"No artifact embedded")</f>
        <v/>
      </c>
      <c r="F284" s="7" t="n"/>
      <c r="G284" s="8" t="n">
        <v>0</v>
      </c>
      <c r="H284" s="8" t="n">
        <v>0</v>
      </c>
      <c r="I284" s="8" t="n">
        <v>1</v>
      </c>
      <c r="J284" s="8" t="n">
        <v>0</v>
      </c>
      <c r="K284" s="9" t="n">
        <v>0</v>
      </c>
      <c r="L284" s="9" t="n">
        <v>1</v>
      </c>
      <c r="M284" s="9" t="n">
        <v>0</v>
      </c>
      <c r="N284" s="9" t="n">
        <v>0</v>
      </c>
      <c r="O284" s="10" t="n">
        <v>1</v>
      </c>
      <c r="P284" s="10" t="n">
        <v>0</v>
      </c>
      <c r="Q284" s="10" t="n">
        <v>0</v>
      </c>
      <c r="R284" s="10" t="n">
        <v>0</v>
      </c>
      <c r="S284" s="10" t="n">
        <v>0</v>
      </c>
    </row>
    <row r="285" ht="296" customHeight="1">
      <c r="A285" s="6">
        <f>IFERROR(__xludf.DUMMYFUNCTION("""COMPUTED_VALUE"""),"How do light and temperature affect photosynthesis in plants? - Version A")</f>
        <v/>
      </c>
      <c r="B285" s="6">
        <f>IFERROR(__xludf.DUMMYFUNCTION("""COMPUTED_VALUE"""),"Application")</f>
        <v/>
      </c>
      <c r="C285" s="6">
        <f>IFERROR(__xludf.DUMMYFUNCTION("""COMPUTED_VALUE"""),"Quiz Tool")</f>
        <v/>
      </c>
      <c r="D285" s="7">
        <f>IFERROR(__xludf.DUMMYFUNCTION("""COMPUTED_VALUE"""),"No task description")</f>
        <v/>
      </c>
      <c r="E28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5" s="7" t="n"/>
      <c r="G285" s="8" t="n">
        <v>0</v>
      </c>
      <c r="H285" s="8" t="n">
        <v>0</v>
      </c>
      <c r="I285" s="8" t="n">
        <v>0</v>
      </c>
      <c r="J285" s="8" t="n">
        <v>1</v>
      </c>
      <c r="K285" s="9" t="n">
        <v>0</v>
      </c>
      <c r="L285" s="9" t="n">
        <v>1</v>
      </c>
      <c r="M285" s="9" t="n">
        <v>0</v>
      </c>
      <c r="N285" s="9" t="n">
        <v>0</v>
      </c>
      <c r="O285" s="10" t="n">
        <v>0</v>
      </c>
      <c r="P285" s="10" t="n">
        <v>0</v>
      </c>
      <c r="Q285" s="10" t="n">
        <v>0</v>
      </c>
      <c r="R285" s="10" t="n">
        <v>0</v>
      </c>
      <c r="S285" s="10" t="n">
        <v>1</v>
      </c>
    </row>
    <row r="286" ht="157" customHeight="1">
      <c r="A286" s="6">
        <f>IFERROR(__xludf.DUMMYFUNCTION("""COMPUTED_VALUE"""),"How do light and temperature affect photosynthesis in plants? - Version A")</f>
        <v/>
      </c>
      <c r="B286" s="6">
        <f>IFERROR(__xludf.DUMMYFUNCTION("""COMPUTED_VALUE"""),"Resource")</f>
        <v/>
      </c>
      <c r="C286" s="6">
        <f>IFERROR(__xludf.DUMMYFUNCTION("""COMPUTED_VALUE"""),"Edasi juhatus.graasp")</f>
        <v/>
      </c>
      <c r="D286" s="7">
        <f>IFERROR(__xludf.DUMMYFUNCTION("""COMPUTED_VALUE"""),"&lt;p&gt;Next you will explore how light and season of year affect photosynthesis in aquarium plants. Click on the tab &lt;strong&gt;Explore&lt;/strong&gt; at the top of your screen.&lt;/p&gt;&lt;p&gt;&lt;br&gt;&lt;/p&gt;&lt;p&gt;&lt;br&gt;&lt;/p&gt;")</f>
        <v/>
      </c>
      <c r="E286" s="7">
        <f>IFERROR(__xludf.DUMMYFUNCTION("""COMPUTED_VALUE"""),"No artifact embedded")</f>
        <v/>
      </c>
      <c r="F286" s="7" t="n"/>
      <c r="G286" s="8" t="n">
        <v>0</v>
      </c>
      <c r="H286" s="8" t="n">
        <v>1</v>
      </c>
      <c r="I286" s="8" t="n">
        <v>0</v>
      </c>
      <c r="J286" s="8" t="n">
        <v>0</v>
      </c>
      <c r="K286" s="9" t="n">
        <v>1</v>
      </c>
      <c r="L286" s="9" t="n">
        <v>0</v>
      </c>
      <c r="M286" s="9" t="n">
        <v>0</v>
      </c>
      <c r="N286" s="9" t="n">
        <v>0</v>
      </c>
      <c r="O286" s="10" t="n">
        <v>0</v>
      </c>
      <c r="P286" s="10" t="n">
        <v>0</v>
      </c>
      <c r="Q286" s="10" t="n">
        <v>1</v>
      </c>
      <c r="R286" s="10" t="n">
        <v>0</v>
      </c>
      <c r="S286" s="10" t="n">
        <v>0</v>
      </c>
    </row>
    <row r="287" ht="25" customHeight="1">
      <c r="A287" s="6">
        <f>IFERROR(__xludf.DUMMYFUNCTION("""COMPUTED_VALUE"""),"How do light and temperature affect photosynthesis in plants? - Version A")</f>
        <v/>
      </c>
      <c r="B287" s="6">
        <f>IFERROR(__xludf.DUMMYFUNCTION("""COMPUTED_VALUE"""),"Space")</f>
        <v/>
      </c>
      <c r="C287" s="6">
        <f>IFERROR(__xludf.DUMMYFUNCTION("""COMPUTED_VALUE"""),"Explore")</f>
        <v/>
      </c>
      <c r="D287" s="7">
        <f>IFERROR(__xludf.DUMMYFUNCTION("""COMPUTED_VALUE"""),"No task description")</f>
        <v/>
      </c>
      <c r="E287" s="7">
        <f>IFERROR(__xludf.DUMMYFUNCTION("""COMPUTED_VALUE"""),"No artifact embedded")</f>
        <v/>
      </c>
      <c r="F287" s="7" t="n"/>
      <c r="G287" s="8" t="n">
        <v>0</v>
      </c>
      <c r="H287" s="8" t="n">
        <v>0</v>
      </c>
      <c r="I287" s="8" t="n">
        <v>0</v>
      </c>
      <c r="J287" s="8" t="n">
        <v>0</v>
      </c>
      <c r="K287" s="9" t="n">
        <v>0</v>
      </c>
      <c r="L287" s="9" t="n">
        <v>0</v>
      </c>
      <c r="M287" s="9" t="n">
        <v>0</v>
      </c>
      <c r="N287" s="9" t="n">
        <v>0</v>
      </c>
      <c r="O287" s="10" t="n">
        <v>0</v>
      </c>
      <c r="P287" s="10" t="n">
        <v>0</v>
      </c>
      <c r="Q287" s="10" t="n">
        <v>0</v>
      </c>
      <c r="R287" s="10" t="n">
        <v>0</v>
      </c>
      <c r="S287" s="10" t="n">
        <v>0</v>
      </c>
    </row>
    <row r="288" ht="97" customHeight="1">
      <c r="A288" s="6">
        <f>IFERROR(__xludf.DUMMYFUNCTION("""COMPUTED_VALUE"""),"How do light and temperature affect photosynthesis in plants? - Version A")</f>
        <v/>
      </c>
      <c r="B288" s="6">
        <f>IFERROR(__xludf.DUMMYFUNCTION("""COMPUTED_VALUE"""),"Resource")</f>
        <v/>
      </c>
      <c r="C288" s="6">
        <f>IFERROR(__xludf.DUMMYFUNCTION("""COMPUTED_VALUE"""),"elodea.gif")</f>
        <v/>
      </c>
      <c r="D288" s="7">
        <f>IFERROR(__xludf.DUMMYFUNCTION("""COMPUTED_VALUE"""),"No task description")</f>
        <v/>
      </c>
      <c r="E288" s="7">
        <f>IFERROR(__xludf.DUMMYFUNCTION("""COMPUTED_VALUE"""),"image/gif – An animated or static graphic using the GIF format, often seen in memes and web animations.")</f>
        <v/>
      </c>
      <c r="F288" s="7" t="n"/>
      <c r="G288" s="8" t="n">
        <v>0</v>
      </c>
      <c r="H288" s="8" t="n">
        <v>0</v>
      </c>
      <c r="I288" s="8" t="n">
        <v>0</v>
      </c>
      <c r="J288" s="8" t="n">
        <v>0</v>
      </c>
      <c r="K288" s="9" t="n">
        <v>0</v>
      </c>
      <c r="L288" s="9" t="n">
        <v>0</v>
      </c>
      <c r="M288" s="9" t="n">
        <v>0</v>
      </c>
      <c r="N288" s="9" t="n">
        <v>0</v>
      </c>
      <c r="O288" s="10" t="n">
        <v>0</v>
      </c>
      <c r="P288" s="10" t="n">
        <v>0</v>
      </c>
      <c r="Q288" s="10" t="n">
        <v>0</v>
      </c>
      <c r="R288" s="10" t="n">
        <v>0</v>
      </c>
      <c r="S288" s="10" t="n">
        <v>0</v>
      </c>
    </row>
    <row r="289" ht="49" customHeight="1">
      <c r="A289" s="6">
        <f>IFERROR(__xludf.DUMMYFUNCTION("""COMPUTED_VALUE"""),"How do light and temperature affect photosynthesis in plants? - Version A")</f>
        <v/>
      </c>
      <c r="B289" s="6">
        <f>IFERROR(__xludf.DUMMYFUNCTION("""COMPUTED_VALUE"""),"Resource")</f>
        <v/>
      </c>
      <c r="C289" s="6">
        <f>IFERROR(__xludf.DUMMYFUNCTION("""COMPUTED_VALUE"""),"tekst4.graasp")</f>
        <v/>
      </c>
      <c r="D289" s="7">
        <f>IFERROR(__xludf.DUMMYFUNCTION("""COMPUTED_VALUE"""),"&lt;p&gt;Look at the video clip and answer these questions.&lt;/p&gt;")</f>
        <v/>
      </c>
      <c r="E289" s="7">
        <f>IFERROR(__xludf.DUMMYFUNCTION("""COMPUTED_VALUE"""),"No artifact embedded")</f>
        <v/>
      </c>
      <c r="F289" s="7" t="n"/>
      <c r="G289" s="8" t="n">
        <v>0</v>
      </c>
      <c r="H289" s="8" t="n">
        <v>0</v>
      </c>
      <c r="I289" s="8" t="n">
        <v>1</v>
      </c>
      <c r="J289" s="8" t="n">
        <v>0</v>
      </c>
      <c r="K289" s="9" t="n">
        <v>0</v>
      </c>
      <c r="L289" s="9" t="n">
        <v>1</v>
      </c>
      <c r="M289" s="9" t="n">
        <v>0</v>
      </c>
      <c r="N289" s="9" t="n">
        <v>0</v>
      </c>
      <c r="O289" s="10" t="n">
        <v>1</v>
      </c>
      <c r="P289" s="10" t="n">
        <v>0</v>
      </c>
      <c r="Q289" s="10" t="n">
        <v>0</v>
      </c>
      <c r="R289" s="10" t="n">
        <v>0</v>
      </c>
      <c r="S289" s="10" t="n">
        <v>0</v>
      </c>
    </row>
    <row r="290" ht="296" customHeight="1">
      <c r="A290" s="6">
        <f>IFERROR(__xludf.DUMMYFUNCTION("""COMPUTED_VALUE"""),"How do light and temperature affect photosynthesis in plants? - Version A")</f>
        <v/>
      </c>
      <c r="B290" s="6">
        <f>IFERROR(__xludf.DUMMYFUNCTION("""COMPUTED_VALUE"""),"Application")</f>
        <v/>
      </c>
      <c r="C290" s="6">
        <f>IFERROR(__xludf.DUMMYFUNCTION("""COMPUTED_VALUE"""),"Quiz Tool")</f>
        <v/>
      </c>
      <c r="D290" s="7">
        <f>IFERROR(__xludf.DUMMYFUNCTION("""COMPUTED_VALUE"""),"No task description")</f>
        <v/>
      </c>
      <c r="E29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90" s="7" t="n"/>
      <c r="G290" s="8" t="n">
        <v>0</v>
      </c>
      <c r="H290" s="8" t="n">
        <v>0</v>
      </c>
      <c r="I290" s="8" t="n">
        <v>0</v>
      </c>
      <c r="J290" s="8" t="n">
        <v>1</v>
      </c>
      <c r="K290" s="9" t="n">
        <v>0</v>
      </c>
      <c r="L290" s="9" t="n">
        <v>1</v>
      </c>
      <c r="M290" s="9" t="n">
        <v>0</v>
      </c>
      <c r="N290" s="9" t="n">
        <v>0</v>
      </c>
      <c r="O290" s="10" t="n">
        <v>0</v>
      </c>
      <c r="P290" s="10" t="n">
        <v>0</v>
      </c>
      <c r="Q290" s="10" t="n">
        <v>0</v>
      </c>
      <c r="R290" s="10" t="n">
        <v>0</v>
      </c>
      <c r="S290" s="10" t="n">
        <v>1</v>
      </c>
    </row>
    <row r="291" ht="409.5" customHeight="1">
      <c r="A291" s="6">
        <f>IFERROR(__xludf.DUMMYFUNCTION("""COMPUTED_VALUE"""),"How do light and temperature affect photosynthesis in plants? - Version A")</f>
        <v/>
      </c>
      <c r="B291" s="6">
        <f>IFERROR(__xludf.DUMMYFUNCTION("""COMPUTED_VALUE"""),"Resource")</f>
        <v/>
      </c>
      <c r="C291" s="6">
        <f>IFERROR(__xludf.DUMMYFUNCTION("""COMPUTED_VALUE"""),"Text 1.graasp")</f>
        <v/>
      </c>
      <c r="D291"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291" s="7">
        <f>IFERROR(__xludf.DUMMYFUNCTION("""COMPUTED_VALUE"""),"No artifact embedded")</f>
        <v/>
      </c>
      <c r="F291" s="7" t="n"/>
      <c r="G291" s="8" t="n">
        <v>0</v>
      </c>
      <c r="H291" s="8" t="n">
        <v>0</v>
      </c>
      <c r="I291" s="8" t="n">
        <v>0</v>
      </c>
      <c r="J291" s="8" t="n">
        <v>1</v>
      </c>
      <c r="K291" s="9" t="n">
        <v>0</v>
      </c>
      <c r="L291" s="9" t="n">
        <v>0</v>
      </c>
      <c r="M291" s="9" t="n">
        <v>0</v>
      </c>
      <c r="N291" s="9" t="n">
        <v>1</v>
      </c>
      <c r="O291" s="10" t="n">
        <v>0</v>
      </c>
      <c r="P291" s="10" t="n">
        <v>0</v>
      </c>
      <c r="Q291" s="10" t="n">
        <v>1</v>
      </c>
      <c r="R291" s="10" t="n">
        <v>0</v>
      </c>
      <c r="S291" s="10" t="n">
        <v>1</v>
      </c>
    </row>
    <row r="292" ht="373" customHeight="1">
      <c r="A292" s="6">
        <f>IFERROR(__xludf.DUMMYFUNCTION("""COMPUTED_VALUE"""),"How do light and temperature affect photosynthesis in plants? - Version A")</f>
        <v/>
      </c>
      <c r="B292" s="6">
        <f>IFERROR(__xludf.DUMMYFUNCTION("""COMPUTED_VALUE"""),"Resource")</f>
        <v/>
      </c>
      <c r="C292" s="6">
        <f>IFERROR(__xludf.DUMMYFUNCTION("""COMPUTED_VALUE"""),"instructions for the simulation and chat app.graasp")</f>
        <v/>
      </c>
      <c r="D292"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292" s="7">
        <f>IFERROR(__xludf.DUMMYFUNCTION("""COMPUTED_VALUE"""),"No artifact embedded")</f>
        <v/>
      </c>
      <c r="F292" s="7" t="n"/>
      <c r="G292" s="8" t="n">
        <v>0</v>
      </c>
      <c r="H292" s="8" t="n">
        <v>1</v>
      </c>
      <c r="I292" s="8" t="n">
        <v>0</v>
      </c>
      <c r="J292" s="8" t="n">
        <v>0</v>
      </c>
      <c r="K292" s="9" t="n">
        <v>1</v>
      </c>
      <c r="L292" s="9" t="n">
        <v>0</v>
      </c>
      <c r="M292" s="9" t="n">
        <v>0</v>
      </c>
      <c r="N292" s="9" t="n">
        <v>0</v>
      </c>
      <c r="O292" s="10" t="n">
        <v>1</v>
      </c>
      <c r="P292" s="10" t="n">
        <v>0</v>
      </c>
      <c r="Q292" s="10" t="n">
        <v>0</v>
      </c>
      <c r="R292" s="10" t="n">
        <v>0</v>
      </c>
      <c r="S292" s="10" t="n">
        <v>0</v>
      </c>
    </row>
    <row r="293" ht="409.5" customHeight="1">
      <c r="A293" s="6">
        <f>IFERROR(__xludf.DUMMYFUNCTION("""COMPUTED_VALUE"""),"How do light and temperature affect photosynthesis in plants? - Version A")</f>
        <v/>
      </c>
      <c r="B293" s="6">
        <f>IFERROR(__xludf.DUMMYFUNCTION("""COMPUTED_VALUE"""),"Application")</f>
        <v/>
      </c>
      <c r="C293" s="6">
        <f>IFERROR(__xludf.DUMMYFUNCTION("""COMPUTED_VALUE"""),"Rate of Photosynthesis Lab - only season control")</f>
        <v/>
      </c>
      <c r="D293" s="7">
        <f>IFERROR(__xludf.DUMMYFUNCTION("""COMPUTED_VALUE"""),"No task description")</f>
        <v/>
      </c>
      <c r="E293"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293" s="7" t="n"/>
      <c r="G293" s="8" t="n">
        <v>0</v>
      </c>
      <c r="H293" s="8" t="n">
        <v>0</v>
      </c>
      <c r="I293" s="8" t="n">
        <v>0</v>
      </c>
      <c r="J293" s="8" t="n">
        <v>1</v>
      </c>
      <c r="K293" s="9" t="n">
        <v>0</v>
      </c>
      <c r="L293" s="9" t="n">
        <v>0</v>
      </c>
      <c r="M293" s="9" t="n">
        <v>1</v>
      </c>
      <c r="N293" s="9" t="n">
        <v>0</v>
      </c>
      <c r="O293" s="10" t="n">
        <v>0</v>
      </c>
      <c r="P293" s="10" t="n">
        <v>0</v>
      </c>
      <c r="Q293" s="10" t="n">
        <v>1</v>
      </c>
      <c r="R293" s="10" t="n">
        <v>0</v>
      </c>
      <c r="S293" s="10" t="n">
        <v>1</v>
      </c>
    </row>
    <row r="294" ht="97" customHeight="1">
      <c r="A294" s="6">
        <f>IFERROR(__xludf.DUMMYFUNCTION("""COMPUTED_VALUE"""),"How do light and temperature affect photosynthesis in plants? - Version A")</f>
        <v/>
      </c>
      <c r="B294" s="6">
        <f>IFERROR(__xludf.DUMMYFUNCTION("""COMPUTED_VALUE"""),"Resource")</f>
        <v/>
      </c>
      <c r="C294" s="6">
        <f>IFERROR(__xludf.DUMMYFUNCTION("""COMPUTED_VALUE"""),"tips.png")</f>
        <v/>
      </c>
      <c r="D294" s="7">
        <f>IFERROR(__xludf.DUMMYFUNCTION("""COMPUTED_VALUE"""),"No task description")</f>
        <v/>
      </c>
      <c r="E294" s="7">
        <f>IFERROR(__xludf.DUMMYFUNCTION("""COMPUTED_VALUE"""),"image/png – A high-quality image with support for transparency, often used in design and web applications.")</f>
        <v/>
      </c>
      <c r="F294" s="7" t="n"/>
      <c r="G294" s="8" t="n">
        <v>0</v>
      </c>
      <c r="H294" s="8" t="n">
        <v>0</v>
      </c>
      <c r="I294" s="8" t="n">
        <v>0</v>
      </c>
      <c r="J294" s="8" t="n">
        <v>0</v>
      </c>
      <c r="K294" s="9" t="n">
        <v>0</v>
      </c>
      <c r="L294" s="9" t="n">
        <v>0</v>
      </c>
      <c r="M294" s="9" t="n">
        <v>0</v>
      </c>
      <c r="N294" s="9" t="n">
        <v>0</v>
      </c>
      <c r="O294" s="10" t="n">
        <v>0</v>
      </c>
      <c r="P294" s="10" t="n">
        <v>0</v>
      </c>
      <c r="Q294" s="10" t="n">
        <v>0</v>
      </c>
      <c r="R294" s="10" t="n">
        <v>0</v>
      </c>
      <c r="S294" s="10" t="n">
        <v>0</v>
      </c>
    </row>
    <row r="295" ht="409.5" customHeight="1">
      <c r="A295" s="6">
        <f>IFERROR(__xludf.DUMMYFUNCTION("""COMPUTED_VALUE"""),"How do light and temperature affect photosynthesis in plants? - Version A")</f>
        <v/>
      </c>
      <c r="B295" s="6">
        <f>IFERROR(__xludf.DUMMYFUNCTION("""COMPUTED_VALUE"""),"Application")</f>
        <v/>
      </c>
      <c r="C295" s="6">
        <f>IFERROR(__xludf.DUMMYFUNCTION("""COMPUTED_VALUE"""),"SpeakUp")</f>
        <v/>
      </c>
      <c r="D295" s="7">
        <f>IFERROR(__xludf.DUMMYFUNCTION("""COMPUTED_VALUE"""),"No task description")</f>
        <v/>
      </c>
      <c r="E295"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95" s="7" t="n"/>
      <c r="G295" s="8" t="n">
        <v>0</v>
      </c>
      <c r="H295" s="8" t="n">
        <v>0</v>
      </c>
      <c r="I295" s="8" t="n">
        <v>0</v>
      </c>
      <c r="J295" s="8" t="n">
        <v>1</v>
      </c>
      <c r="K295" s="9" t="n">
        <v>0</v>
      </c>
      <c r="L295" s="9" t="n">
        <v>0</v>
      </c>
      <c r="M295" s="9" t="n">
        <v>1</v>
      </c>
      <c r="N295" s="9" t="n">
        <v>0</v>
      </c>
      <c r="O295" s="10" t="n">
        <v>0</v>
      </c>
      <c r="P295" s="10" t="n">
        <v>0</v>
      </c>
      <c r="Q295" s="10" t="n">
        <v>0</v>
      </c>
      <c r="R295" s="10" t="n">
        <v>0</v>
      </c>
      <c r="S295" s="10" t="n">
        <v>1</v>
      </c>
    </row>
    <row r="296" ht="37" customHeight="1">
      <c r="A296" s="6">
        <f>IFERROR(__xludf.DUMMYFUNCTION("""COMPUTED_VALUE"""),"How do light and temperature affect photosynthesis in plants? - Version A")</f>
        <v/>
      </c>
      <c r="B296" s="6">
        <f>IFERROR(__xludf.DUMMYFUNCTION("""COMPUTED_VALUE"""),"Resource")</f>
        <v/>
      </c>
      <c r="C296" s="6">
        <f>IFERROR(__xludf.DUMMYFUNCTION("""COMPUTED_VALUE"""),"tekst2.graasp")</f>
        <v/>
      </c>
      <c r="D296" s="7">
        <f>IFERROR(__xludf.DUMMYFUNCTION("""COMPUTED_VALUE"""),"&lt;p&gt;&lt;strong&gt;QUESTIONS&lt;/strong&gt;&lt;/p&gt;")</f>
        <v/>
      </c>
      <c r="E296" s="7">
        <f>IFERROR(__xludf.DUMMYFUNCTION("""COMPUTED_VALUE"""),"No artifact embedded")</f>
        <v/>
      </c>
      <c r="F296" s="7" t="n"/>
      <c r="G296" s="8" t="n">
        <v>0</v>
      </c>
      <c r="H296" s="8" t="n">
        <v>0</v>
      </c>
      <c r="I296" s="8" t="n">
        <v>0</v>
      </c>
      <c r="J296" s="8" t="n">
        <v>0</v>
      </c>
      <c r="K296" s="9" t="n">
        <v>0</v>
      </c>
      <c r="L296" s="9" t="n">
        <v>0</v>
      </c>
      <c r="M296" s="9" t="n">
        <v>0</v>
      </c>
      <c r="N296" s="9" t="n">
        <v>0</v>
      </c>
      <c r="O296" s="10" t="n">
        <v>0</v>
      </c>
      <c r="P296" s="10" t="n">
        <v>0</v>
      </c>
      <c r="Q296" s="10" t="n">
        <v>0</v>
      </c>
      <c r="R296" s="10" t="n">
        <v>0</v>
      </c>
      <c r="S296" s="10" t="n">
        <v>0</v>
      </c>
    </row>
    <row r="297" ht="329" customHeight="1">
      <c r="A297" s="6">
        <f>IFERROR(__xludf.DUMMYFUNCTION("""COMPUTED_VALUE"""),"How do light and temperature affect photosynthesis in plants? - Version A")</f>
        <v/>
      </c>
      <c r="B297" s="6">
        <f>IFERROR(__xludf.DUMMYFUNCTION("""COMPUTED_VALUE"""),"Application")</f>
        <v/>
      </c>
      <c r="C297" s="6">
        <f>IFERROR(__xludf.DUMMYFUNCTION("""COMPUTED_VALUE"""),"Input Box")</f>
        <v/>
      </c>
      <c r="D297" s="7">
        <f>IFERROR(__xludf.DUMMYFUNCTION("""COMPUTED_VALUE"""),"&lt;p&gt;1. How does photosynthesis in aquarium plants depend on light intensity?&lt;/p&gt;")</f>
        <v/>
      </c>
      <c r="E29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7" s="7" t="n"/>
      <c r="G297" s="8" t="n">
        <v>0</v>
      </c>
      <c r="H297" s="8" t="n">
        <v>0</v>
      </c>
      <c r="I297" s="8" t="n">
        <v>1</v>
      </c>
      <c r="J297" s="8" t="n">
        <v>0</v>
      </c>
      <c r="K297" s="9" t="n">
        <v>0</v>
      </c>
      <c r="L297" s="9" t="n">
        <v>1</v>
      </c>
      <c r="M297" s="9" t="n">
        <v>0</v>
      </c>
      <c r="N297" s="9" t="n">
        <v>0</v>
      </c>
      <c r="O297" s="10" t="n">
        <v>0</v>
      </c>
      <c r="P297" s="10" t="n">
        <v>0</v>
      </c>
      <c r="Q297" s="10" t="n">
        <v>0</v>
      </c>
      <c r="R297" s="10" t="n">
        <v>1</v>
      </c>
      <c r="S297" s="10" t="n">
        <v>0</v>
      </c>
    </row>
    <row r="298" ht="329" customHeight="1">
      <c r="A298" s="6">
        <f>IFERROR(__xludf.DUMMYFUNCTION("""COMPUTED_VALUE"""),"How do light and temperature affect photosynthesis in plants? - Version A")</f>
        <v/>
      </c>
      <c r="B298" s="6">
        <f>IFERROR(__xludf.DUMMYFUNCTION("""COMPUTED_VALUE"""),"Application")</f>
        <v/>
      </c>
      <c r="C298" s="6">
        <f>IFERROR(__xludf.DUMMYFUNCTION("""COMPUTED_VALUE"""),"Input Box (1)")</f>
        <v/>
      </c>
      <c r="D298" s="7">
        <f>IFERROR(__xludf.DUMMYFUNCTION("""COMPUTED_VALUE"""),"&lt;p&gt;2. How does photosynthesis in aquarium plants depend on the season of the year?&lt;/p&gt;")</f>
        <v/>
      </c>
      <c r="E29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8" s="7" t="n"/>
      <c r="G298" s="8" t="n">
        <v>0</v>
      </c>
      <c r="H298" s="8" t="n">
        <v>0</v>
      </c>
      <c r="I298" s="8" t="n">
        <v>1</v>
      </c>
      <c r="J298" s="8" t="n">
        <v>0</v>
      </c>
      <c r="K298" s="9" t="n">
        <v>0</v>
      </c>
      <c r="L298" s="9" t="n">
        <v>1</v>
      </c>
      <c r="M298" s="9" t="n">
        <v>0</v>
      </c>
      <c r="N298" s="9" t="n">
        <v>0</v>
      </c>
      <c r="O298" s="10" t="n">
        <v>0</v>
      </c>
      <c r="P298" s="10" t="n">
        <v>0</v>
      </c>
      <c r="Q298" s="10" t="n">
        <v>0</v>
      </c>
      <c r="R298" s="10" t="n">
        <v>1</v>
      </c>
      <c r="S298" s="10" t="n">
        <v>0</v>
      </c>
    </row>
    <row r="299" ht="263" customHeight="1">
      <c r="A299" s="6">
        <f>IFERROR(__xludf.DUMMYFUNCTION("""COMPUTED_VALUE"""),"How do light and temperature affect photosynthesis in plants? - Version A")</f>
        <v/>
      </c>
      <c r="B299" s="6">
        <f>IFERROR(__xludf.DUMMYFUNCTION("""COMPUTED_VALUE"""),"Resource")</f>
        <v/>
      </c>
      <c r="C299" s="6">
        <f>IFERROR(__xludf.DUMMYFUNCTION("""COMPUTED_VALUE"""),"tekst3.graasp")</f>
        <v/>
      </c>
      <c r="D299"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299" s="7">
        <f>IFERROR(__xludf.DUMMYFUNCTION("""COMPUTED_VALUE"""),"No artifact embedded")</f>
        <v/>
      </c>
      <c r="F299" s="7" t="n"/>
      <c r="G299" s="8" t="n">
        <v>0</v>
      </c>
      <c r="H299" s="8" t="n">
        <v>0</v>
      </c>
      <c r="I299" s="8" t="n">
        <v>0</v>
      </c>
      <c r="J299" s="8" t="n">
        <v>0</v>
      </c>
      <c r="K299" s="9" t="n">
        <v>0</v>
      </c>
      <c r="L299" s="9" t="n">
        <v>0</v>
      </c>
      <c r="M299" s="9" t="n">
        <v>0</v>
      </c>
      <c r="N299" s="9" t="n">
        <v>0</v>
      </c>
      <c r="O299" s="10" t="n">
        <v>0</v>
      </c>
      <c r="P299" s="10" t="n">
        <v>0</v>
      </c>
      <c r="Q299" s="10" t="n">
        <v>0</v>
      </c>
      <c r="R299" s="10" t="n">
        <v>0</v>
      </c>
      <c r="S299" s="10" t="n">
        <v>0</v>
      </c>
    </row>
    <row r="300" ht="25" customHeight="1">
      <c r="A300" s="6">
        <f>IFERROR(__xludf.DUMMYFUNCTION("""COMPUTED_VALUE"""),"How do light and temperature affect photosynthesis in plants? - Version A")</f>
        <v/>
      </c>
      <c r="B300" s="6">
        <f>IFERROR(__xludf.DUMMYFUNCTION("""COMPUTED_VALUE"""),"Space")</f>
        <v/>
      </c>
      <c r="C300" s="6">
        <f>IFERROR(__xludf.DUMMYFUNCTION("""COMPUTED_VALUE"""),"Reflection")</f>
        <v/>
      </c>
      <c r="D300" s="7">
        <f>IFERROR(__xludf.DUMMYFUNCTION("""COMPUTED_VALUE"""),"No task description")</f>
        <v/>
      </c>
      <c r="E300" s="7">
        <f>IFERROR(__xludf.DUMMYFUNCTION("""COMPUTED_VALUE"""),"No artifact embedded")</f>
        <v/>
      </c>
      <c r="F300" s="7" t="n"/>
      <c r="G300" s="8" t="n">
        <v>0</v>
      </c>
      <c r="H300" s="8" t="n">
        <v>0</v>
      </c>
      <c r="I300" s="8" t="n">
        <v>0</v>
      </c>
      <c r="J300" s="8" t="n">
        <v>0</v>
      </c>
      <c r="K300" s="9" t="n">
        <v>0</v>
      </c>
      <c r="L300" s="9" t="n">
        <v>0</v>
      </c>
      <c r="M300" s="9" t="n">
        <v>0</v>
      </c>
      <c r="N300" s="9" t="n">
        <v>0</v>
      </c>
      <c r="O300" s="10" t="n">
        <v>0</v>
      </c>
      <c r="P300" s="10" t="n">
        <v>0</v>
      </c>
      <c r="Q300" s="10" t="n">
        <v>0</v>
      </c>
      <c r="R300" s="10" t="n">
        <v>0</v>
      </c>
      <c r="S300" s="10" t="n">
        <v>0</v>
      </c>
    </row>
    <row r="301" ht="73" customHeight="1">
      <c r="A301" s="6">
        <f>IFERROR(__xludf.DUMMYFUNCTION("""COMPUTED_VALUE"""),"How do light and temperature affect photosynthesis in plants? - Version A")</f>
        <v/>
      </c>
      <c r="B301" s="6">
        <f>IFERROR(__xludf.DUMMYFUNCTION("""COMPUTED_VALUE"""),"Resource")</f>
        <v/>
      </c>
      <c r="C301" s="6">
        <f>IFERROR(__xludf.DUMMYFUNCTION("""COMPUTED_VALUE"""),"text1.graasp")</f>
        <v/>
      </c>
      <c r="D301" s="7">
        <f>IFERROR(__xludf.DUMMYFUNCTION("""COMPUTED_VALUE"""),"&lt;p&gt;Think about your collaborative experience and anwer these questions:&lt;/p&gt;")</f>
        <v/>
      </c>
      <c r="E301" s="7">
        <f>IFERROR(__xludf.DUMMYFUNCTION("""COMPUTED_VALUE"""),"No artifact embedded")</f>
        <v/>
      </c>
      <c r="F301" s="7" t="n"/>
      <c r="G301" s="8" t="n">
        <v>0</v>
      </c>
      <c r="H301" s="8" t="n">
        <v>0</v>
      </c>
      <c r="I301" s="8" t="n">
        <v>1</v>
      </c>
      <c r="J301" s="8" t="n">
        <v>0</v>
      </c>
      <c r="K301" s="9" t="n">
        <v>0</v>
      </c>
      <c r="L301" s="9" t="n">
        <v>1</v>
      </c>
      <c r="M301" s="9" t="n">
        <v>0</v>
      </c>
      <c r="N301" s="9" t="n">
        <v>0</v>
      </c>
      <c r="O301" s="10" t="n">
        <v>0</v>
      </c>
      <c r="P301" s="10" t="n">
        <v>0</v>
      </c>
      <c r="Q301" s="10" t="n">
        <v>0</v>
      </c>
      <c r="R301" s="10" t="n">
        <v>0</v>
      </c>
      <c r="S301" s="10" t="n">
        <v>1</v>
      </c>
    </row>
    <row r="302" ht="329" customHeight="1">
      <c r="A302" s="6">
        <f>IFERROR(__xludf.DUMMYFUNCTION("""COMPUTED_VALUE"""),"How do light and temperature affect photosynthesis in plants? - Version A")</f>
        <v/>
      </c>
      <c r="B302" s="6">
        <f>IFERROR(__xludf.DUMMYFUNCTION("""COMPUTED_VALUE"""),"Application")</f>
        <v/>
      </c>
      <c r="C302" s="6">
        <f>IFERROR(__xludf.DUMMYFUNCTION("""COMPUTED_VALUE"""),"Input Box")</f>
        <v/>
      </c>
      <c r="D302" s="7">
        <f>IFERROR(__xludf.DUMMYFUNCTION("""COMPUTED_VALUE"""),"&lt;p&gt;1. What was most difficult when working collaboratively? Why?&lt;/p&gt;")</f>
        <v/>
      </c>
      <c r="E3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2" s="7" t="n"/>
      <c r="G302" s="8" t="n">
        <v>0</v>
      </c>
      <c r="H302" s="8" t="n">
        <v>0</v>
      </c>
      <c r="I302" s="8" t="n">
        <v>1</v>
      </c>
      <c r="J302" s="8" t="n">
        <v>0</v>
      </c>
      <c r="K302" s="9" t="n">
        <v>0</v>
      </c>
      <c r="L302" s="9" t="n">
        <v>1</v>
      </c>
      <c r="M302" s="9" t="n">
        <v>0</v>
      </c>
      <c r="N302" s="9" t="n">
        <v>0</v>
      </c>
      <c r="O302" s="10" t="n">
        <v>0</v>
      </c>
      <c r="P302" s="10" t="n">
        <v>0</v>
      </c>
      <c r="Q302" s="10" t="n">
        <v>0</v>
      </c>
      <c r="R302" s="10" t="n">
        <v>0</v>
      </c>
      <c r="S302" s="10" t="n">
        <v>1</v>
      </c>
    </row>
    <row r="303" ht="329" customHeight="1">
      <c r="A303" s="6">
        <f>IFERROR(__xludf.DUMMYFUNCTION("""COMPUTED_VALUE"""),"How do light and temperature affect photosynthesis in plants? - Version A")</f>
        <v/>
      </c>
      <c r="B303" s="6">
        <f>IFERROR(__xludf.DUMMYFUNCTION("""COMPUTED_VALUE"""),"Application")</f>
        <v/>
      </c>
      <c r="C303" s="6">
        <f>IFERROR(__xludf.DUMMYFUNCTION("""COMPUTED_VALUE"""),"Input Box (1)")</f>
        <v/>
      </c>
      <c r="D303" s="7">
        <f>IFERROR(__xludf.DUMMYFUNCTION("""COMPUTED_VALUE"""),"&lt;p&gt;2. What would you do differently next time you have to solve a similar collaborative task?&lt;/p&gt;")</f>
        <v/>
      </c>
      <c r="E3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3" s="7" t="n"/>
      <c r="G303" s="8" t="n">
        <v>0</v>
      </c>
      <c r="H303" s="8" t="n">
        <v>0</v>
      </c>
      <c r="I303" s="8" t="n">
        <v>1</v>
      </c>
      <c r="J303" s="8" t="n">
        <v>0</v>
      </c>
      <c r="K303" s="9" t="n">
        <v>0</v>
      </c>
      <c r="L303" s="9" t="n">
        <v>1</v>
      </c>
      <c r="M303" s="9" t="n">
        <v>0</v>
      </c>
      <c r="N303" s="9" t="n">
        <v>0</v>
      </c>
      <c r="O303" s="10" t="n">
        <v>0</v>
      </c>
      <c r="P303" s="10" t="n">
        <v>0</v>
      </c>
      <c r="Q303" s="10" t="n">
        <v>0</v>
      </c>
      <c r="R303" s="10" t="n">
        <v>0</v>
      </c>
      <c r="S303" s="10" t="n">
        <v>1</v>
      </c>
    </row>
    <row r="304" ht="85" customHeight="1">
      <c r="A304" s="6">
        <f>IFERROR(__xludf.DUMMYFUNCTION("""COMPUTED_VALUE"""),"How do light and temperature affect photosynthesis in plants? - Version A")</f>
        <v/>
      </c>
      <c r="B304" s="6">
        <f>IFERROR(__xludf.DUMMYFUNCTION("""COMPUTED_VALUE"""),"Resource")</f>
        <v/>
      </c>
      <c r="C304" s="6">
        <f>IFERROR(__xludf.DUMMYFUNCTION("""COMPUTED_VALUE"""),"text2.graasp")</f>
        <v/>
      </c>
      <c r="D304" s="7">
        <f>IFERROR(__xludf.DUMMYFUNCTION("""COMPUTED_VALUE"""),"&lt;p&gt;After both of the questions you can continue to the next phase called &lt;strong&gt;Predict&lt;/strong&gt;.&lt;/p&gt;")</f>
        <v/>
      </c>
      <c r="E304" s="7">
        <f>IFERROR(__xludf.DUMMYFUNCTION("""COMPUTED_VALUE"""),"No artifact embedded")</f>
        <v/>
      </c>
      <c r="F304" s="7" t="n"/>
      <c r="G304" s="8" t="n">
        <v>0</v>
      </c>
      <c r="H304" s="8" t="n">
        <v>0</v>
      </c>
      <c r="I304" s="8" t="n">
        <v>0</v>
      </c>
      <c r="J304" s="8" t="n">
        <v>0</v>
      </c>
      <c r="K304" s="9" t="n">
        <v>0</v>
      </c>
      <c r="L304" s="9" t="n">
        <v>0</v>
      </c>
      <c r="M304" s="9" t="n">
        <v>0</v>
      </c>
      <c r="N304" s="9" t="n">
        <v>0</v>
      </c>
      <c r="O304" s="10" t="n">
        <v>0</v>
      </c>
      <c r="P304" s="10" t="n">
        <v>0</v>
      </c>
      <c r="Q304" s="10" t="n">
        <v>0</v>
      </c>
      <c r="R304" s="10" t="n">
        <v>0</v>
      </c>
      <c r="S304" s="10" t="n">
        <v>0</v>
      </c>
    </row>
    <row r="305" ht="25" customHeight="1">
      <c r="A305" s="6">
        <f>IFERROR(__xludf.DUMMYFUNCTION("""COMPUTED_VALUE"""),"How do light and temperature affect photosynthesis in plants? - Version A")</f>
        <v/>
      </c>
      <c r="B305" s="6">
        <f>IFERROR(__xludf.DUMMYFUNCTION("""COMPUTED_VALUE"""),"Space")</f>
        <v/>
      </c>
      <c r="C305" s="6">
        <f>IFERROR(__xludf.DUMMYFUNCTION("""COMPUTED_VALUE"""),"Predict")</f>
        <v/>
      </c>
      <c r="D305" s="7">
        <f>IFERROR(__xludf.DUMMYFUNCTION("""COMPUTED_VALUE"""),"No task description")</f>
        <v/>
      </c>
      <c r="E305" s="7">
        <f>IFERROR(__xludf.DUMMYFUNCTION("""COMPUTED_VALUE"""),"No artifact embedded")</f>
        <v/>
      </c>
      <c r="F305" s="7" t="n"/>
      <c r="G305" s="8" t="n">
        <v>0</v>
      </c>
      <c r="H305" s="8" t="n">
        <v>0</v>
      </c>
      <c r="I305" s="8" t="n">
        <v>0</v>
      </c>
      <c r="J305" s="8" t="n">
        <v>0</v>
      </c>
      <c r="K305" s="9" t="n">
        <v>0</v>
      </c>
      <c r="L305" s="9" t="n">
        <v>0</v>
      </c>
      <c r="M305" s="9" t="n">
        <v>0</v>
      </c>
      <c r="N305" s="9" t="n">
        <v>0</v>
      </c>
      <c r="O305" s="10" t="n">
        <v>0</v>
      </c>
      <c r="P305" s="10" t="n">
        <v>0</v>
      </c>
      <c r="Q305" s="10" t="n">
        <v>0</v>
      </c>
      <c r="R305" s="10" t="n">
        <v>0</v>
      </c>
      <c r="S305" s="10" t="n">
        <v>0</v>
      </c>
    </row>
    <row r="306" ht="133" customHeight="1">
      <c r="A306" s="6">
        <f>IFERROR(__xludf.DUMMYFUNCTION("""COMPUTED_VALUE"""),"How do light and temperature affect photosynthesis in plants? - Version A")</f>
        <v/>
      </c>
      <c r="B306" s="6">
        <f>IFERROR(__xludf.DUMMYFUNCTION("""COMPUTED_VALUE"""),"Resource")</f>
        <v/>
      </c>
      <c r="C306" s="6">
        <f>IFERROR(__xludf.DUMMYFUNCTION("""COMPUTED_VALUE"""),"tekst3.graasp")</f>
        <v/>
      </c>
      <c r="D306" s="7">
        <f>IFERROR(__xludf.DUMMYFUNCTION("""COMPUTED_VALUE"""),"&lt;p&gt;&lt;strong&gt;Good job!&lt;/strong&gt; You have completed the first half of this lesson. After answering the two questions below, you will begin with a new experiment.&lt;/p&gt;")</f>
        <v/>
      </c>
      <c r="E306" s="7">
        <f>IFERROR(__xludf.DUMMYFUNCTION("""COMPUTED_VALUE"""),"No artifact embedded")</f>
        <v/>
      </c>
      <c r="F306" s="7" t="n"/>
      <c r="G306" s="8" t="n">
        <v>0</v>
      </c>
      <c r="H306" s="8" t="n">
        <v>0</v>
      </c>
      <c r="I306" s="8" t="n">
        <v>1</v>
      </c>
      <c r="J306" s="8" t="n">
        <v>0</v>
      </c>
      <c r="K306" s="9" t="n">
        <v>0</v>
      </c>
      <c r="L306" s="9" t="n">
        <v>1</v>
      </c>
      <c r="M306" s="9" t="n">
        <v>0</v>
      </c>
      <c r="N306" s="9" t="n">
        <v>0</v>
      </c>
      <c r="O306" s="10" t="n">
        <v>0</v>
      </c>
      <c r="P306" s="10" t="n">
        <v>0</v>
      </c>
      <c r="Q306" s="10" t="n">
        <v>1</v>
      </c>
      <c r="R306" s="10" t="n">
        <v>0</v>
      </c>
      <c r="S306" s="10" t="n">
        <v>0</v>
      </c>
    </row>
    <row r="307" ht="296" customHeight="1">
      <c r="A307" s="6">
        <f>IFERROR(__xludf.DUMMYFUNCTION("""COMPUTED_VALUE"""),"How do light and temperature affect photosynthesis in plants? - Version A")</f>
        <v/>
      </c>
      <c r="B307" s="6">
        <f>IFERROR(__xludf.DUMMYFUNCTION("""COMPUTED_VALUE"""),"Application")</f>
        <v/>
      </c>
      <c r="C307" s="6">
        <f>IFERROR(__xludf.DUMMYFUNCTION("""COMPUTED_VALUE"""),"Quiz Tool")</f>
        <v/>
      </c>
      <c r="D307" s="7">
        <f>IFERROR(__xludf.DUMMYFUNCTION("""COMPUTED_VALUE"""),"No task description")</f>
        <v/>
      </c>
      <c r="E3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307" s="7" t="n"/>
      <c r="G307" s="8" t="n">
        <v>0</v>
      </c>
      <c r="H307" s="8" t="n">
        <v>0</v>
      </c>
      <c r="I307" s="8" t="n">
        <v>0</v>
      </c>
      <c r="J307" s="8" t="n">
        <v>1</v>
      </c>
      <c r="K307" s="9" t="n">
        <v>0</v>
      </c>
      <c r="L307" s="9" t="n">
        <v>1</v>
      </c>
      <c r="M307" s="9" t="n">
        <v>0</v>
      </c>
      <c r="N307" s="9" t="n">
        <v>0</v>
      </c>
      <c r="O307" s="10" t="n">
        <v>0</v>
      </c>
      <c r="P307" s="10" t="n">
        <v>0</v>
      </c>
      <c r="Q307" s="10" t="n">
        <v>0</v>
      </c>
      <c r="R307" s="10" t="n">
        <v>0</v>
      </c>
      <c r="S307" s="10" t="n">
        <v>1</v>
      </c>
    </row>
    <row r="308" ht="409.5" customHeight="1">
      <c r="A308" s="6">
        <f>IFERROR(__xludf.DUMMYFUNCTION("""COMPUTED_VALUE"""),"How do light and temperature affect photosynthesis in plants? - Version A")</f>
        <v/>
      </c>
      <c r="B308" s="6">
        <f>IFERROR(__xludf.DUMMYFUNCTION("""COMPUTED_VALUE"""),"Resource")</f>
        <v/>
      </c>
      <c r="C308" s="6">
        <f>IFERROR(__xludf.DUMMYFUNCTION("""COMPUTED_VALUE"""),"tekst1.graasp")</f>
        <v/>
      </c>
      <c r="D308"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308" s="7">
        <f>IFERROR(__xludf.DUMMYFUNCTION("""COMPUTED_VALUE"""),"No artifact embedded")</f>
        <v/>
      </c>
      <c r="F308" s="7" t="n"/>
      <c r="G308" s="8" t="n">
        <v>0</v>
      </c>
      <c r="H308" s="8" t="n">
        <v>0</v>
      </c>
      <c r="I308" s="8" t="n">
        <v>1</v>
      </c>
      <c r="J308" s="8" t="n">
        <v>0</v>
      </c>
      <c r="K308" s="9" t="n">
        <v>0</v>
      </c>
      <c r="L308" s="9" t="n">
        <v>1</v>
      </c>
      <c r="M308" s="9" t="n">
        <v>0</v>
      </c>
      <c r="N308" s="9" t="n">
        <v>0</v>
      </c>
      <c r="O308" s="10" t="n">
        <v>0</v>
      </c>
      <c r="P308" s="10" t="n">
        <v>1</v>
      </c>
      <c r="Q308" s="10" t="n">
        <v>1</v>
      </c>
      <c r="R308" s="10" t="n">
        <v>0</v>
      </c>
      <c r="S308" s="10" t="n">
        <v>0</v>
      </c>
    </row>
    <row r="309" ht="409.5" customHeight="1">
      <c r="A309" s="6">
        <f>IFERROR(__xludf.DUMMYFUNCTION("""COMPUTED_VALUE"""),"How do light and temperature affect photosynthesis in plants? - Version A")</f>
        <v/>
      </c>
      <c r="B309" s="6">
        <f>IFERROR(__xludf.DUMMYFUNCTION("""COMPUTED_VALUE"""),"Application")</f>
        <v/>
      </c>
      <c r="C309" s="6">
        <f>IFERROR(__xludf.DUMMYFUNCTION("""COMPUTED_VALUE"""),"Hypothesis Scratchpad")</f>
        <v/>
      </c>
      <c r="D309" s="7">
        <f>IFERROR(__xludf.DUMMYFUNCTION("""COMPUTED_VALUE"""),"No task description")</f>
        <v/>
      </c>
      <c r="E30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09" s="7" t="n"/>
      <c r="G309" s="8" t="n">
        <v>0</v>
      </c>
      <c r="H309" s="8" t="n">
        <v>0</v>
      </c>
      <c r="I309" s="8" t="n">
        <v>1</v>
      </c>
      <c r="J309" s="8" t="n">
        <v>0</v>
      </c>
      <c r="K309" s="9" t="n">
        <v>0</v>
      </c>
      <c r="L309" s="9" t="n">
        <v>1</v>
      </c>
      <c r="M309" s="9" t="n">
        <v>0</v>
      </c>
      <c r="N309" s="9" t="n">
        <v>0</v>
      </c>
      <c r="O309" s="10" t="n">
        <v>0</v>
      </c>
      <c r="P309" s="10" t="n">
        <v>1</v>
      </c>
      <c r="Q309" s="10" t="n">
        <v>0</v>
      </c>
      <c r="R309" s="10" t="n">
        <v>0</v>
      </c>
      <c r="S309" s="10" t="n">
        <v>0</v>
      </c>
    </row>
    <row r="310" ht="157" customHeight="1">
      <c r="A310" s="6">
        <f>IFERROR(__xludf.DUMMYFUNCTION("""COMPUTED_VALUE"""),"How do light and temperature affect photosynthesis in plants? - Version A")</f>
        <v/>
      </c>
      <c r="B310" s="6">
        <f>IFERROR(__xludf.DUMMYFUNCTION("""COMPUTED_VALUE"""),"Resource")</f>
        <v/>
      </c>
      <c r="C310" s="6">
        <f>IFERROR(__xludf.DUMMYFUNCTION("""COMPUTED_VALUE"""),"tekst2.graasp")</f>
        <v/>
      </c>
      <c r="D310" s="7">
        <f>IFERROR(__xludf.DUMMYFUNCTION("""COMPUTED_VALUE"""),"&lt;p&gt;When you finished making your prediction (hypothesis) click on the tab &lt;strong&gt;Investigate&lt;/strong&gt; in the top of your screen.&lt;br&gt;&lt;/p&gt;&lt;p&gt;&lt;br&gt;&lt;/p&gt;&lt;p&gt;&lt;br&gt;&lt;/p&gt;&lt;p&gt;&lt;br&gt;&lt;/p&gt;&lt;p&gt;&lt;br&gt;&lt;/p&gt;")</f>
        <v/>
      </c>
      <c r="E310" s="7">
        <f>IFERROR(__xludf.DUMMYFUNCTION("""COMPUTED_VALUE"""),"No artifact embedded")</f>
        <v/>
      </c>
      <c r="F310" s="7" t="n"/>
      <c r="G310" s="8" t="n">
        <v>0</v>
      </c>
      <c r="H310" s="8" t="n">
        <v>0</v>
      </c>
      <c r="I310" s="8" t="n">
        <v>0</v>
      </c>
      <c r="J310" s="8" t="n">
        <v>0</v>
      </c>
      <c r="K310" s="9" t="n">
        <v>0</v>
      </c>
      <c r="L310" s="9" t="n">
        <v>0</v>
      </c>
      <c r="M310" s="9" t="n">
        <v>0</v>
      </c>
      <c r="N310" s="9" t="n">
        <v>0</v>
      </c>
      <c r="O310" s="10" t="n">
        <v>0</v>
      </c>
      <c r="P310" s="10" t="n">
        <v>0</v>
      </c>
      <c r="Q310" s="10" t="n">
        <v>0</v>
      </c>
      <c r="R310" s="10" t="n">
        <v>0</v>
      </c>
      <c r="S310" s="10" t="n">
        <v>0</v>
      </c>
    </row>
    <row r="311" ht="25" customHeight="1">
      <c r="A311" s="6">
        <f>IFERROR(__xludf.DUMMYFUNCTION("""COMPUTED_VALUE"""),"How do light and temperature affect photosynthesis in plants? - Version A")</f>
        <v/>
      </c>
      <c r="B311" s="6">
        <f>IFERROR(__xludf.DUMMYFUNCTION("""COMPUTED_VALUE"""),"Space")</f>
        <v/>
      </c>
      <c r="C311" s="6">
        <f>IFERROR(__xludf.DUMMYFUNCTION("""COMPUTED_VALUE"""),"Investigation")</f>
        <v/>
      </c>
      <c r="D311" s="7">
        <f>IFERROR(__xludf.DUMMYFUNCTION("""COMPUTED_VALUE"""),"No task description")</f>
        <v/>
      </c>
      <c r="E311" s="7">
        <f>IFERROR(__xludf.DUMMYFUNCTION("""COMPUTED_VALUE"""),"No artifact embedded")</f>
        <v/>
      </c>
      <c r="F311" s="7" t="n"/>
      <c r="G311" s="8" t="n">
        <v>0</v>
      </c>
      <c r="H311" s="8" t="n">
        <v>0</v>
      </c>
      <c r="I311" s="8" t="n">
        <v>0</v>
      </c>
      <c r="J311" s="8" t="n">
        <v>0</v>
      </c>
      <c r="K311" s="9" t="n">
        <v>0</v>
      </c>
      <c r="L311" s="9" t="n">
        <v>0</v>
      </c>
      <c r="M311" s="9" t="n">
        <v>0</v>
      </c>
      <c r="N311" s="9" t="n">
        <v>0</v>
      </c>
      <c r="O311" s="10" t="n">
        <v>0</v>
      </c>
      <c r="P311" s="10" t="n">
        <v>0</v>
      </c>
      <c r="Q311" s="10" t="n">
        <v>0</v>
      </c>
      <c r="R311" s="10" t="n">
        <v>0</v>
      </c>
      <c r="S311" s="10" t="n">
        <v>0</v>
      </c>
    </row>
    <row r="312" ht="285" customHeight="1">
      <c r="A312" s="6">
        <f>IFERROR(__xludf.DUMMYFUNCTION("""COMPUTED_VALUE"""),"How do light and temperature affect photosynthesis in plants? - Version A")</f>
        <v/>
      </c>
      <c r="B312" s="6">
        <f>IFERROR(__xludf.DUMMYFUNCTION("""COMPUTED_VALUE"""),"Resource")</f>
        <v/>
      </c>
      <c r="C312" s="6">
        <f>IFERROR(__xludf.DUMMYFUNCTION("""COMPUTED_VALUE"""),"Vaatluste selgitus.graasp")</f>
        <v/>
      </c>
      <c r="D312"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312" s="7">
        <f>IFERROR(__xludf.DUMMYFUNCTION("""COMPUTED_VALUE"""),"No artifact embedded")</f>
        <v/>
      </c>
      <c r="F312" s="7" t="n"/>
      <c r="G312" s="8" t="n">
        <v>0</v>
      </c>
      <c r="H312" s="8" t="n">
        <v>0</v>
      </c>
      <c r="I312" s="8" t="n">
        <v>1</v>
      </c>
      <c r="J312" s="8" t="n">
        <v>0</v>
      </c>
      <c r="K312" s="9" t="n">
        <v>0</v>
      </c>
      <c r="L312" s="9" t="n">
        <v>1</v>
      </c>
      <c r="M312" s="9" t="n">
        <v>0</v>
      </c>
      <c r="N312" s="9" t="n">
        <v>0</v>
      </c>
      <c r="O312" s="10" t="n">
        <v>0</v>
      </c>
      <c r="P312" s="10" t="n">
        <v>0</v>
      </c>
      <c r="Q312" s="10" t="n">
        <v>1</v>
      </c>
      <c r="R312" s="10" t="n">
        <v>0</v>
      </c>
      <c r="S312" s="10" t="n">
        <v>0</v>
      </c>
    </row>
    <row r="313" ht="351" customHeight="1">
      <c r="A313" s="6">
        <f>IFERROR(__xludf.DUMMYFUNCTION("""COMPUTED_VALUE"""),"How do light and temperature affect photosynthesis in plants? - Version A")</f>
        <v/>
      </c>
      <c r="B313" s="6">
        <f>IFERROR(__xludf.DUMMYFUNCTION("""COMPUTED_VALUE"""),"Application")</f>
        <v/>
      </c>
      <c r="C313" s="6">
        <f>IFERROR(__xludf.DUMMYFUNCTION("""COMPUTED_VALUE"""),"Viewer")</f>
        <v/>
      </c>
      <c r="D313" s="7">
        <f>IFERROR(__xludf.DUMMYFUNCTION("""COMPUTED_VALUE"""),"No task description")</f>
        <v/>
      </c>
      <c r="E313"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313" s="7" t="n"/>
      <c r="G313" s="8" t="n">
        <v>1</v>
      </c>
      <c r="H313" s="8" t="n">
        <v>0</v>
      </c>
      <c r="I313" s="8" t="n">
        <v>0</v>
      </c>
      <c r="J313" s="8" t="n">
        <v>0</v>
      </c>
      <c r="K313" s="9" t="n">
        <v>1</v>
      </c>
      <c r="L313" s="9" t="n">
        <v>0</v>
      </c>
      <c r="M313" s="9" t="n">
        <v>0</v>
      </c>
      <c r="N313" s="9" t="n">
        <v>0</v>
      </c>
      <c r="O313" s="10" t="n">
        <v>0</v>
      </c>
      <c r="P313" s="10" t="n">
        <v>0</v>
      </c>
      <c r="Q313" s="10" t="n">
        <v>0</v>
      </c>
      <c r="R313" s="10" t="n">
        <v>0</v>
      </c>
      <c r="S313" s="10" t="n">
        <v>0</v>
      </c>
    </row>
    <row r="314" ht="409.5" customHeight="1">
      <c r="A314" s="6">
        <f>IFERROR(__xludf.DUMMYFUNCTION("""COMPUTED_VALUE"""),"How do light and temperature affect photosynthesis in plants? - Version A")</f>
        <v/>
      </c>
      <c r="B314" s="6">
        <f>IFERROR(__xludf.DUMMYFUNCTION("""COMPUTED_VALUE"""),"Application")</f>
        <v/>
      </c>
      <c r="C314" s="6">
        <f>IFERROR(__xludf.DUMMYFUNCTION("""COMPUTED_VALUE"""),"Rate of Photosynthesis Lab (HTML5)")</f>
        <v/>
      </c>
      <c r="D314" s="7">
        <f>IFERROR(__xludf.DUMMYFUNCTION("""COMPUTED_VALUE"""),"No task description")</f>
        <v/>
      </c>
      <c r="E314"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314" s="7" t="n"/>
      <c r="G314" s="8" t="n">
        <v>0</v>
      </c>
      <c r="H314" s="8" t="n">
        <v>1</v>
      </c>
      <c r="I314" s="8" t="n">
        <v>0</v>
      </c>
      <c r="J314" s="8" t="n">
        <v>0</v>
      </c>
      <c r="K314" s="9" t="n">
        <v>1</v>
      </c>
      <c r="L314" s="9" t="n">
        <v>0</v>
      </c>
      <c r="M314" s="9" t="n">
        <v>0</v>
      </c>
      <c r="N314" s="9" t="n">
        <v>0</v>
      </c>
      <c r="O314" s="10" t="n">
        <v>0</v>
      </c>
      <c r="P314" s="10" t="n">
        <v>0</v>
      </c>
      <c r="Q314" s="10" t="n">
        <v>1</v>
      </c>
      <c r="R314" s="10" t="n">
        <v>0</v>
      </c>
      <c r="S314" s="10" t="n">
        <v>0</v>
      </c>
    </row>
    <row r="315" ht="263" customHeight="1">
      <c r="A315" s="6">
        <f>IFERROR(__xludf.DUMMYFUNCTION("""COMPUTED_VALUE"""),"How do light and temperature affect photosynthesis in plants? - Version A")</f>
        <v/>
      </c>
      <c r="B315" s="6">
        <f>IFERROR(__xludf.DUMMYFUNCTION("""COMPUTED_VALUE"""),"Resource")</f>
        <v/>
      </c>
      <c r="C315" s="6">
        <f>IFERROR(__xludf.DUMMYFUNCTION("""COMPUTED_VALUE"""),"Vaatluste selgitus 2.graasp")</f>
        <v/>
      </c>
      <c r="D315"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315" s="7">
        <f>IFERROR(__xludf.DUMMYFUNCTION("""COMPUTED_VALUE"""),"No artifact embedded")</f>
        <v/>
      </c>
      <c r="F315" s="7" t="n"/>
      <c r="G315" s="8" t="n">
        <v>0</v>
      </c>
      <c r="H315" s="8" t="n">
        <v>0</v>
      </c>
      <c r="I315" s="8" t="n">
        <v>1</v>
      </c>
      <c r="J315" s="8" t="n">
        <v>0</v>
      </c>
      <c r="K315" s="9" t="n">
        <v>0</v>
      </c>
      <c r="L315" s="9" t="n">
        <v>1</v>
      </c>
      <c r="M315" s="9" t="n">
        <v>0</v>
      </c>
      <c r="N315" s="9" t="n">
        <v>0</v>
      </c>
      <c r="O315" s="10" t="n">
        <v>0</v>
      </c>
      <c r="P315" s="10" t="n">
        <v>0</v>
      </c>
      <c r="Q315" s="10" t="n">
        <v>1</v>
      </c>
      <c r="R315" s="10" t="n">
        <v>1</v>
      </c>
      <c r="S315" s="10" t="n">
        <v>0</v>
      </c>
    </row>
    <row r="316" ht="395" customHeight="1">
      <c r="A316" s="6">
        <f>IFERROR(__xludf.DUMMYFUNCTION("""COMPUTED_VALUE"""),"How do light and temperature affect photosynthesis in plants? - Version A")</f>
        <v/>
      </c>
      <c r="B316" s="6">
        <f>IFERROR(__xludf.DUMMYFUNCTION("""COMPUTED_VALUE"""),"Application")</f>
        <v/>
      </c>
      <c r="C316" s="6">
        <f>IFERROR(__xludf.DUMMYFUNCTION("""COMPUTED_VALUE"""),"Observation Tool")</f>
        <v/>
      </c>
      <c r="D316" s="7">
        <f>IFERROR(__xludf.DUMMYFUNCTION("""COMPUTED_VALUE"""),"No task description")</f>
        <v/>
      </c>
      <c r="E316"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16" s="7" t="n"/>
      <c r="G316" s="8" t="n">
        <v>0</v>
      </c>
      <c r="H316" s="8" t="n">
        <v>0</v>
      </c>
      <c r="I316" s="8" t="n">
        <v>1</v>
      </c>
      <c r="J316" s="8" t="n">
        <v>0</v>
      </c>
      <c r="K316" s="9" t="n">
        <v>0</v>
      </c>
      <c r="L316" s="9" t="n">
        <v>1</v>
      </c>
      <c r="M316" s="9" t="n">
        <v>0</v>
      </c>
      <c r="N316" s="9" t="n">
        <v>0</v>
      </c>
      <c r="O316" s="10" t="n">
        <v>0</v>
      </c>
      <c r="P316" s="10" t="n">
        <v>0</v>
      </c>
      <c r="Q316" s="10" t="n">
        <v>1</v>
      </c>
      <c r="R316" s="10" t="n">
        <v>0</v>
      </c>
      <c r="S316" s="10" t="n">
        <v>0</v>
      </c>
    </row>
    <row r="317" ht="169" customHeight="1">
      <c r="A317" s="6">
        <f>IFERROR(__xludf.DUMMYFUNCTION("""COMPUTED_VALUE"""),"How do light and temperature affect photosynthesis in plants? - Version A")</f>
        <v/>
      </c>
      <c r="B317" s="6">
        <f>IFERROR(__xludf.DUMMYFUNCTION("""COMPUTED_VALUE"""),"Resource")</f>
        <v/>
      </c>
      <c r="C317" s="6">
        <f>IFERROR(__xludf.DUMMYFUNCTION("""COMPUTED_VALUE"""),"Vaatlused edasi.graasp")</f>
        <v/>
      </c>
      <c r="D317" s="7">
        <f>IFERROR(__xludf.DUMMYFUNCTION("""COMPUTED_VALUE"""),"&lt;p&gt;When you have collected enough information to address your hypothesis, click on the tab &lt;strong&gt;Conclusion&lt;/strong&gt; on the top of your screen.&lt;/p&gt;&lt;p&gt;&lt;br&gt;&lt;/p&gt;&lt;p&gt;&lt;br&gt;&lt;/p&gt;&lt;p&gt;&lt;br&gt;&lt;/p&gt;")</f>
        <v/>
      </c>
      <c r="E317" s="7">
        <f>IFERROR(__xludf.DUMMYFUNCTION("""COMPUTED_VALUE"""),"No artifact embedded")</f>
        <v/>
      </c>
      <c r="F317" s="7" t="n"/>
      <c r="G317" s="8" t="n">
        <v>0</v>
      </c>
      <c r="H317" s="8" t="n">
        <v>0</v>
      </c>
      <c r="I317" s="8" t="n">
        <v>0</v>
      </c>
      <c r="J317" s="8" t="n">
        <v>0</v>
      </c>
      <c r="K317" s="9" t="n">
        <v>0</v>
      </c>
      <c r="L317" s="9" t="n">
        <v>0</v>
      </c>
      <c r="M317" s="9" t="n">
        <v>0</v>
      </c>
      <c r="N317" s="9" t="n">
        <v>0</v>
      </c>
      <c r="O317" s="10" t="n">
        <v>0</v>
      </c>
      <c r="P317" s="10" t="n">
        <v>0</v>
      </c>
      <c r="Q317" s="10" t="n">
        <v>0</v>
      </c>
      <c r="R317" s="10" t="n">
        <v>0</v>
      </c>
      <c r="S317" s="10" t="n">
        <v>0</v>
      </c>
    </row>
    <row r="318" ht="25" customHeight="1">
      <c r="A318" s="6">
        <f>IFERROR(__xludf.DUMMYFUNCTION("""COMPUTED_VALUE"""),"How do light and temperature affect photosynthesis in plants? - Version A")</f>
        <v/>
      </c>
      <c r="B318" s="6">
        <f>IFERROR(__xludf.DUMMYFUNCTION("""COMPUTED_VALUE"""),"Space")</f>
        <v/>
      </c>
      <c r="C318" s="6">
        <f>IFERROR(__xludf.DUMMYFUNCTION("""COMPUTED_VALUE"""),"Conclusion")</f>
        <v/>
      </c>
      <c r="D318" s="7">
        <f>IFERROR(__xludf.DUMMYFUNCTION("""COMPUTED_VALUE"""),"No task description")</f>
        <v/>
      </c>
      <c r="E318" s="7">
        <f>IFERROR(__xludf.DUMMYFUNCTION("""COMPUTED_VALUE"""),"No artifact embedded")</f>
        <v/>
      </c>
      <c r="F318" s="7" t="n"/>
      <c r="G318" s="8" t="n">
        <v>0</v>
      </c>
      <c r="H318" s="8" t="n">
        <v>0</v>
      </c>
      <c r="I318" s="8" t="n">
        <v>0</v>
      </c>
      <c r="J318" s="8" t="n">
        <v>0</v>
      </c>
      <c r="K318" s="9" t="n">
        <v>0</v>
      </c>
      <c r="L318" s="9" t="n">
        <v>0</v>
      </c>
      <c r="M318" s="9" t="n">
        <v>0</v>
      </c>
      <c r="N318" s="9" t="n">
        <v>0</v>
      </c>
      <c r="O318" s="10" t="n">
        <v>0</v>
      </c>
      <c r="P318" s="10" t="n">
        <v>0</v>
      </c>
      <c r="Q318" s="10" t="n">
        <v>0</v>
      </c>
      <c r="R318" s="10" t="n">
        <v>0</v>
      </c>
      <c r="S318" s="10" t="n">
        <v>0</v>
      </c>
    </row>
    <row r="319" ht="373" customHeight="1">
      <c r="A319" s="6">
        <f>IFERROR(__xludf.DUMMYFUNCTION("""COMPUTED_VALUE"""),"How do light and temperature affect photosynthesis in plants? - Version A")</f>
        <v/>
      </c>
      <c r="B319" s="6">
        <f>IFERROR(__xludf.DUMMYFUNCTION("""COMPUTED_VALUE"""),"Resource")</f>
        <v/>
      </c>
      <c r="C319" s="6">
        <f>IFERROR(__xludf.DUMMYFUNCTION("""COMPUTED_VALUE"""),"tekst1.graasp")</f>
        <v/>
      </c>
      <c r="D319"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319" s="7">
        <f>IFERROR(__xludf.DUMMYFUNCTION("""COMPUTED_VALUE"""),"No artifact embedded")</f>
        <v/>
      </c>
      <c r="F319" s="7" t="n"/>
      <c r="G319" s="8" t="n">
        <v>0</v>
      </c>
      <c r="H319" s="8" t="n">
        <v>0</v>
      </c>
      <c r="I319" s="8" t="n">
        <v>1</v>
      </c>
      <c r="J319" s="8" t="n">
        <v>0</v>
      </c>
      <c r="K319" s="9" t="n">
        <v>0</v>
      </c>
      <c r="L319" s="9" t="n">
        <v>1</v>
      </c>
      <c r="M319" s="9" t="n">
        <v>0</v>
      </c>
      <c r="N319" s="9" t="n">
        <v>0</v>
      </c>
      <c r="O319" s="10" t="n">
        <v>0</v>
      </c>
      <c r="P319" s="10" t="n">
        <v>0</v>
      </c>
      <c r="Q319" s="10" t="n">
        <v>0</v>
      </c>
      <c r="R319" s="10" t="n">
        <v>1</v>
      </c>
      <c r="S319" s="10" t="n">
        <v>0</v>
      </c>
    </row>
    <row r="320" ht="409.5" customHeight="1">
      <c r="A320" s="6">
        <f>IFERROR(__xludf.DUMMYFUNCTION("""COMPUTED_VALUE"""),"How do light and temperature affect photosynthesis in plants? - Version A")</f>
        <v/>
      </c>
      <c r="B320" s="6">
        <f>IFERROR(__xludf.DUMMYFUNCTION("""COMPUTED_VALUE"""),"Application")</f>
        <v/>
      </c>
      <c r="C320" s="6">
        <f>IFERROR(__xludf.DUMMYFUNCTION("""COMPUTED_VALUE"""),"Conclusion Tool")</f>
        <v/>
      </c>
      <c r="D320" s="7">
        <f>IFERROR(__xludf.DUMMYFUNCTION("""COMPUTED_VALUE"""),"No task description")</f>
        <v/>
      </c>
      <c r="E32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320" s="7" t="n"/>
      <c r="G320" s="8" t="n">
        <v>0</v>
      </c>
      <c r="H320" s="8" t="n">
        <v>0</v>
      </c>
      <c r="I320" s="8" t="n">
        <v>1</v>
      </c>
      <c r="J320" s="8" t="n">
        <v>0</v>
      </c>
      <c r="K320" s="9" t="n">
        <v>0</v>
      </c>
      <c r="L320" s="9" t="n">
        <v>1</v>
      </c>
      <c r="M320" s="9" t="n">
        <v>0</v>
      </c>
      <c r="N320" s="9" t="n">
        <v>0</v>
      </c>
      <c r="O320" s="10" t="n">
        <v>0</v>
      </c>
      <c r="P320" s="10" t="n">
        <v>0</v>
      </c>
      <c r="Q320" s="10" t="n">
        <v>0</v>
      </c>
      <c r="R320" s="10" t="n">
        <v>1</v>
      </c>
      <c r="S320" s="10" t="n">
        <v>0</v>
      </c>
    </row>
    <row r="321" ht="145" customHeight="1">
      <c r="A321" s="6">
        <f>IFERROR(__xludf.DUMMYFUNCTION("""COMPUTED_VALUE"""),"How do light and temperature affect photosynthesis in plants? - Version A")</f>
        <v/>
      </c>
      <c r="B321" s="6">
        <f>IFERROR(__xludf.DUMMYFUNCTION("""COMPUTED_VALUE"""),"Resource")</f>
        <v/>
      </c>
      <c r="C321" s="6">
        <f>IFERROR(__xludf.DUMMYFUNCTION("""COMPUTED_VALUE"""),"tekst2.graasp")</f>
        <v/>
      </c>
      <c r="D321" s="7">
        <f>IFERROR(__xludf.DUMMYFUNCTION("""COMPUTED_VALUE"""),"&lt;p&gt;&lt;strong&gt;All done? Very good you have now finished with this assignment!&lt;/strong&gt;&lt;/p&gt;&lt;p&gt;&lt;strong&gt;&lt;br&gt;&lt;/strong&gt;&lt;/p&gt;&lt;p&gt;&lt;strong&gt;&lt;br&gt;&lt;/strong&gt;&lt;/p&gt;&lt;p&gt;&lt;strong&gt;&lt;br&gt;&lt;/strong&gt;&lt;/p&gt;")</f>
        <v/>
      </c>
      <c r="E321" s="7">
        <f>IFERROR(__xludf.DUMMYFUNCTION("""COMPUTED_VALUE"""),"No artifact embedded")</f>
        <v/>
      </c>
      <c r="F321" s="7" t="n"/>
      <c r="G321" s="8" t="n">
        <v>0</v>
      </c>
      <c r="H321" s="8" t="n">
        <v>0</v>
      </c>
      <c r="I321" s="8" t="n">
        <v>0</v>
      </c>
      <c r="J321" s="8" t="n">
        <v>0</v>
      </c>
      <c r="K321" s="9" t="n">
        <v>0</v>
      </c>
      <c r="L321" s="9" t="n">
        <v>0</v>
      </c>
      <c r="M321" s="9" t="n">
        <v>0</v>
      </c>
      <c r="N321" s="9" t="n">
        <v>0</v>
      </c>
      <c r="O321" s="10" t="n">
        <v>0</v>
      </c>
      <c r="P321" s="10" t="n">
        <v>0</v>
      </c>
      <c r="Q321" s="10" t="n">
        <v>0</v>
      </c>
      <c r="R321" s="10" t="n">
        <v>0</v>
      </c>
      <c r="S321" s="10" t="n">
        <v>0</v>
      </c>
    </row>
    <row r="322" ht="37" customHeight="1">
      <c r="A322" s="6">
        <f>IFERROR(__xludf.DUMMYFUNCTION("""COMPUTED_VALUE"""),"Transcription &amp; Translation")</f>
        <v/>
      </c>
      <c r="B322" s="6">
        <f>IFERROR(__xludf.DUMMYFUNCTION("""COMPUTED_VALUE"""),"Space")</f>
        <v/>
      </c>
      <c r="C322" s="6">
        <f>IFERROR(__xludf.DUMMYFUNCTION("""COMPUTED_VALUE"""),"Orientation")</f>
        <v/>
      </c>
      <c r="D322" s="7">
        <f>IFERROR(__xludf.DUMMYFUNCTION("""COMPUTED_VALUE"""),"This is the Orientation phase.")</f>
        <v/>
      </c>
      <c r="E322" s="7">
        <f>IFERROR(__xludf.DUMMYFUNCTION("""COMPUTED_VALUE"""),"No artifact embedded")</f>
        <v/>
      </c>
      <c r="F322" s="7" t="n"/>
      <c r="G322" s="8" t="n">
        <v>0</v>
      </c>
      <c r="H322" s="8" t="n">
        <v>0</v>
      </c>
      <c r="I322" s="8" t="n">
        <v>0</v>
      </c>
      <c r="J322" s="8" t="n">
        <v>0</v>
      </c>
      <c r="K322" s="9" t="n">
        <v>0</v>
      </c>
      <c r="L322" s="9" t="n">
        <v>0</v>
      </c>
      <c r="M322" s="9" t="n">
        <v>0</v>
      </c>
      <c r="N322" s="9" t="n">
        <v>0</v>
      </c>
      <c r="O322" s="10" t="n">
        <v>0</v>
      </c>
      <c r="P322" s="10" t="n">
        <v>0</v>
      </c>
      <c r="Q322" s="10" t="n">
        <v>0</v>
      </c>
      <c r="R322" s="10" t="n">
        <v>0</v>
      </c>
      <c r="S322" s="10" t="n">
        <v>0</v>
      </c>
    </row>
    <row r="323" ht="157" customHeight="1">
      <c r="A323" s="6">
        <f>IFERROR(__xludf.DUMMYFUNCTION("""COMPUTED_VALUE"""),"Transcription &amp; Translation")</f>
        <v/>
      </c>
      <c r="B323" s="6">
        <f>IFERROR(__xludf.DUMMYFUNCTION("""COMPUTED_VALUE"""),"Resource")</f>
        <v/>
      </c>
      <c r="C323" s="6">
        <f>IFERROR(__xludf.DUMMYFUNCTION("""COMPUTED_VALUE"""),"Introduction.graasp")</f>
        <v/>
      </c>
      <c r="D323" s="7">
        <f>IFERROR(__xludf.DUMMYFUNCTION("""COMPUTED_VALUE"""),"&lt;p&gt;This is a short investigation in how you deal with the concepts of transcription and translation.&lt;/p&gt;&lt;p&gt;&lt;br&gt;&lt;/p&gt;&lt;p&gt;Please watch the following YouTube video:&lt;/p&gt;")</f>
        <v/>
      </c>
      <c r="E323" s="7">
        <f>IFERROR(__xludf.DUMMYFUNCTION("""COMPUTED_VALUE"""),"No artifact embedded")</f>
        <v/>
      </c>
      <c r="F323" s="7" t="n"/>
      <c r="G323" s="8" t="n">
        <v>1</v>
      </c>
      <c r="H323" s="8" t="n">
        <v>0</v>
      </c>
      <c r="I323" s="8" t="n">
        <v>0</v>
      </c>
      <c r="J323" s="8" t="n">
        <v>0</v>
      </c>
      <c r="K323" s="9" t="n">
        <v>1</v>
      </c>
      <c r="L323" s="9" t="n">
        <v>0</v>
      </c>
      <c r="M323" s="9" t="n">
        <v>0</v>
      </c>
      <c r="N323" s="9" t="n">
        <v>0</v>
      </c>
      <c r="O323" s="10" t="n">
        <v>1</v>
      </c>
      <c r="P323" s="10" t="n">
        <v>0</v>
      </c>
      <c r="Q323" s="10" t="n">
        <v>0</v>
      </c>
      <c r="R323" s="10" t="n">
        <v>0</v>
      </c>
      <c r="S323" s="10" t="n">
        <v>0</v>
      </c>
    </row>
    <row r="324" ht="121" customHeight="1">
      <c r="A324" s="6">
        <f>IFERROR(__xludf.DUMMYFUNCTION("""COMPUTED_VALUE"""),"Transcription &amp; Translation")</f>
        <v/>
      </c>
      <c r="B324" s="6">
        <f>IFERROR(__xludf.DUMMYFUNCTION("""COMPUTED_VALUE"""),"Resource")</f>
        <v/>
      </c>
      <c r="C324" s="6">
        <f>IFERROR(__xludf.DUMMYFUNCTION("""COMPUTED_VALUE"""),"DNA translation and transcription [HD animation]")</f>
        <v/>
      </c>
      <c r="D324" s="7">
        <f>IFERROR(__xludf.DUMMYFUNCTION("""COMPUTED_VALUE"""),"No task description")</f>
        <v/>
      </c>
      <c r="E324" s="7">
        <f>IFERROR(__xludf.DUMMYFUNCTION("""COMPUTED_VALUE"""),"youtube.com: A widely known video-sharing platform where users can watch videos on a vast array of topics, including educational content.")</f>
        <v/>
      </c>
      <c r="F324" s="7" t="n"/>
      <c r="G324" s="8" t="n">
        <v>1</v>
      </c>
      <c r="H324" s="8" t="n">
        <v>0</v>
      </c>
      <c r="I324" s="8" t="n">
        <v>0</v>
      </c>
      <c r="J324" s="8" t="n">
        <v>0</v>
      </c>
      <c r="K324" s="9" t="n">
        <v>1</v>
      </c>
      <c r="L324" s="9" t="n">
        <v>0</v>
      </c>
      <c r="M324" s="9" t="n">
        <v>0</v>
      </c>
      <c r="N324" s="9" t="n">
        <v>0</v>
      </c>
      <c r="O324" s="10" t="n">
        <v>0</v>
      </c>
      <c r="P324" s="10" t="n">
        <v>0</v>
      </c>
      <c r="Q324" s="10" t="n">
        <v>0</v>
      </c>
      <c r="R324" s="10" t="n">
        <v>0</v>
      </c>
      <c r="S324" s="10" t="n">
        <v>0</v>
      </c>
    </row>
    <row r="325" ht="133" customHeight="1">
      <c r="A325" s="6">
        <f>IFERROR(__xludf.DUMMYFUNCTION("""COMPUTED_VALUE"""),"Transcription &amp; Translation")</f>
        <v/>
      </c>
      <c r="B325" s="6">
        <f>IFERROR(__xludf.DUMMYFUNCTION("""COMPUTED_VALUE"""),"Resource")</f>
        <v/>
      </c>
      <c r="C325" s="6">
        <f>IFERROR(__xludf.DUMMYFUNCTION("""COMPUTED_VALUE"""),"Question.graasp")</f>
        <v/>
      </c>
      <c r="D325" s="7">
        <f>IFERROR(__xludf.DUMMYFUNCTION("""COMPUTED_VALUE"""),"&lt;p&gt;In the box below give an explanation of why transcription and translation is so important for life and give a short overview of how these processes work.&lt;/p&gt;")</f>
        <v/>
      </c>
      <c r="E325" s="7">
        <f>IFERROR(__xludf.DUMMYFUNCTION("""COMPUTED_VALUE"""),"No artifact embedded")</f>
        <v/>
      </c>
      <c r="F325" s="7" t="n"/>
      <c r="G325" s="8" t="n">
        <v>0</v>
      </c>
      <c r="H325" s="8" t="n">
        <v>0</v>
      </c>
      <c r="I325" s="8" t="n">
        <v>1</v>
      </c>
      <c r="J325" s="8" t="n">
        <v>0</v>
      </c>
      <c r="K325" s="9" t="n">
        <v>0</v>
      </c>
      <c r="L325" s="9" t="n">
        <v>1</v>
      </c>
      <c r="M325" s="9" t="n">
        <v>0</v>
      </c>
      <c r="N325" s="9" t="n">
        <v>0</v>
      </c>
      <c r="O325" s="10" t="n">
        <v>1</v>
      </c>
      <c r="P325" s="10" t="n">
        <v>0</v>
      </c>
      <c r="Q325" s="10" t="n">
        <v>0</v>
      </c>
      <c r="R325" s="10" t="n">
        <v>0</v>
      </c>
      <c r="S325" s="10" t="n">
        <v>0</v>
      </c>
    </row>
    <row r="326" ht="329" customHeight="1">
      <c r="A326" s="6">
        <f>IFERROR(__xludf.DUMMYFUNCTION("""COMPUTED_VALUE"""),"Transcription &amp; Translation")</f>
        <v/>
      </c>
      <c r="B326" s="6">
        <f>IFERROR(__xludf.DUMMYFUNCTION("""COMPUTED_VALUE"""),"Application")</f>
        <v/>
      </c>
      <c r="C326" s="6">
        <f>IFERROR(__xludf.DUMMYFUNCTION("""COMPUTED_VALUE"""),"Input Box")</f>
        <v/>
      </c>
      <c r="D326" s="7">
        <f>IFERROR(__xludf.DUMMYFUNCTION("""COMPUTED_VALUE"""),"No task description")</f>
        <v/>
      </c>
      <c r="E3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26" s="7" t="n"/>
      <c r="G326" s="8" t="n">
        <v>0</v>
      </c>
      <c r="H326" s="8" t="n">
        <v>0</v>
      </c>
      <c r="I326" s="8" t="n">
        <v>1</v>
      </c>
      <c r="J326" s="8" t="n">
        <v>0</v>
      </c>
      <c r="K326" s="9" t="n">
        <v>0</v>
      </c>
      <c r="L326" s="9" t="n">
        <v>1</v>
      </c>
      <c r="M326" s="9" t="n">
        <v>0</v>
      </c>
      <c r="N326" s="9" t="n">
        <v>0</v>
      </c>
      <c r="O326" s="10" t="n">
        <v>0</v>
      </c>
      <c r="P326" s="10" t="n">
        <v>0</v>
      </c>
      <c r="Q326" s="10" t="n">
        <v>0</v>
      </c>
      <c r="R326" s="10" t="n">
        <v>0</v>
      </c>
      <c r="S326" s="10" t="n">
        <v>0</v>
      </c>
    </row>
    <row r="327" ht="73" customHeight="1">
      <c r="A327" s="6">
        <f>IFERROR(__xludf.DUMMYFUNCTION("""COMPUTED_VALUE"""),"Transcription &amp; Translation")</f>
        <v/>
      </c>
      <c r="B327" s="6">
        <f>IFERROR(__xludf.DUMMYFUNCTION("""COMPUTED_VALUE"""),"Application")</f>
        <v/>
      </c>
      <c r="C327" s="6">
        <f>IFERROR(__xludf.DUMMYFUNCTION("""COMPUTED_VALUE"""),"Teacher Feedback")</f>
        <v/>
      </c>
      <c r="D327" s="7">
        <f>IFERROR(__xludf.DUMMYFUNCTION("""COMPUTED_VALUE"""),"No task description")</f>
        <v/>
      </c>
      <c r="E327" s="7">
        <f>IFERROR(__xludf.DUMMYFUNCTION("""COMPUTED_VALUE"""),"Golabz app/lab: ""&lt;p&gt;A tool where teachers can provide feedback to students&lt;/p&gt;\r\n""")</f>
        <v/>
      </c>
      <c r="F327" s="7" t="n"/>
      <c r="G327" s="8" t="n">
        <v>1</v>
      </c>
      <c r="H327" s="8" t="n">
        <v>0</v>
      </c>
      <c r="I327" s="8" t="n">
        <v>0</v>
      </c>
      <c r="J327" s="8" t="n">
        <v>0</v>
      </c>
      <c r="K327" s="9" t="n">
        <v>1</v>
      </c>
      <c r="L327" s="9" t="n">
        <v>0</v>
      </c>
      <c r="M327" s="9" t="n">
        <v>0</v>
      </c>
      <c r="N327" s="9" t="n">
        <v>0</v>
      </c>
      <c r="O327" s="10" t="n">
        <v>0</v>
      </c>
      <c r="P327" s="10" t="n">
        <v>0</v>
      </c>
      <c r="Q327" s="10" t="n">
        <v>0</v>
      </c>
      <c r="R327" s="10" t="n">
        <v>0</v>
      </c>
      <c r="S327" s="10" t="n">
        <v>1</v>
      </c>
    </row>
    <row r="328" ht="25" customHeight="1">
      <c r="A328" s="6">
        <f>IFERROR(__xludf.DUMMYFUNCTION("""COMPUTED_VALUE"""),"Transcription &amp; Translation")</f>
        <v/>
      </c>
      <c r="B328" s="6">
        <f>IFERROR(__xludf.DUMMYFUNCTION("""COMPUTED_VALUE"""),"Space")</f>
        <v/>
      </c>
      <c r="C328" s="6">
        <f>IFERROR(__xludf.DUMMYFUNCTION("""COMPUTED_VALUE"""),"Learning Outcomes")</f>
        <v/>
      </c>
      <c r="D328" s="7">
        <f>IFERROR(__xludf.DUMMYFUNCTION("""COMPUTED_VALUE"""),"&lt;p&gt;Learning Outcomes.&lt;/p&gt;")</f>
        <v/>
      </c>
      <c r="E328" s="7">
        <f>IFERROR(__xludf.DUMMYFUNCTION("""COMPUTED_VALUE"""),"No artifact embedded")</f>
        <v/>
      </c>
      <c r="F328" s="7" t="n"/>
      <c r="G328" s="8" t="n">
        <v>0</v>
      </c>
      <c r="H328" s="8" t="n">
        <v>0</v>
      </c>
      <c r="I328" s="8" t="n">
        <v>0</v>
      </c>
      <c r="J328" s="8" t="n">
        <v>0</v>
      </c>
      <c r="K328" s="9" t="n">
        <v>0</v>
      </c>
      <c r="L328" s="9" t="n">
        <v>0</v>
      </c>
      <c r="M328" s="9" t="n">
        <v>0</v>
      </c>
      <c r="N328" s="9" t="n">
        <v>0</v>
      </c>
      <c r="O328" s="10" t="n">
        <v>0</v>
      </c>
      <c r="P328" s="10" t="n">
        <v>0</v>
      </c>
      <c r="Q328" s="10" t="n">
        <v>0</v>
      </c>
      <c r="R328" s="10" t="n">
        <v>0</v>
      </c>
      <c r="S328" s="10" t="n">
        <v>0</v>
      </c>
    </row>
    <row r="329" ht="229" customHeight="1">
      <c r="A329" s="6">
        <f>IFERROR(__xludf.DUMMYFUNCTION("""COMPUTED_VALUE"""),"Transcription &amp; Translation")</f>
        <v/>
      </c>
      <c r="B329" s="6">
        <f>IFERROR(__xludf.DUMMYFUNCTION("""COMPUTED_VALUE"""),"Resource")</f>
        <v/>
      </c>
      <c r="C329" s="6">
        <f>IFERROR(__xludf.DUMMYFUNCTION("""COMPUTED_VALUE"""),"Learning Outcomes.graasp")</f>
        <v/>
      </c>
      <c r="D329" s="7">
        <f>IFERROR(__xludf.DUMMYFUNCTION("""COMPUTED_VALUE"""),"&lt;ul&gt;&lt;li&gt;To recall the basic overview of transcription and translation.&lt;/li&gt;&lt;li&gt;To formulate questions based on the two processes for pupils in KS 4 and KS 5.&lt;/li&gt;&lt;li&gt;To link the role of transcription and translation to other processes within a living orga"&amp;"nism.&lt;/li&gt;&lt;/ul&gt;")</f>
        <v/>
      </c>
      <c r="E329" s="7">
        <f>IFERROR(__xludf.DUMMYFUNCTION("""COMPUTED_VALUE"""),"No artifact embedded")</f>
        <v/>
      </c>
      <c r="F329" s="7" t="n"/>
      <c r="G329" s="8" t="n">
        <v>1</v>
      </c>
      <c r="H329" s="8" t="n">
        <v>0</v>
      </c>
      <c r="I329" s="8" t="n">
        <v>0</v>
      </c>
      <c r="J329" s="8" t="n">
        <v>0</v>
      </c>
      <c r="K329" s="9" t="n">
        <v>1</v>
      </c>
      <c r="L329" s="9" t="n">
        <v>0</v>
      </c>
      <c r="M329" s="9" t="n">
        <v>0</v>
      </c>
      <c r="N329" s="9" t="n">
        <v>0</v>
      </c>
      <c r="O329" s="10" t="n">
        <v>1</v>
      </c>
      <c r="P329" s="10" t="n">
        <v>0</v>
      </c>
      <c r="Q329" s="10" t="n">
        <v>0</v>
      </c>
      <c r="R329" s="10" t="n">
        <v>0</v>
      </c>
      <c r="S329" s="10" t="n">
        <v>0</v>
      </c>
    </row>
    <row r="330" ht="37" customHeight="1">
      <c r="A330" s="6">
        <f>IFERROR(__xludf.DUMMYFUNCTION("""COMPUTED_VALUE"""),"Transcription &amp; Translation")</f>
        <v/>
      </c>
      <c r="B330" s="6">
        <f>IFERROR(__xludf.DUMMYFUNCTION("""COMPUTED_VALUE"""),"Space")</f>
        <v/>
      </c>
      <c r="C330" s="6">
        <f>IFERROR(__xludf.DUMMYFUNCTION("""COMPUTED_VALUE"""),"Investigation")</f>
        <v/>
      </c>
      <c r="D330" s="7">
        <f>IFERROR(__xludf.DUMMYFUNCTION("""COMPUTED_VALUE"""),"This is the Investigation phase.")</f>
        <v/>
      </c>
      <c r="E330" s="7">
        <f>IFERROR(__xludf.DUMMYFUNCTION("""COMPUTED_VALUE"""),"No artifact embedded")</f>
        <v/>
      </c>
      <c r="F330" s="7" t="n"/>
      <c r="G330" s="8" t="n">
        <v>0</v>
      </c>
      <c r="H330" s="8" t="n">
        <v>0</v>
      </c>
      <c r="I330" s="8" t="n">
        <v>0</v>
      </c>
      <c r="J330" s="8" t="n">
        <v>0</v>
      </c>
      <c r="K330" s="9" t="n">
        <v>0</v>
      </c>
      <c r="L330" s="9" t="n">
        <v>0</v>
      </c>
      <c r="M330" s="9" t="n">
        <v>0</v>
      </c>
      <c r="N330" s="9" t="n">
        <v>0</v>
      </c>
      <c r="O330" s="10" t="n">
        <v>0</v>
      </c>
      <c r="P330" s="10" t="n">
        <v>0</v>
      </c>
      <c r="Q330" s="10" t="n">
        <v>0</v>
      </c>
      <c r="R330" s="10" t="n">
        <v>0</v>
      </c>
      <c r="S330" s="10" t="n">
        <v>0</v>
      </c>
    </row>
    <row r="331" ht="409.5" customHeight="1">
      <c r="A331" s="6">
        <f>IFERROR(__xludf.DUMMYFUNCTION("""COMPUTED_VALUE"""),"Transcription &amp; Translation")</f>
        <v/>
      </c>
      <c r="B331" s="6">
        <f>IFERROR(__xludf.DUMMYFUNCTION("""COMPUTED_VALUE"""),"Application")</f>
        <v/>
      </c>
      <c r="C331" s="6">
        <f>IFERROR(__xludf.DUMMYFUNCTION("""COMPUTED_VALUE"""),"DNA to Protein App")</f>
        <v/>
      </c>
      <c r="D331" s="7">
        <f>IFERROR(__xludf.DUMMYFUNCTION("""COMPUTED_VALUE"""),"&lt;p&gt;Explore how the code embedded in DNA is translated into a protein. The process of converting the information in DNA into protein is a two-step process, involving transcription and translation. In transcription, an mRNA copy is made of the DNA. In trans"&amp;"lation, the mRNA travels to a ribosome, where tRNAs bring the matching amino acids together to form a protein.&lt;br&gt;The aims of the lab is:&lt;br&gt;1) To learn about proteins and DNA processes&lt;/p&gt;&lt;p&gt;2) To create differentiated questions for KS4 and KS5 students&lt;"&amp;"br&gt; &lt;/p&gt;")</f>
        <v/>
      </c>
      <c r="E331" s="7">
        <f>IFERROR(__xludf.DUMMYFUNCTION("""COMPUTED_VALUE"""),"Golabz app/lab: ""&lt;p&gt;Explore how the code embedded in DNA is translated into a protein. The process of converting the information in DNA into protein is a two-step process, involving transcription and translation. In transcription, an mRNA copy is made of"&amp;" the DNA. In translation, the mRNA travels to a ribosome, where tRNAs bring the matching amino acids together to form a protein.&lt;br /&gt;\r\nThe primary aim of the lab is:&lt;br /&gt;\r\n1) To learn about proteins and DNA processes&lt;br /&gt;\r\n&amp;nbsp;&lt;/p&gt;\r\n""")</f>
        <v/>
      </c>
      <c r="F331" s="7" t="n"/>
      <c r="G331" s="8" t="n">
        <v>0</v>
      </c>
      <c r="H331" s="8" t="n">
        <v>0</v>
      </c>
      <c r="I331" s="8" t="n">
        <v>1</v>
      </c>
      <c r="J331" s="8" t="n">
        <v>0</v>
      </c>
      <c r="K331" s="9" t="n">
        <v>0</v>
      </c>
      <c r="L331" s="9" t="n">
        <v>1</v>
      </c>
      <c r="M331" s="9" t="n">
        <v>0</v>
      </c>
      <c r="N331" s="9" t="n">
        <v>0</v>
      </c>
      <c r="O331" s="10" t="n">
        <v>0</v>
      </c>
      <c r="P331" s="10" t="n">
        <v>0</v>
      </c>
      <c r="Q331" s="10" t="n">
        <v>1</v>
      </c>
      <c r="R331" s="10" t="n">
        <v>0</v>
      </c>
      <c r="S331" s="10" t="n">
        <v>0</v>
      </c>
    </row>
    <row r="332" ht="97" customHeight="1">
      <c r="A332" s="6">
        <f>IFERROR(__xludf.DUMMYFUNCTION("""COMPUTED_VALUE"""),"Transcription &amp; Translation")</f>
        <v/>
      </c>
      <c r="B332" s="6">
        <f>IFERROR(__xludf.DUMMYFUNCTION("""COMPUTED_VALUE"""),"Resource")</f>
        <v/>
      </c>
      <c r="C332" s="6">
        <f>IFERROR(__xludf.DUMMYFUNCTION("""COMPUTED_VALUE"""),"question KS4.graasp")</f>
        <v/>
      </c>
      <c r="D332" s="7">
        <f>IFERROR(__xludf.DUMMYFUNCTION("""COMPUTED_VALUE"""),"&lt;p&gt;In the box below write 3 questions on transcription with answers for KS 4 students based on the animation above:&lt;/p&gt;")</f>
        <v/>
      </c>
      <c r="E332" s="7">
        <f>IFERROR(__xludf.DUMMYFUNCTION("""COMPUTED_VALUE"""),"No artifact embedded")</f>
        <v/>
      </c>
      <c r="F332" s="7" t="n"/>
      <c r="G332" s="8" t="n">
        <v>0</v>
      </c>
      <c r="H332" s="8" t="n">
        <v>0</v>
      </c>
      <c r="I332" s="8" t="n">
        <v>1</v>
      </c>
      <c r="J332" s="8" t="n">
        <v>0</v>
      </c>
      <c r="K332" s="9" t="n">
        <v>0</v>
      </c>
      <c r="L332" s="9" t="n">
        <v>1</v>
      </c>
      <c r="M332" s="9" t="n">
        <v>0</v>
      </c>
      <c r="N332" s="9" t="n">
        <v>0</v>
      </c>
      <c r="O332" s="10" t="n">
        <v>0</v>
      </c>
      <c r="P332" s="10" t="n">
        <v>0</v>
      </c>
      <c r="Q332" s="10" t="n">
        <v>0</v>
      </c>
      <c r="R332" s="10" t="n">
        <v>0</v>
      </c>
      <c r="S332" s="10" t="n">
        <v>0</v>
      </c>
    </row>
    <row r="333" ht="329" customHeight="1">
      <c r="A333" s="6">
        <f>IFERROR(__xludf.DUMMYFUNCTION("""COMPUTED_VALUE"""),"Transcription &amp; Translation")</f>
        <v/>
      </c>
      <c r="B333" s="6">
        <f>IFERROR(__xludf.DUMMYFUNCTION("""COMPUTED_VALUE"""),"Application")</f>
        <v/>
      </c>
      <c r="C333" s="6">
        <f>IFERROR(__xludf.DUMMYFUNCTION("""COMPUTED_VALUE"""),"Input Box")</f>
        <v/>
      </c>
      <c r="D333" s="7">
        <f>IFERROR(__xludf.DUMMYFUNCTION("""COMPUTED_VALUE"""),"No task description")</f>
        <v/>
      </c>
      <c r="E3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3" s="7" t="n"/>
      <c r="G333" s="8" t="n">
        <v>0</v>
      </c>
      <c r="H333" s="8" t="n">
        <v>0</v>
      </c>
      <c r="I333" s="8" t="n">
        <v>1</v>
      </c>
      <c r="J333" s="8" t="n">
        <v>0</v>
      </c>
      <c r="K333" s="9" t="n">
        <v>0</v>
      </c>
      <c r="L333" s="9" t="n">
        <v>1</v>
      </c>
      <c r="M333" s="9" t="n">
        <v>0</v>
      </c>
      <c r="N333" s="9" t="n">
        <v>0</v>
      </c>
      <c r="O333" s="10" t="n">
        <v>0</v>
      </c>
      <c r="P333" s="10" t="n">
        <v>0</v>
      </c>
      <c r="Q333" s="10" t="n">
        <v>0</v>
      </c>
      <c r="R333" s="10" t="n">
        <v>0</v>
      </c>
      <c r="S333" s="10" t="n">
        <v>0</v>
      </c>
    </row>
    <row r="334" ht="73" customHeight="1">
      <c r="A334" s="6">
        <f>IFERROR(__xludf.DUMMYFUNCTION("""COMPUTED_VALUE"""),"Transcription &amp; Translation")</f>
        <v/>
      </c>
      <c r="B334" s="6">
        <f>IFERROR(__xludf.DUMMYFUNCTION("""COMPUTED_VALUE"""),"Application")</f>
        <v/>
      </c>
      <c r="C334" s="6">
        <f>IFERROR(__xludf.DUMMYFUNCTION("""COMPUTED_VALUE"""),"Teacher Feedback (1)")</f>
        <v/>
      </c>
      <c r="D334" s="7">
        <f>IFERROR(__xludf.DUMMYFUNCTION("""COMPUTED_VALUE"""),"No task description")</f>
        <v/>
      </c>
      <c r="E334" s="7">
        <f>IFERROR(__xludf.DUMMYFUNCTION("""COMPUTED_VALUE"""),"Golabz app/lab: ""&lt;p&gt;A tool where teachers can provide feedback to students&lt;/p&gt;\r\n""")</f>
        <v/>
      </c>
      <c r="F334" s="7" t="n"/>
      <c r="G334" s="8" t="n">
        <v>1</v>
      </c>
      <c r="H334" s="8" t="n">
        <v>0</v>
      </c>
      <c r="I334" s="8" t="n">
        <v>0</v>
      </c>
      <c r="J334" s="8" t="n">
        <v>0</v>
      </c>
      <c r="K334" s="9" t="n">
        <v>1</v>
      </c>
      <c r="L334" s="9" t="n">
        <v>0</v>
      </c>
      <c r="M334" s="9" t="n">
        <v>0</v>
      </c>
      <c r="N334" s="9" t="n">
        <v>0</v>
      </c>
      <c r="O334" s="10" t="n">
        <v>0</v>
      </c>
      <c r="P334" s="10" t="n">
        <v>0</v>
      </c>
      <c r="Q334" s="10" t="n">
        <v>0</v>
      </c>
      <c r="R334" s="10" t="n">
        <v>0</v>
      </c>
      <c r="S334" s="10" t="n">
        <v>1</v>
      </c>
    </row>
    <row r="335" ht="109" customHeight="1">
      <c r="A335" s="6">
        <f>IFERROR(__xludf.DUMMYFUNCTION("""COMPUTED_VALUE"""),"Transcription &amp; Translation")</f>
        <v/>
      </c>
      <c r="B335" s="6">
        <f>IFERROR(__xludf.DUMMYFUNCTION("""COMPUTED_VALUE"""),"Resource")</f>
        <v/>
      </c>
      <c r="C335" s="6">
        <f>IFERROR(__xludf.DUMMYFUNCTION("""COMPUTED_VALUE"""),"Question KS5.graasp")</f>
        <v/>
      </c>
      <c r="D335" s="7">
        <f>IFERROR(__xludf.DUMMYFUNCTION("""COMPUTED_VALUE"""),"&lt;p&gt;In the box below describe what is missing in the animation that is needed for understanding the process of transcription at KS 5 level:&lt;/p&gt;")</f>
        <v/>
      </c>
      <c r="E335" s="7">
        <f>IFERROR(__xludf.DUMMYFUNCTION("""COMPUTED_VALUE"""),"No artifact embedded")</f>
        <v/>
      </c>
      <c r="F335" s="7" t="n"/>
      <c r="G335" s="8" t="n">
        <v>0</v>
      </c>
      <c r="H335" s="8" t="n">
        <v>0</v>
      </c>
      <c r="I335" s="8" t="n">
        <v>1</v>
      </c>
      <c r="J335" s="8" t="n">
        <v>0</v>
      </c>
      <c r="K335" s="9" t="n">
        <v>0</v>
      </c>
      <c r="L335" s="9" t="n">
        <v>1</v>
      </c>
      <c r="M335" s="9" t="n">
        <v>0</v>
      </c>
      <c r="N335" s="9" t="n">
        <v>0</v>
      </c>
      <c r="O335" s="10" t="n">
        <v>0</v>
      </c>
      <c r="P335" s="10" t="n">
        <v>1</v>
      </c>
      <c r="Q335" s="10" t="n">
        <v>0</v>
      </c>
      <c r="R335" s="10" t="n">
        <v>0</v>
      </c>
      <c r="S335" s="10" t="n">
        <v>0</v>
      </c>
    </row>
    <row r="336" ht="329" customHeight="1">
      <c r="A336" s="6">
        <f>IFERROR(__xludf.DUMMYFUNCTION("""COMPUTED_VALUE"""),"Transcription &amp; Translation")</f>
        <v/>
      </c>
      <c r="B336" s="6">
        <f>IFERROR(__xludf.DUMMYFUNCTION("""COMPUTED_VALUE"""),"Application")</f>
        <v/>
      </c>
      <c r="C336" s="6">
        <f>IFERROR(__xludf.DUMMYFUNCTION("""COMPUTED_VALUE"""),"Input Box (1)")</f>
        <v/>
      </c>
      <c r="D336" s="7">
        <f>IFERROR(__xludf.DUMMYFUNCTION("""COMPUTED_VALUE"""),"No task description")</f>
        <v/>
      </c>
      <c r="E3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6" s="7" t="n"/>
      <c r="G336" s="8" t="n">
        <v>0</v>
      </c>
      <c r="H336" s="8" t="n">
        <v>0</v>
      </c>
      <c r="I336" s="8" t="n">
        <v>1</v>
      </c>
      <c r="J336" s="8" t="n">
        <v>0</v>
      </c>
      <c r="K336" s="9" t="n">
        <v>0</v>
      </c>
      <c r="L336" s="9" t="n">
        <v>1</v>
      </c>
      <c r="M336" s="9" t="n">
        <v>0</v>
      </c>
      <c r="N336" s="9" t="n">
        <v>0</v>
      </c>
      <c r="O336" s="10" t="n">
        <v>0</v>
      </c>
      <c r="P336" s="10" t="n">
        <v>0</v>
      </c>
      <c r="Q336" s="10" t="n">
        <v>0</v>
      </c>
      <c r="R336" s="10" t="n">
        <v>0</v>
      </c>
      <c r="S336" s="10" t="n">
        <v>0</v>
      </c>
    </row>
    <row r="337" ht="73" customHeight="1">
      <c r="A337" s="6">
        <f>IFERROR(__xludf.DUMMYFUNCTION("""COMPUTED_VALUE"""),"Transcription &amp; Translation")</f>
        <v/>
      </c>
      <c r="B337" s="6">
        <f>IFERROR(__xludf.DUMMYFUNCTION("""COMPUTED_VALUE"""),"Application")</f>
        <v/>
      </c>
      <c r="C337" s="6">
        <f>IFERROR(__xludf.DUMMYFUNCTION("""COMPUTED_VALUE"""),"Teacher Feedback")</f>
        <v/>
      </c>
      <c r="D337" s="7">
        <f>IFERROR(__xludf.DUMMYFUNCTION("""COMPUTED_VALUE"""),"No task description")</f>
        <v/>
      </c>
      <c r="E337" s="7">
        <f>IFERROR(__xludf.DUMMYFUNCTION("""COMPUTED_VALUE"""),"Golabz app/lab: ""&lt;p&gt;A tool where teachers can provide feedback to students&lt;/p&gt;\r\n""")</f>
        <v/>
      </c>
      <c r="F337" s="7" t="n"/>
      <c r="G337" s="8" t="n">
        <v>1</v>
      </c>
      <c r="H337" s="8" t="n">
        <v>0</v>
      </c>
      <c r="I337" s="8" t="n">
        <v>0</v>
      </c>
      <c r="J337" s="8" t="n">
        <v>0</v>
      </c>
      <c r="K337" s="9" t="n">
        <v>1</v>
      </c>
      <c r="L337" s="9" t="n">
        <v>0</v>
      </c>
      <c r="M337" s="9" t="n">
        <v>0</v>
      </c>
      <c r="N337" s="9" t="n">
        <v>0</v>
      </c>
      <c r="O337" s="10" t="n">
        <v>0</v>
      </c>
      <c r="P337" s="10" t="n">
        <v>0</v>
      </c>
      <c r="Q337" s="10" t="n">
        <v>0</v>
      </c>
      <c r="R337" s="10" t="n">
        <v>0</v>
      </c>
      <c r="S337" s="10" t="n">
        <v>1</v>
      </c>
    </row>
    <row r="338" ht="97" customHeight="1">
      <c r="A338" s="6">
        <f>IFERROR(__xludf.DUMMYFUNCTION("""COMPUTED_VALUE"""),"Transcription &amp; Translation")</f>
        <v/>
      </c>
      <c r="B338" s="6">
        <f>IFERROR(__xludf.DUMMYFUNCTION("""COMPUTED_VALUE"""),"Resource")</f>
        <v/>
      </c>
      <c r="C338" s="6">
        <f>IFERROR(__xludf.DUMMYFUNCTION("""COMPUTED_VALUE"""),"question ks4 2.graasp")</f>
        <v/>
      </c>
      <c r="D338" s="7">
        <f>IFERROR(__xludf.DUMMYFUNCTION("""COMPUTED_VALUE"""),"&lt;p&gt;In the box below write 3 questions on translation with answers for KS 4 students based on the animation above:&lt;/p&gt;")</f>
        <v/>
      </c>
      <c r="E338" s="7">
        <f>IFERROR(__xludf.DUMMYFUNCTION("""COMPUTED_VALUE"""),"No artifact embedded")</f>
        <v/>
      </c>
      <c r="F338" s="7" t="n"/>
      <c r="G338" s="8" t="n">
        <v>0</v>
      </c>
      <c r="H338" s="8" t="n">
        <v>0</v>
      </c>
      <c r="I338" s="8" t="n">
        <v>1</v>
      </c>
      <c r="J338" s="8" t="n">
        <v>0</v>
      </c>
      <c r="K338" s="9" t="n">
        <v>0</v>
      </c>
      <c r="L338" s="9" t="n">
        <v>1</v>
      </c>
      <c r="M338" s="9" t="n">
        <v>0</v>
      </c>
      <c r="N338" s="9" t="n">
        <v>0</v>
      </c>
      <c r="O338" s="10" t="n">
        <v>0</v>
      </c>
      <c r="P338" s="10" t="n">
        <v>0</v>
      </c>
      <c r="Q338" s="10" t="n">
        <v>0</v>
      </c>
      <c r="R338" s="10" t="n">
        <v>0</v>
      </c>
      <c r="S338" s="10" t="n">
        <v>0</v>
      </c>
    </row>
    <row r="339" ht="329" customHeight="1">
      <c r="A339" s="6">
        <f>IFERROR(__xludf.DUMMYFUNCTION("""COMPUTED_VALUE"""),"Transcription &amp; Translation")</f>
        <v/>
      </c>
      <c r="B339" s="6">
        <f>IFERROR(__xludf.DUMMYFUNCTION("""COMPUTED_VALUE"""),"Application")</f>
        <v/>
      </c>
      <c r="C339" s="6">
        <f>IFERROR(__xludf.DUMMYFUNCTION("""COMPUTED_VALUE"""),"Input Box (2)")</f>
        <v/>
      </c>
      <c r="D339" s="7">
        <f>IFERROR(__xludf.DUMMYFUNCTION("""COMPUTED_VALUE"""),"No task description")</f>
        <v/>
      </c>
      <c r="E33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9" s="7" t="n"/>
      <c r="G339" s="8" t="n">
        <v>0</v>
      </c>
      <c r="H339" s="8" t="n">
        <v>0</v>
      </c>
      <c r="I339" s="8" t="n">
        <v>1</v>
      </c>
      <c r="J339" s="8" t="n">
        <v>0</v>
      </c>
      <c r="K339" s="9" t="n">
        <v>0</v>
      </c>
      <c r="L339" s="9" t="n">
        <v>1</v>
      </c>
      <c r="M339" s="9" t="n">
        <v>0</v>
      </c>
      <c r="N339" s="9" t="n">
        <v>0</v>
      </c>
      <c r="O339" s="10" t="n">
        <v>0</v>
      </c>
      <c r="P339" s="10" t="n">
        <v>0</v>
      </c>
      <c r="Q339" s="10" t="n">
        <v>0</v>
      </c>
      <c r="R339" s="10" t="n">
        <v>0</v>
      </c>
      <c r="S339" s="10" t="n">
        <v>0</v>
      </c>
    </row>
    <row r="340" ht="73" customHeight="1">
      <c r="A340" s="6">
        <f>IFERROR(__xludf.DUMMYFUNCTION("""COMPUTED_VALUE"""),"Transcription &amp; Translation")</f>
        <v/>
      </c>
      <c r="B340" s="6">
        <f>IFERROR(__xludf.DUMMYFUNCTION("""COMPUTED_VALUE"""),"Application")</f>
        <v/>
      </c>
      <c r="C340" s="6">
        <f>IFERROR(__xludf.DUMMYFUNCTION("""COMPUTED_VALUE"""),"Teacher Feedback (2)")</f>
        <v/>
      </c>
      <c r="D340" s="7">
        <f>IFERROR(__xludf.DUMMYFUNCTION("""COMPUTED_VALUE"""),"No task description")</f>
        <v/>
      </c>
      <c r="E340" s="7">
        <f>IFERROR(__xludf.DUMMYFUNCTION("""COMPUTED_VALUE"""),"Golabz app/lab: ""&lt;p&gt;A tool where teachers can provide feedback to students&lt;/p&gt;\r\n""")</f>
        <v/>
      </c>
      <c r="F340" s="7" t="n"/>
      <c r="G340" s="8" t="n">
        <v>1</v>
      </c>
      <c r="H340" s="8" t="n">
        <v>0</v>
      </c>
      <c r="I340" s="8" t="n">
        <v>0</v>
      </c>
      <c r="J340" s="8" t="n">
        <v>0</v>
      </c>
      <c r="K340" s="9" t="n">
        <v>1</v>
      </c>
      <c r="L340" s="9" t="n">
        <v>0</v>
      </c>
      <c r="M340" s="9" t="n">
        <v>0</v>
      </c>
      <c r="N340" s="9" t="n">
        <v>0</v>
      </c>
      <c r="O340" s="10" t="n">
        <v>0</v>
      </c>
      <c r="P340" s="10" t="n">
        <v>0</v>
      </c>
      <c r="Q340" s="10" t="n">
        <v>0</v>
      </c>
      <c r="R340" s="10" t="n">
        <v>0</v>
      </c>
      <c r="S340" s="10" t="n">
        <v>1</v>
      </c>
    </row>
    <row r="341" ht="109" customHeight="1">
      <c r="A341" s="6">
        <f>IFERROR(__xludf.DUMMYFUNCTION("""COMPUTED_VALUE"""),"Transcription &amp; Translation")</f>
        <v/>
      </c>
      <c r="B341" s="6">
        <f>IFERROR(__xludf.DUMMYFUNCTION("""COMPUTED_VALUE"""),"Resource")</f>
        <v/>
      </c>
      <c r="C341" s="6">
        <f>IFERROR(__xludf.DUMMYFUNCTION("""COMPUTED_VALUE"""),"question ks5 2.graasp")</f>
        <v/>
      </c>
      <c r="D341" s="7">
        <f>IFERROR(__xludf.DUMMYFUNCTION("""COMPUTED_VALUE"""),"&lt;p&gt;In the box below describe what is missing in the animation that is needed for understanding the process of translation at KS 5 level:&lt;/p&gt;")</f>
        <v/>
      </c>
      <c r="E341" s="7">
        <f>IFERROR(__xludf.DUMMYFUNCTION("""COMPUTED_VALUE"""),"No artifact embedded")</f>
        <v/>
      </c>
      <c r="F341" s="7" t="n"/>
      <c r="G341" s="8" t="n">
        <v>0</v>
      </c>
      <c r="H341" s="8" t="n">
        <v>0</v>
      </c>
      <c r="I341" s="8" t="n">
        <v>1</v>
      </c>
      <c r="J341" s="8" t="n">
        <v>0</v>
      </c>
      <c r="K341" s="9" t="n">
        <v>0</v>
      </c>
      <c r="L341" s="9" t="n">
        <v>1</v>
      </c>
      <c r="M341" s="9" t="n">
        <v>0</v>
      </c>
      <c r="N341" s="9" t="n">
        <v>0</v>
      </c>
      <c r="O341" s="10" t="n">
        <v>0</v>
      </c>
      <c r="P341" s="10" t="n">
        <v>1</v>
      </c>
      <c r="Q341" s="10" t="n">
        <v>0</v>
      </c>
      <c r="R341" s="10" t="n">
        <v>0</v>
      </c>
      <c r="S341" s="10" t="n">
        <v>0</v>
      </c>
    </row>
    <row r="342" ht="329" customHeight="1">
      <c r="A342" s="6">
        <f>IFERROR(__xludf.DUMMYFUNCTION("""COMPUTED_VALUE"""),"Transcription &amp; Translation")</f>
        <v/>
      </c>
      <c r="B342" s="6">
        <f>IFERROR(__xludf.DUMMYFUNCTION("""COMPUTED_VALUE"""),"Application")</f>
        <v/>
      </c>
      <c r="C342" s="6">
        <f>IFERROR(__xludf.DUMMYFUNCTION("""COMPUTED_VALUE"""),"Input Box (3)")</f>
        <v/>
      </c>
      <c r="D342" s="7">
        <f>IFERROR(__xludf.DUMMYFUNCTION("""COMPUTED_VALUE"""),"No task description")</f>
        <v/>
      </c>
      <c r="E34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2" s="7" t="n"/>
      <c r="G342" s="8" t="n">
        <v>0</v>
      </c>
      <c r="H342" s="8" t="n">
        <v>0</v>
      </c>
      <c r="I342" s="8" t="n">
        <v>1</v>
      </c>
      <c r="J342" s="8" t="n">
        <v>0</v>
      </c>
      <c r="K342" s="9" t="n">
        <v>0</v>
      </c>
      <c r="L342" s="9" t="n">
        <v>1</v>
      </c>
      <c r="M342" s="9" t="n">
        <v>0</v>
      </c>
      <c r="N342" s="9" t="n">
        <v>0</v>
      </c>
      <c r="O342" s="10" t="n">
        <v>0</v>
      </c>
      <c r="P342" s="10" t="n">
        <v>0</v>
      </c>
      <c r="Q342" s="10" t="n">
        <v>0</v>
      </c>
      <c r="R342" s="10" t="n">
        <v>0</v>
      </c>
      <c r="S342" s="10" t="n">
        <v>0</v>
      </c>
    </row>
    <row r="343" ht="73" customHeight="1">
      <c r="A343" s="6">
        <f>IFERROR(__xludf.DUMMYFUNCTION("""COMPUTED_VALUE"""),"Transcription &amp; Translation")</f>
        <v/>
      </c>
      <c r="B343" s="6">
        <f>IFERROR(__xludf.DUMMYFUNCTION("""COMPUTED_VALUE"""),"Application")</f>
        <v/>
      </c>
      <c r="C343" s="6">
        <f>IFERROR(__xludf.DUMMYFUNCTION("""COMPUTED_VALUE"""),"Teacher Feedback (3)")</f>
        <v/>
      </c>
      <c r="D343" s="7">
        <f>IFERROR(__xludf.DUMMYFUNCTION("""COMPUTED_VALUE"""),"No task description")</f>
        <v/>
      </c>
      <c r="E343" s="7">
        <f>IFERROR(__xludf.DUMMYFUNCTION("""COMPUTED_VALUE"""),"Golabz app/lab: ""&lt;p&gt;A tool where teachers can provide feedback to students&lt;/p&gt;\r\n""")</f>
        <v/>
      </c>
      <c r="F343" s="7" t="n"/>
      <c r="G343" s="8" t="n">
        <v>1</v>
      </c>
      <c r="H343" s="8" t="n">
        <v>0</v>
      </c>
      <c r="I343" s="8" t="n">
        <v>0</v>
      </c>
      <c r="J343" s="8" t="n">
        <v>0</v>
      </c>
      <c r="K343" s="9" t="n">
        <v>1</v>
      </c>
      <c r="L343" s="9" t="n">
        <v>0</v>
      </c>
      <c r="M343" s="9" t="n">
        <v>0</v>
      </c>
      <c r="N343" s="9" t="n">
        <v>0</v>
      </c>
      <c r="O343" s="10" t="n">
        <v>0</v>
      </c>
      <c r="P343" s="10" t="n">
        <v>0</v>
      </c>
      <c r="Q343" s="10" t="n">
        <v>0</v>
      </c>
      <c r="R343" s="10" t="n">
        <v>0</v>
      </c>
      <c r="S343" s="10" t="n">
        <v>1</v>
      </c>
    </row>
    <row r="344" ht="37" customHeight="1">
      <c r="A344" s="6">
        <f>IFERROR(__xludf.DUMMYFUNCTION("""COMPUTED_VALUE"""),"Transcription &amp; Translation")</f>
        <v/>
      </c>
      <c r="B344" s="6">
        <f>IFERROR(__xludf.DUMMYFUNCTION("""COMPUTED_VALUE"""),"Space")</f>
        <v/>
      </c>
      <c r="C344" s="6">
        <f>IFERROR(__xludf.DUMMYFUNCTION("""COMPUTED_VALUE"""),"Conclusion")</f>
        <v/>
      </c>
      <c r="D344" s="7">
        <f>IFERROR(__xludf.DUMMYFUNCTION("""COMPUTED_VALUE"""),"This is the Conclusion phase.")</f>
        <v/>
      </c>
      <c r="E344" s="7">
        <f>IFERROR(__xludf.DUMMYFUNCTION("""COMPUTED_VALUE"""),"No artifact embedded")</f>
        <v/>
      </c>
      <c r="F344" s="7" t="n"/>
      <c r="G344" s="8" t="n">
        <v>0</v>
      </c>
      <c r="H344" s="8" t="n">
        <v>0</v>
      </c>
      <c r="I344" s="8" t="n">
        <v>0</v>
      </c>
      <c r="J344" s="8" t="n">
        <v>0</v>
      </c>
      <c r="K344" s="9" t="n">
        <v>0</v>
      </c>
      <c r="L344" s="9" t="n">
        <v>0</v>
      </c>
      <c r="M344" s="9" t="n">
        <v>0</v>
      </c>
      <c r="N344" s="9" t="n">
        <v>0</v>
      </c>
      <c r="O344" s="10" t="n">
        <v>0</v>
      </c>
      <c r="P344" s="10" t="n">
        <v>0</v>
      </c>
      <c r="Q344" s="10" t="n">
        <v>0</v>
      </c>
      <c r="R344" s="10" t="n">
        <v>0</v>
      </c>
      <c r="S344" s="10" t="n">
        <v>0</v>
      </c>
    </row>
    <row r="345" ht="61" customHeight="1">
      <c r="A345" s="6">
        <f>IFERROR(__xludf.DUMMYFUNCTION("""COMPUTED_VALUE"""),"Transcription &amp; Translation")</f>
        <v/>
      </c>
      <c r="B345" s="6">
        <f>IFERROR(__xludf.DUMMYFUNCTION("""COMPUTED_VALUE"""),"Resource")</f>
        <v/>
      </c>
      <c r="C345" s="6">
        <f>IFERROR(__xludf.DUMMYFUNCTION("""COMPUTED_VALUE"""),"Conclusion 1.graasp")</f>
        <v/>
      </c>
      <c r="D345" s="7">
        <f>IFERROR(__xludf.DUMMYFUNCTION("""COMPUTED_VALUE"""),"&lt;p&gt;Write a short conclusion on the main things you have learned today&lt;/p&gt;")</f>
        <v/>
      </c>
      <c r="E345" s="7">
        <f>IFERROR(__xludf.DUMMYFUNCTION("""COMPUTED_VALUE"""),"No artifact embedded")</f>
        <v/>
      </c>
      <c r="F345" s="7" t="n"/>
      <c r="G345" s="8" t="n">
        <v>0</v>
      </c>
      <c r="H345" s="8" t="n">
        <v>0</v>
      </c>
      <c r="I345" s="8" t="n">
        <v>1</v>
      </c>
      <c r="J345" s="8" t="n">
        <v>0</v>
      </c>
      <c r="K345" s="9" t="n">
        <v>0</v>
      </c>
      <c r="L345" s="9" t="n">
        <v>1</v>
      </c>
      <c r="M345" s="9" t="n">
        <v>0</v>
      </c>
      <c r="N345" s="9" t="n">
        <v>0</v>
      </c>
      <c r="O345" s="10" t="n">
        <v>0</v>
      </c>
      <c r="P345" s="10" t="n">
        <v>0</v>
      </c>
      <c r="Q345" s="10" t="n">
        <v>0</v>
      </c>
      <c r="R345" s="10" t="n">
        <v>1</v>
      </c>
      <c r="S345" s="10" t="n">
        <v>0</v>
      </c>
    </row>
    <row r="346" ht="329" customHeight="1">
      <c r="A346" s="6">
        <f>IFERROR(__xludf.DUMMYFUNCTION("""COMPUTED_VALUE"""),"Transcription &amp; Translation")</f>
        <v/>
      </c>
      <c r="B346" s="6">
        <f>IFERROR(__xludf.DUMMYFUNCTION("""COMPUTED_VALUE"""),"Application")</f>
        <v/>
      </c>
      <c r="C346" s="6">
        <f>IFERROR(__xludf.DUMMYFUNCTION("""COMPUTED_VALUE"""),"Input Box")</f>
        <v/>
      </c>
      <c r="D346" s="7">
        <f>IFERROR(__xludf.DUMMYFUNCTION("""COMPUTED_VALUE"""),"No task description")</f>
        <v/>
      </c>
      <c r="E3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6" s="7" t="n"/>
      <c r="G346" s="8" t="n">
        <v>0</v>
      </c>
      <c r="H346" s="8" t="n">
        <v>0</v>
      </c>
      <c r="I346" s="8" t="n">
        <v>1</v>
      </c>
      <c r="J346" s="8" t="n">
        <v>0</v>
      </c>
      <c r="K346" s="9" t="n">
        <v>0</v>
      </c>
      <c r="L346" s="9" t="n">
        <v>1</v>
      </c>
      <c r="M346" s="9" t="n">
        <v>0</v>
      </c>
      <c r="N346" s="9" t="n">
        <v>0</v>
      </c>
      <c r="O346" s="10" t="n">
        <v>0</v>
      </c>
      <c r="P346" s="10" t="n">
        <v>0</v>
      </c>
      <c r="Q346" s="10" t="n">
        <v>0</v>
      </c>
      <c r="R346" s="10" t="n">
        <v>0</v>
      </c>
      <c r="S346" s="10" t="n">
        <v>0</v>
      </c>
    </row>
    <row r="347" ht="73" customHeight="1">
      <c r="A347" s="6">
        <f>IFERROR(__xludf.DUMMYFUNCTION("""COMPUTED_VALUE"""),"Transcription &amp; Translation")</f>
        <v/>
      </c>
      <c r="B347" s="6">
        <f>IFERROR(__xludf.DUMMYFUNCTION("""COMPUTED_VALUE"""),"Application")</f>
        <v/>
      </c>
      <c r="C347" s="6">
        <f>IFERROR(__xludf.DUMMYFUNCTION("""COMPUTED_VALUE"""),"Teacher Feedback")</f>
        <v/>
      </c>
      <c r="D347" s="7">
        <f>IFERROR(__xludf.DUMMYFUNCTION("""COMPUTED_VALUE"""),"No task description")</f>
        <v/>
      </c>
      <c r="E347" s="7">
        <f>IFERROR(__xludf.DUMMYFUNCTION("""COMPUTED_VALUE"""),"Golabz app/lab: ""&lt;p&gt;A tool where teachers can provide feedback to students&lt;/p&gt;\r\n""")</f>
        <v/>
      </c>
      <c r="F347" s="7" t="n"/>
      <c r="G347" s="8" t="n">
        <v>1</v>
      </c>
      <c r="H347" s="8" t="n">
        <v>0</v>
      </c>
      <c r="I347" s="8" t="n">
        <v>0</v>
      </c>
      <c r="J347" s="8" t="n">
        <v>0</v>
      </c>
      <c r="K347" s="9" t="n">
        <v>1</v>
      </c>
      <c r="L347" s="9" t="n">
        <v>0</v>
      </c>
      <c r="M347" s="9" t="n">
        <v>0</v>
      </c>
      <c r="N347" s="9" t="n">
        <v>0</v>
      </c>
      <c r="O347" s="10" t="n">
        <v>0</v>
      </c>
      <c r="P347" s="10" t="n">
        <v>0</v>
      </c>
      <c r="Q347" s="10" t="n">
        <v>0</v>
      </c>
      <c r="R347" s="10" t="n">
        <v>0</v>
      </c>
      <c r="S347" s="10" t="n">
        <v>1</v>
      </c>
    </row>
    <row r="348" ht="37" customHeight="1">
      <c r="A348" s="6">
        <f>IFERROR(__xludf.DUMMYFUNCTION("""COMPUTED_VALUE"""),"Transcription &amp; Translation")</f>
        <v/>
      </c>
      <c r="B348" s="6">
        <f>IFERROR(__xludf.DUMMYFUNCTION("""COMPUTED_VALUE"""),"Space")</f>
        <v/>
      </c>
      <c r="C348" s="6">
        <f>IFERROR(__xludf.DUMMYFUNCTION("""COMPUTED_VALUE"""),"Discussion")</f>
        <v/>
      </c>
      <c r="D348" s="7">
        <f>IFERROR(__xludf.DUMMYFUNCTION("""COMPUTED_VALUE"""),"This is the Discussion phase.")</f>
        <v/>
      </c>
      <c r="E348" s="7">
        <f>IFERROR(__xludf.DUMMYFUNCTION("""COMPUTED_VALUE"""),"No artifact embedded")</f>
        <v/>
      </c>
      <c r="F348" s="7" t="n"/>
      <c r="G348" s="8" t="n">
        <v>0</v>
      </c>
      <c r="H348" s="8" t="n">
        <v>0</v>
      </c>
      <c r="I348" s="8" t="n">
        <v>0</v>
      </c>
      <c r="J348" s="8" t="n">
        <v>0</v>
      </c>
      <c r="K348" s="9" t="n">
        <v>0</v>
      </c>
      <c r="L348" s="9" t="n">
        <v>0</v>
      </c>
      <c r="M348" s="9" t="n">
        <v>0</v>
      </c>
      <c r="N348" s="9" t="n">
        <v>0</v>
      </c>
      <c r="O348" s="10" t="n">
        <v>0</v>
      </c>
      <c r="P348" s="10" t="n">
        <v>0</v>
      </c>
      <c r="Q348" s="10" t="n">
        <v>0</v>
      </c>
      <c r="R348" s="10" t="n">
        <v>0</v>
      </c>
      <c r="S348" s="10" t="n">
        <v>0</v>
      </c>
    </row>
    <row r="349" ht="362" customHeight="1">
      <c r="A349" s="6">
        <f>IFERROR(__xludf.DUMMYFUNCTION("""COMPUTED_VALUE"""),"Transcription &amp; Translation")</f>
        <v/>
      </c>
      <c r="B349" s="6">
        <f>IFERROR(__xludf.DUMMYFUNCTION("""COMPUTED_VALUE"""),"Resource")</f>
        <v/>
      </c>
      <c r="C349" s="6">
        <f>IFERROR(__xludf.DUMMYFUNCTION("""COMPUTED_VALUE"""),"Discussion 1.graasp")</f>
        <v/>
      </c>
      <c r="D349" s="7">
        <f>IFERROR(__xludf.DUMMYFUNCTION("""COMPUTED_VALUE"""),"&lt;p&gt;&lt;strong&gt;Cells use the two-step process of transcription and translation to read each gene and produce a string of amino acids that makes up a protein. The role of transcription and translation can be linked to other processes within a living organism.&lt;"&amp;"/strong&gt;&lt;/p&gt;&lt;p&gt;&lt;br&gt;&lt;/p&gt;&lt;p&gt;Discuss the link between the two-step process and enzyme activity in a living organism. Use the video below to help you explain the structure and function of enzymes.&lt;/p&gt;")</f>
        <v/>
      </c>
      <c r="E349" s="7">
        <f>IFERROR(__xludf.DUMMYFUNCTION("""COMPUTED_VALUE"""),"No artifact embedded")</f>
        <v/>
      </c>
      <c r="F349" s="7" t="n"/>
      <c r="G349" s="8" t="n">
        <v>0</v>
      </c>
      <c r="H349" s="8" t="n">
        <v>0</v>
      </c>
      <c r="I349" s="8" t="n">
        <v>1</v>
      </c>
      <c r="J349" s="8" t="n">
        <v>0</v>
      </c>
      <c r="K349" s="9" t="n">
        <v>0</v>
      </c>
      <c r="L349" s="9" t="n">
        <v>1</v>
      </c>
      <c r="M349" s="9" t="n">
        <v>0</v>
      </c>
      <c r="N349" s="9" t="n">
        <v>0</v>
      </c>
      <c r="O349" s="10" t="n">
        <v>0</v>
      </c>
      <c r="P349" s="10" t="n">
        <v>0</v>
      </c>
      <c r="Q349" s="10" t="n">
        <v>0</v>
      </c>
      <c r="R349" s="10" t="n">
        <v>0</v>
      </c>
      <c r="S349" s="10" t="n">
        <v>1</v>
      </c>
    </row>
    <row r="350" ht="121" customHeight="1">
      <c r="A350" s="6">
        <f>IFERROR(__xludf.DUMMYFUNCTION("""COMPUTED_VALUE"""),"Transcription &amp; Translation")</f>
        <v/>
      </c>
      <c r="B350" s="6">
        <f>IFERROR(__xludf.DUMMYFUNCTION("""COMPUTED_VALUE"""),"Resource")</f>
        <v/>
      </c>
      <c r="C350" s="6">
        <f>IFERROR(__xludf.DUMMYFUNCTION("""COMPUTED_VALUE"""),"Enzyme Function | University Of Surrey")</f>
        <v/>
      </c>
      <c r="D350" s="7">
        <f>IFERROR(__xludf.DUMMYFUNCTION("""COMPUTED_VALUE"""),"No task description")</f>
        <v/>
      </c>
      <c r="E350" s="7">
        <f>IFERROR(__xludf.DUMMYFUNCTION("""COMPUTED_VALUE"""),"youtube.com: A widely known video-sharing platform where users can watch videos on a vast array of topics, including educational content.")</f>
        <v/>
      </c>
      <c r="F350" s="7" t="n"/>
      <c r="G350" s="8" t="n">
        <v>1</v>
      </c>
      <c r="H350" s="8" t="n">
        <v>0</v>
      </c>
      <c r="I350" s="8" t="n">
        <v>0</v>
      </c>
      <c r="J350" s="8" t="n">
        <v>0</v>
      </c>
      <c r="K350" s="9" t="n">
        <v>1</v>
      </c>
      <c r="L350" s="9" t="n">
        <v>0</v>
      </c>
      <c r="M350" s="9" t="n">
        <v>0</v>
      </c>
      <c r="N350" s="9" t="n">
        <v>0</v>
      </c>
      <c r="O350" s="10" t="n">
        <v>0</v>
      </c>
      <c r="P350" s="10" t="n">
        <v>0</v>
      </c>
      <c r="Q350" s="10" t="n">
        <v>0</v>
      </c>
      <c r="R350" s="10" t="n">
        <v>0</v>
      </c>
      <c r="S350" s="10" t="n">
        <v>0</v>
      </c>
    </row>
    <row r="351" ht="329" customHeight="1">
      <c r="A351" s="6">
        <f>IFERROR(__xludf.DUMMYFUNCTION("""COMPUTED_VALUE"""),"Transcription &amp; Translation")</f>
        <v/>
      </c>
      <c r="B351" s="6">
        <f>IFERROR(__xludf.DUMMYFUNCTION("""COMPUTED_VALUE"""),"Application")</f>
        <v/>
      </c>
      <c r="C351" s="6">
        <f>IFERROR(__xludf.DUMMYFUNCTION("""COMPUTED_VALUE"""),"Input Box")</f>
        <v/>
      </c>
      <c r="D351" s="7">
        <f>IFERROR(__xludf.DUMMYFUNCTION("""COMPUTED_VALUE"""),"No task description")</f>
        <v/>
      </c>
      <c r="E3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1" s="7" t="n"/>
      <c r="G351" s="8" t="n">
        <v>0</v>
      </c>
      <c r="H351" s="8" t="n">
        <v>0</v>
      </c>
      <c r="I351" s="8" t="n">
        <v>1</v>
      </c>
      <c r="J351" s="8" t="n">
        <v>0</v>
      </c>
      <c r="K351" s="9" t="n">
        <v>0</v>
      </c>
      <c r="L351" s="9" t="n">
        <v>1</v>
      </c>
      <c r="M351" s="9" t="n">
        <v>0</v>
      </c>
      <c r="N351" s="9" t="n">
        <v>0</v>
      </c>
      <c r="O351" s="10" t="n">
        <v>0</v>
      </c>
      <c r="P351" s="10" t="n">
        <v>0</v>
      </c>
      <c r="Q351" s="10" t="n">
        <v>0</v>
      </c>
      <c r="R351" s="10" t="n">
        <v>0</v>
      </c>
      <c r="S351" s="10" t="n">
        <v>0</v>
      </c>
    </row>
    <row r="352" ht="73" customHeight="1">
      <c r="A352" s="6">
        <f>IFERROR(__xludf.DUMMYFUNCTION("""COMPUTED_VALUE"""),"Transcription &amp; Translation")</f>
        <v/>
      </c>
      <c r="B352" s="6">
        <f>IFERROR(__xludf.DUMMYFUNCTION("""COMPUTED_VALUE"""),"Application")</f>
        <v/>
      </c>
      <c r="C352" s="6">
        <f>IFERROR(__xludf.DUMMYFUNCTION("""COMPUTED_VALUE"""),"Teacher Feedback")</f>
        <v/>
      </c>
      <c r="D352" s="7">
        <f>IFERROR(__xludf.DUMMYFUNCTION("""COMPUTED_VALUE"""),"No task description")</f>
        <v/>
      </c>
      <c r="E352" s="7">
        <f>IFERROR(__xludf.DUMMYFUNCTION("""COMPUTED_VALUE"""),"Golabz app/lab: ""&lt;p&gt;A tool where teachers can provide feedback to students&lt;/p&gt;\r\n""")</f>
        <v/>
      </c>
      <c r="F352" s="7" t="n"/>
      <c r="G352" s="8" t="n">
        <v>1</v>
      </c>
      <c r="H352" s="8" t="n">
        <v>0</v>
      </c>
      <c r="I352" s="8" t="n">
        <v>0</v>
      </c>
      <c r="J352" s="8" t="n">
        <v>0</v>
      </c>
      <c r="K352" s="9" t="n">
        <v>1</v>
      </c>
      <c r="L352" s="9" t="n">
        <v>0</v>
      </c>
      <c r="M352" s="9" t="n">
        <v>0</v>
      </c>
      <c r="N352" s="9" t="n">
        <v>0</v>
      </c>
      <c r="O352" s="10" t="n">
        <v>0</v>
      </c>
      <c r="P352" s="10" t="n">
        <v>0</v>
      </c>
      <c r="Q352" s="10" t="n">
        <v>0</v>
      </c>
      <c r="R352" s="10" t="n">
        <v>0</v>
      </c>
      <c r="S352" s="10" t="n">
        <v>1</v>
      </c>
    </row>
    <row r="353" ht="109" customHeight="1">
      <c r="A353" s="6">
        <f>IFERROR(__xludf.DUMMYFUNCTION("""COMPUTED_VALUE"""),"Transcription &amp; Translation")</f>
        <v/>
      </c>
      <c r="B353" s="6">
        <f>IFERROR(__xludf.DUMMYFUNCTION("""COMPUTED_VALUE"""),"Resource")</f>
        <v/>
      </c>
      <c r="C353" s="6">
        <f>IFERROR(__xludf.DUMMYFUNCTION("""COMPUTED_VALUE"""),"Discussion 2.graasp")</f>
        <v/>
      </c>
      <c r="D353" s="7">
        <f>IFERROR(__xludf.DUMMYFUNCTION("""COMPUTED_VALUE"""),"&lt;p&gt;Discuss the role of transcription and translation in &lt;strong&gt;&lt;em&gt;two&lt;/em&gt;&lt;/strong&gt; other processes within a living organism.&lt;/p&gt;")</f>
        <v/>
      </c>
      <c r="E353" s="7">
        <f>IFERROR(__xludf.DUMMYFUNCTION("""COMPUTED_VALUE"""),"No artifact embedded")</f>
        <v/>
      </c>
      <c r="F353" s="7" t="n"/>
      <c r="G353" s="8" t="n">
        <v>0</v>
      </c>
      <c r="H353" s="8" t="n">
        <v>0</v>
      </c>
      <c r="I353" s="8" t="n">
        <v>1</v>
      </c>
      <c r="J353" s="8" t="n">
        <v>0</v>
      </c>
      <c r="K353" s="9" t="n">
        <v>0</v>
      </c>
      <c r="L353" s="9" t="n">
        <v>1</v>
      </c>
      <c r="M353" s="9" t="n">
        <v>0</v>
      </c>
      <c r="N353" s="9" t="n">
        <v>0</v>
      </c>
      <c r="O353" s="10" t="n">
        <v>0</v>
      </c>
      <c r="P353" s="10" t="n">
        <v>0</v>
      </c>
      <c r="Q353" s="10" t="n">
        <v>0</v>
      </c>
      <c r="R353" s="10" t="n">
        <v>0</v>
      </c>
      <c r="S353" s="10" t="n">
        <v>1</v>
      </c>
    </row>
    <row r="354" ht="329" customHeight="1">
      <c r="A354" s="6">
        <f>IFERROR(__xludf.DUMMYFUNCTION("""COMPUTED_VALUE"""),"Transcription &amp; Translation")</f>
        <v/>
      </c>
      <c r="B354" s="6">
        <f>IFERROR(__xludf.DUMMYFUNCTION("""COMPUTED_VALUE"""),"Application")</f>
        <v/>
      </c>
      <c r="C354" s="6">
        <f>IFERROR(__xludf.DUMMYFUNCTION("""COMPUTED_VALUE"""),"Input Box (1)")</f>
        <v/>
      </c>
      <c r="D354" s="7">
        <f>IFERROR(__xludf.DUMMYFUNCTION("""COMPUTED_VALUE"""),"No task description")</f>
        <v/>
      </c>
      <c r="E35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4" s="7" t="n"/>
      <c r="G354" s="8" t="n">
        <v>0</v>
      </c>
      <c r="H354" s="8" t="n">
        <v>0</v>
      </c>
      <c r="I354" s="8" t="n">
        <v>1</v>
      </c>
      <c r="J354" s="8" t="n">
        <v>0</v>
      </c>
      <c r="K354" s="9" t="n">
        <v>0</v>
      </c>
      <c r="L354" s="9" t="n">
        <v>1</v>
      </c>
      <c r="M354" s="9" t="n">
        <v>0</v>
      </c>
      <c r="N354" s="9" t="n">
        <v>0</v>
      </c>
      <c r="O354" s="10" t="n">
        <v>0</v>
      </c>
      <c r="P354" s="10" t="n">
        <v>0</v>
      </c>
      <c r="Q354" s="10" t="n">
        <v>0</v>
      </c>
      <c r="R354" s="10" t="n">
        <v>0</v>
      </c>
      <c r="S354" s="10" t="n">
        <v>0</v>
      </c>
    </row>
    <row r="355" ht="73" customHeight="1">
      <c r="A355" s="6">
        <f>IFERROR(__xludf.DUMMYFUNCTION("""COMPUTED_VALUE"""),"Transcription &amp; Translation")</f>
        <v/>
      </c>
      <c r="B355" s="6">
        <f>IFERROR(__xludf.DUMMYFUNCTION("""COMPUTED_VALUE"""),"Application")</f>
        <v/>
      </c>
      <c r="C355" s="6">
        <f>IFERROR(__xludf.DUMMYFUNCTION("""COMPUTED_VALUE"""),"Teacher Feedback (1)")</f>
        <v/>
      </c>
      <c r="D355" s="7">
        <f>IFERROR(__xludf.DUMMYFUNCTION("""COMPUTED_VALUE"""),"No task description")</f>
        <v/>
      </c>
      <c r="E355" s="7">
        <f>IFERROR(__xludf.DUMMYFUNCTION("""COMPUTED_VALUE"""),"Golabz app/lab: ""&lt;p&gt;A tool where teachers can provide feedback to students&lt;/p&gt;\r\n""")</f>
        <v/>
      </c>
      <c r="F355" s="7" t="n"/>
      <c r="G355" s="8" t="n">
        <v>1</v>
      </c>
      <c r="H355" s="8" t="n">
        <v>0</v>
      </c>
      <c r="I355" s="8" t="n">
        <v>0</v>
      </c>
      <c r="J355" s="8" t="n">
        <v>0</v>
      </c>
      <c r="K355" s="9" t="n">
        <v>1</v>
      </c>
      <c r="L355" s="9" t="n">
        <v>0</v>
      </c>
      <c r="M355" s="9" t="n">
        <v>0</v>
      </c>
      <c r="N355" s="9" t="n">
        <v>0</v>
      </c>
      <c r="O355" s="10" t="n">
        <v>0</v>
      </c>
      <c r="P355" s="10" t="n">
        <v>0</v>
      </c>
      <c r="Q355" s="10" t="n">
        <v>0</v>
      </c>
      <c r="R355" s="10" t="n">
        <v>0</v>
      </c>
      <c r="S355" s="10" t="n">
        <v>1</v>
      </c>
    </row>
    <row r="356" ht="85" customHeight="1">
      <c r="A356" s="6">
        <f>IFERROR(__xludf.DUMMYFUNCTION("""COMPUTED_VALUE"""),"Managing a Haber Process Plant")</f>
        <v/>
      </c>
      <c r="B356" s="6">
        <f>IFERROR(__xludf.DUMMYFUNCTION("""COMPUTED_VALUE"""),"Space")</f>
        <v/>
      </c>
      <c r="C356" s="6">
        <f>IFERROR(__xludf.DUMMYFUNCTION("""COMPUTED_VALUE"""),"Orientation")</f>
        <v/>
      </c>
      <c r="D356" s="7">
        <f>IFERROR(__xludf.DUMMYFUNCTION("""COMPUTED_VALUE"""),"&lt;p&gt;THE HABER PROCESS - the chemical reaction that feeds the world&lt;/p&gt;")</f>
        <v/>
      </c>
      <c r="E356" s="7">
        <f>IFERROR(__xludf.DUMMYFUNCTION("""COMPUTED_VALUE"""),"No artifact embedded")</f>
        <v/>
      </c>
      <c r="F356" s="7" t="n"/>
      <c r="G356" s="8" t="n">
        <v>0</v>
      </c>
      <c r="H356" s="8" t="n">
        <v>0</v>
      </c>
      <c r="I356" s="8" t="n">
        <v>0</v>
      </c>
      <c r="J356" s="8" t="n">
        <v>0</v>
      </c>
      <c r="K356" s="9" t="n">
        <v>0</v>
      </c>
      <c r="L356" s="9" t="n">
        <v>0</v>
      </c>
      <c r="M356" s="9" t="n">
        <v>0</v>
      </c>
      <c r="N356" s="9" t="n">
        <v>0</v>
      </c>
      <c r="O356" s="10" t="n">
        <v>0</v>
      </c>
      <c r="P356" s="10" t="n">
        <v>0</v>
      </c>
      <c r="Q356" s="10" t="n">
        <v>0</v>
      </c>
      <c r="R356" s="10" t="n">
        <v>0</v>
      </c>
      <c r="S356" s="10" t="n">
        <v>0</v>
      </c>
    </row>
    <row r="357" ht="121" customHeight="1">
      <c r="A357" s="6">
        <f>IFERROR(__xludf.DUMMYFUNCTION("""COMPUTED_VALUE"""),"Managing a Haber Process Plant")</f>
        <v/>
      </c>
      <c r="B357" s="6">
        <f>IFERROR(__xludf.DUMMYFUNCTION("""COMPUTED_VALUE"""),"Resource")</f>
        <v/>
      </c>
      <c r="C357" s="6">
        <f>IFERROR(__xludf.DUMMYFUNCTION("""COMPUTED_VALUE"""),"The chemical reaction that feeds the world - Daniel D. Dulek.mp4")</f>
        <v/>
      </c>
      <c r="D357" s="7">
        <f>IFERROR(__xludf.DUMMYFUNCTION("""COMPUTED_VALUE"""),"No task description")</f>
        <v/>
      </c>
      <c r="E357" s="7">
        <f>IFERROR(__xludf.DUMMYFUNCTION("""COMPUTED_VALUE"""),"video/mp4 – A video file containing moving images and possibly audio, suitable for playback on most modern devices and platforms.")</f>
        <v/>
      </c>
      <c r="F357" s="7" t="n"/>
      <c r="G357" s="8" t="n">
        <v>1</v>
      </c>
      <c r="H357" s="8" t="n">
        <v>0</v>
      </c>
      <c r="I357" s="8" t="n">
        <v>0</v>
      </c>
      <c r="J357" s="8" t="n">
        <v>0</v>
      </c>
      <c r="K357" s="9" t="n">
        <v>1</v>
      </c>
      <c r="L357" s="9" t="n">
        <v>0</v>
      </c>
      <c r="M357" s="9" t="n">
        <v>0</v>
      </c>
      <c r="N357" s="9" t="n">
        <v>0</v>
      </c>
      <c r="O357" s="10" t="n">
        <v>0</v>
      </c>
      <c r="P357" s="10" t="n">
        <v>0</v>
      </c>
      <c r="Q357" s="10" t="n">
        <v>0</v>
      </c>
      <c r="R357" s="10" t="n">
        <v>0</v>
      </c>
      <c r="S357" s="10" t="n">
        <v>0</v>
      </c>
    </row>
    <row r="358" ht="61" customHeight="1">
      <c r="A358" s="6">
        <f>IFERROR(__xludf.DUMMYFUNCTION("""COMPUTED_VALUE"""),"Managing a Haber Process Plant")</f>
        <v/>
      </c>
      <c r="B358" s="6">
        <f>IFERROR(__xludf.DUMMYFUNCTION("""COMPUTED_VALUE"""),"Space")</f>
        <v/>
      </c>
      <c r="C358" s="6">
        <f>IFERROR(__xludf.DUMMYFUNCTION("""COMPUTED_VALUE"""),"Conceptualisation")</f>
        <v/>
      </c>
      <c r="D358" s="7">
        <f>IFERROR(__xludf.DUMMYFUNCTION("""COMPUTED_VALUE"""),"&lt;p&gt;Manage the plant to produce as much ammonia as possible&lt;/p&gt;")</f>
        <v/>
      </c>
      <c r="E358" s="7">
        <f>IFERROR(__xludf.DUMMYFUNCTION("""COMPUTED_VALUE"""),"No artifact embedded")</f>
        <v/>
      </c>
      <c r="F358" s="7" t="n"/>
      <c r="G358" s="8" t="n">
        <v>0</v>
      </c>
      <c r="H358" s="8" t="n">
        <v>1</v>
      </c>
      <c r="I358" s="8" t="n">
        <v>0</v>
      </c>
      <c r="J358" s="8" t="n">
        <v>0</v>
      </c>
      <c r="K358" s="9" t="n">
        <v>1</v>
      </c>
      <c r="L358" s="9" t="n">
        <v>0</v>
      </c>
      <c r="M358" s="9" t="n">
        <v>0</v>
      </c>
      <c r="N358" s="9" t="n">
        <v>0</v>
      </c>
      <c r="O358" s="10" t="n">
        <v>0</v>
      </c>
      <c r="P358" s="10" t="n">
        <v>0</v>
      </c>
      <c r="Q358" s="10" t="n">
        <v>1</v>
      </c>
      <c r="R358" s="10" t="n">
        <v>0</v>
      </c>
      <c r="S358" s="10" t="n">
        <v>0</v>
      </c>
    </row>
    <row r="359" ht="409.5" customHeight="1">
      <c r="A359" s="6">
        <f>IFERROR(__xludf.DUMMYFUNCTION("""COMPUTED_VALUE"""),"Managing a Haber Process Plant")</f>
        <v/>
      </c>
      <c r="B359" s="6">
        <f>IFERROR(__xludf.DUMMYFUNCTION("""COMPUTED_VALUE"""),"Resource")</f>
        <v/>
      </c>
      <c r="C359" s="6">
        <f>IFERROR(__xludf.DUMMYFUNCTION("""COMPUTED_VALUE"""),"Managing the plant.graasp")</f>
        <v/>
      </c>
      <c r="D359" s="7">
        <f>IFERROR(__xludf.DUMMYFUNCTION("""COMPUTED_VALUE"""),"&lt;p&gt;Use the Haber process to synthesize ammonia (NH3) from nitrogen (N2) and hydrogen (H2), according to the following balanced chemical equation:&lt;/p&gt;&lt;p&gt;&lt;br&gt;&lt;/p&gt;&lt;p&gt;  N2(g) + 3H2(g)  →2NH3(g)&lt;br&gt;&lt;br&gt;&lt;/p&gt;&lt;p&gt;As the manager of the plant, your job is to produce"&amp;" the maximum amount of NH3 for the least amount of money during each 24-hour shift.&lt;/p&gt;&lt;p&gt;&lt;br&gt;You can adjust several independent variables using the Control Panel and analyze the results (including yield, time to equilibrium, and net profit) on the output"&amp;" monitor. You’ll want to vary each independent variable to determine how it affects the results.&lt;/p&gt;")</f>
        <v/>
      </c>
      <c r="E359" s="7">
        <f>IFERROR(__xludf.DUMMYFUNCTION("""COMPUTED_VALUE"""),"No artifact embedded")</f>
        <v/>
      </c>
      <c r="F359" s="7" t="n"/>
      <c r="G359" s="8" t="n">
        <v>0</v>
      </c>
      <c r="H359" s="8" t="n">
        <v>1</v>
      </c>
      <c r="I359" s="8" t="n">
        <v>0</v>
      </c>
      <c r="J359" s="8" t="n">
        <v>0</v>
      </c>
      <c r="K359" s="9" t="n">
        <v>1</v>
      </c>
      <c r="L359" s="9" t="n">
        <v>0</v>
      </c>
      <c r="M359" s="9" t="n">
        <v>0</v>
      </c>
      <c r="N359" s="9" t="n">
        <v>0</v>
      </c>
      <c r="O359" s="10" t="n">
        <v>0</v>
      </c>
      <c r="P359" s="10" t="n">
        <v>0</v>
      </c>
      <c r="Q359" s="10" t="n">
        <v>1</v>
      </c>
      <c r="R359" s="10" t="n">
        <v>0</v>
      </c>
      <c r="S359" s="10" t="n">
        <v>0</v>
      </c>
    </row>
    <row r="360" ht="61" customHeight="1">
      <c r="A360" s="6">
        <f>IFERROR(__xludf.DUMMYFUNCTION("""COMPUTED_VALUE"""),"Managing a Haber Process Plant")</f>
        <v/>
      </c>
      <c r="B360" s="6">
        <f>IFERROR(__xludf.DUMMYFUNCTION("""COMPUTED_VALUE"""),"Space")</f>
        <v/>
      </c>
      <c r="C360" s="6">
        <f>IFERROR(__xludf.DUMMYFUNCTION("""COMPUTED_VALUE"""),"Investigation")</f>
        <v/>
      </c>
      <c r="D360" s="7">
        <f>IFERROR(__xludf.DUMMYFUNCTION("""COMPUTED_VALUE"""),"&lt;p&gt;Write your hypothesis re the effect of pressure on the yield of ammonia&lt;/p&gt;")</f>
        <v/>
      </c>
      <c r="E360" s="7">
        <f>IFERROR(__xludf.DUMMYFUNCTION("""COMPUTED_VALUE"""),"No artifact embedded")</f>
        <v/>
      </c>
      <c r="F360" s="7" t="n"/>
      <c r="G360" s="8" t="n">
        <v>0</v>
      </c>
      <c r="H360" s="8" t="n">
        <v>0</v>
      </c>
      <c r="I360" s="8" t="n">
        <v>1</v>
      </c>
      <c r="J360" s="8" t="n">
        <v>0</v>
      </c>
      <c r="K360" s="9" t="n">
        <v>0</v>
      </c>
      <c r="L360" s="9" t="n">
        <v>1</v>
      </c>
      <c r="M360" s="9" t="n">
        <v>0</v>
      </c>
      <c r="N360" s="9" t="n">
        <v>0</v>
      </c>
      <c r="O360" s="10" t="n">
        <v>0</v>
      </c>
      <c r="P360" s="10" t="n">
        <v>1</v>
      </c>
      <c r="Q360" s="10" t="n">
        <v>0</v>
      </c>
      <c r="R360" s="10" t="n">
        <v>0</v>
      </c>
      <c r="S360" s="10" t="n">
        <v>0</v>
      </c>
    </row>
    <row r="361" ht="409.5" customHeight="1">
      <c r="A361" s="6">
        <f>IFERROR(__xludf.DUMMYFUNCTION("""COMPUTED_VALUE"""),"Managing a Haber Process Plant")</f>
        <v/>
      </c>
      <c r="B361" s="6">
        <f>IFERROR(__xludf.DUMMYFUNCTION("""COMPUTED_VALUE"""),"Application")</f>
        <v/>
      </c>
      <c r="C361" s="6">
        <f>IFERROR(__xludf.DUMMYFUNCTION("""COMPUTED_VALUE"""),"Hypothesis Scratchpad")</f>
        <v/>
      </c>
      <c r="D361" s="7">
        <f>IFERROR(__xludf.DUMMYFUNCTION("""COMPUTED_VALUE"""),"&lt;p&gt;Write your hypothesis re effect of temperature on the yield of ammonia&lt;/p&gt;")</f>
        <v/>
      </c>
      <c r="E361"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1" s="7" t="n"/>
      <c r="G361" s="8" t="n">
        <v>0</v>
      </c>
      <c r="H361" s="8" t="n">
        <v>0</v>
      </c>
      <c r="I361" s="8" t="n">
        <v>1</v>
      </c>
      <c r="J361" s="8" t="n">
        <v>0</v>
      </c>
      <c r="K361" s="9" t="n">
        <v>0</v>
      </c>
      <c r="L361" s="9" t="n">
        <v>1</v>
      </c>
      <c r="M361" s="9" t="n">
        <v>0</v>
      </c>
      <c r="N361" s="9" t="n">
        <v>0</v>
      </c>
      <c r="O361" s="10" t="n">
        <v>0</v>
      </c>
      <c r="P361" s="10" t="n">
        <v>1</v>
      </c>
      <c r="Q361" s="10" t="n">
        <v>0</v>
      </c>
      <c r="R361" s="10" t="n">
        <v>0</v>
      </c>
      <c r="S361" s="10" t="n">
        <v>0</v>
      </c>
    </row>
    <row r="362" ht="409.5" customHeight="1">
      <c r="A362" s="6">
        <f>IFERROR(__xludf.DUMMYFUNCTION("""COMPUTED_VALUE"""),"Managing a Haber Process Plant")</f>
        <v/>
      </c>
      <c r="B362" s="6">
        <f>IFERROR(__xludf.DUMMYFUNCTION("""COMPUTED_VALUE"""),"Application")</f>
        <v/>
      </c>
      <c r="C362" s="6">
        <f>IFERROR(__xludf.DUMMYFUNCTION("""COMPUTED_VALUE"""),"Hypothesis Scratchpad (1)")</f>
        <v/>
      </c>
      <c r="D362" s="7">
        <f>IFERROR(__xludf.DUMMYFUNCTION("""COMPUTED_VALUE"""),"No task description")</f>
        <v/>
      </c>
      <c r="E36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2" s="7" t="n"/>
      <c r="G362" s="8" t="n">
        <v>0</v>
      </c>
      <c r="H362" s="8" t="n">
        <v>0</v>
      </c>
      <c r="I362" s="8" t="n">
        <v>1</v>
      </c>
      <c r="J362" s="8" t="n">
        <v>0</v>
      </c>
      <c r="K362" s="9" t="n">
        <v>0</v>
      </c>
      <c r="L362" s="9" t="n">
        <v>1</v>
      </c>
      <c r="M362" s="9" t="n">
        <v>0</v>
      </c>
      <c r="N362" s="9" t="n">
        <v>0</v>
      </c>
      <c r="O362" s="10" t="n">
        <v>0</v>
      </c>
      <c r="P362" s="10" t="n">
        <v>1</v>
      </c>
      <c r="Q362" s="10" t="n">
        <v>0</v>
      </c>
      <c r="R362" s="10" t="n">
        <v>0</v>
      </c>
      <c r="S362" s="10" t="n">
        <v>0</v>
      </c>
    </row>
    <row r="363" ht="409.5" customHeight="1">
      <c r="A363" s="6">
        <f>IFERROR(__xludf.DUMMYFUNCTION("""COMPUTED_VALUE"""),"Managing a Haber Process Plant")</f>
        <v/>
      </c>
      <c r="B363" s="6">
        <f>IFERROR(__xludf.DUMMYFUNCTION("""COMPUTED_VALUE"""),"Resource")</f>
        <v/>
      </c>
      <c r="C363" s="6">
        <f>IFERROR(__xludf.DUMMYFUNCTION("""COMPUTED_VALUE"""),"Follow the following instructions to investigate the effect of varying pressure on the yield of ammonia and.graasp")</f>
        <v/>
      </c>
      <c r="D363" s="7">
        <f>IFERROR(__xludf.DUMMYFUNCTION("""COMPUTED_VALUE"""),"&lt;p&gt;You can adjust several independent variables using the Control Panel and analyze the results (including yield, time to equilibrium, and net profit) on the output monitor. You’ll want to vary each independent variable to determine how it affects the res"&amp;"ults.&lt;/p&gt;&lt;p&gt;1) Begin by experimenting with the effect of Pressure on the system. Set Temperature to 200˚C, then choose a Pressure. Now, press the Run button. After the 24-hour run, press the See Results button to view your data.&lt;/p&gt;&lt;p&gt;&lt;br&gt;Try 3-5 differen"&amp;"t pressure values, keeping all other variables constant and record the effect on yield of ammonia and the time to equilibrate, then graph your results.&lt;/p&gt;&lt;p&gt;&lt;br&gt;&lt;/p&gt;&lt;p&gt;2) Repeat step 1 at 400˚C and at 600˚C&lt;/p&gt;")</f>
        <v/>
      </c>
      <c r="E363" s="7">
        <f>IFERROR(__xludf.DUMMYFUNCTION("""COMPUTED_VALUE"""),"No artifact embedded")</f>
        <v/>
      </c>
      <c r="F363" s="7" t="n"/>
      <c r="G363" s="8" t="n">
        <v>0</v>
      </c>
      <c r="H363" s="8" t="n">
        <v>0</v>
      </c>
      <c r="I363" s="8" t="n">
        <v>1</v>
      </c>
      <c r="J363" s="8" t="n">
        <v>0</v>
      </c>
      <c r="K363" s="9" t="n">
        <v>0</v>
      </c>
      <c r="L363" s="9" t="n">
        <v>1</v>
      </c>
      <c r="M363" s="9" t="n">
        <v>0</v>
      </c>
      <c r="N363" s="9" t="n">
        <v>0</v>
      </c>
      <c r="O363" s="10" t="n">
        <v>0</v>
      </c>
      <c r="P363" s="10" t="n">
        <v>0</v>
      </c>
      <c r="Q363" s="10" t="n">
        <v>1</v>
      </c>
      <c r="R363" s="10" t="n">
        <v>0</v>
      </c>
      <c r="S363" s="10" t="n">
        <v>0</v>
      </c>
    </row>
    <row r="364" ht="121" customHeight="1">
      <c r="A364" s="6">
        <f>IFERROR(__xludf.DUMMYFUNCTION("""COMPUTED_VALUE"""),"Managing a Haber Process Plant")</f>
        <v/>
      </c>
      <c r="B364" s="6">
        <f>IFERROR(__xludf.DUMMYFUNCTION("""COMPUTED_VALUE"""),"Resource")</f>
        <v/>
      </c>
      <c r="C364" s="6">
        <f>IFERROR(__xludf.DUMMYFUNCTION("""COMPUTED_VALUE"""),"Haber: Control Panel")</f>
        <v/>
      </c>
      <c r="D364" s="7">
        <f>IFERROR(__xludf.DUMMYFUNCTION("""COMPUTED_VALUE"""),"No task description")</f>
        <v/>
      </c>
      <c r="E364" s="7">
        <f>IFERROR(__xludf.DUMMYFUNCTION("""COMPUTED_VALUE"""),"Artifact from learner.org: Annenberg Learner provides educational resources, such as information on the Haber process in chemistry.")</f>
        <v/>
      </c>
      <c r="F364" s="7" t="n"/>
      <c r="G364" s="8" t="n">
        <v>1</v>
      </c>
      <c r="H364" s="8" t="n">
        <v>0</v>
      </c>
      <c r="I364" s="8" t="n">
        <v>0</v>
      </c>
      <c r="J364" s="8" t="n">
        <v>0</v>
      </c>
      <c r="K364" s="9" t="n">
        <v>1</v>
      </c>
      <c r="L364" s="9" t="n">
        <v>0</v>
      </c>
      <c r="M364" s="9" t="n">
        <v>0</v>
      </c>
      <c r="N364" s="9" t="n">
        <v>0</v>
      </c>
      <c r="O364" s="10" t="n">
        <v>1</v>
      </c>
      <c r="P364" s="10" t="n">
        <v>0</v>
      </c>
      <c r="Q364" s="10" t="n">
        <v>0</v>
      </c>
      <c r="R364" s="10" t="n">
        <v>0</v>
      </c>
      <c r="S364" s="10" t="n">
        <v>0</v>
      </c>
    </row>
    <row r="365" ht="409.5" customHeight="1">
      <c r="A365" s="6">
        <f>IFERROR(__xludf.DUMMYFUNCTION("""COMPUTED_VALUE"""),"Managing a Haber Process Plant")</f>
        <v/>
      </c>
      <c r="B365" s="6">
        <f>IFERROR(__xludf.DUMMYFUNCTION("""COMPUTED_VALUE"""),"Application")</f>
        <v/>
      </c>
      <c r="C365" s="6">
        <f>IFERROR(__xludf.DUMMYFUNCTION("""COMPUTED_VALUE"""),"Table tool")</f>
        <v/>
      </c>
      <c r="D365" s="7">
        <f>IFERROR(__xludf.DUMMYFUNCTION("""COMPUTED_VALUE"""),"&lt;p&gt;Enter your observations re effect of pressure on the %yield of ammonia and time for system to equilibrate at 200, 400 and 600 deg Celsius in the Table below&lt;/p&gt;")</f>
        <v/>
      </c>
      <c r="E36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365" s="7" t="n"/>
      <c r="G365" s="8" t="n">
        <v>0</v>
      </c>
      <c r="H365" s="8" t="n">
        <v>0</v>
      </c>
      <c r="I365" s="8" t="n">
        <v>1</v>
      </c>
      <c r="J365" s="8" t="n">
        <v>0</v>
      </c>
      <c r="K365" s="9" t="n">
        <v>0</v>
      </c>
      <c r="L365" s="9" t="n">
        <v>1</v>
      </c>
      <c r="M365" s="9" t="n">
        <v>0</v>
      </c>
      <c r="N365" s="9" t="n">
        <v>0</v>
      </c>
      <c r="O365" s="10" t="n">
        <v>0</v>
      </c>
      <c r="P365" s="10" t="n">
        <v>0</v>
      </c>
      <c r="Q365" s="10" t="n">
        <v>1</v>
      </c>
      <c r="R365" s="10" t="n">
        <v>0</v>
      </c>
      <c r="S365" s="10" t="n">
        <v>0</v>
      </c>
    </row>
    <row r="366" ht="73" customHeight="1">
      <c r="A366" s="6">
        <f>IFERROR(__xludf.DUMMYFUNCTION("""COMPUTED_VALUE"""),"Managing a Haber Process Plant")</f>
        <v/>
      </c>
      <c r="B366" s="6">
        <f>IFERROR(__xludf.DUMMYFUNCTION("""COMPUTED_VALUE"""),"Space")</f>
        <v/>
      </c>
      <c r="C366" s="6">
        <f>IFERROR(__xludf.DUMMYFUNCTION("""COMPUTED_VALUE"""),"Conclusion")</f>
        <v/>
      </c>
      <c r="D366" s="7">
        <f>IFERROR(__xludf.DUMMYFUNCTION("""COMPUTED_VALUE"""),"&lt;p&gt;Once you have carried out the investigation, you need to analyse your results&lt;/p&gt;")</f>
        <v/>
      </c>
      <c r="E366" s="7">
        <f>IFERROR(__xludf.DUMMYFUNCTION("""COMPUTED_VALUE"""),"No artifact embedded")</f>
        <v/>
      </c>
      <c r="F366" s="7" t="n"/>
      <c r="G366" s="8" t="n">
        <v>0</v>
      </c>
      <c r="H366" s="8" t="n">
        <v>1</v>
      </c>
      <c r="I366" s="8" t="n">
        <v>0</v>
      </c>
      <c r="J366" s="8" t="n">
        <v>0</v>
      </c>
      <c r="K366" s="9" t="n">
        <v>1</v>
      </c>
      <c r="L366" s="9" t="n">
        <v>0</v>
      </c>
      <c r="M366" s="9" t="n">
        <v>0</v>
      </c>
      <c r="N366" s="9" t="n">
        <v>0</v>
      </c>
      <c r="O366" s="10" t="n">
        <v>0</v>
      </c>
      <c r="P366" s="10" t="n">
        <v>0</v>
      </c>
      <c r="Q366" s="10" t="n">
        <v>1</v>
      </c>
      <c r="R366" s="10" t="n">
        <v>0</v>
      </c>
      <c r="S366" s="10" t="n">
        <v>0</v>
      </c>
    </row>
    <row r="367" ht="169" customHeight="1">
      <c r="A367" s="6">
        <f>IFERROR(__xludf.DUMMYFUNCTION("""COMPUTED_VALUE"""),"Managing a Haber Process Plant")</f>
        <v/>
      </c>
      <c r="B367" s="6">
        <f>IFERROR(__xludf.DUMMYFUNCTION("""COMPUTED_VALUE"""),"Application")</f>
        <v/>
      </c>
      <c r="C367" s="6">
        <f>IFERROR(__xludf.DUMMYFUNCTION("""COMPUTED_VALUE"""),"File Drop")</f>
        <v/>
      </c>
      <c r="D367" s="7">
        <f>IFERROR(__xludf.DUMMYFUNCTION("""COMPUTED_VALUE"""),"&lt;p&gt;Analyse your results by plotting a graph of % yield against pressure for the different temperatures investigated. You may either plot your graph freehand or use any computer software of your choice&lt;/p&gt;")</f>
        <v/>
      </c>
      <c r="E367" s="7">
        <f>IFERROR(__xludf.DUMMYFUNCTION("""COMPUTED_VALUE"""),"Golabz app/lab: ""&lt;p&gt;This app allows students to upload files, e.g., assignment and reports, to the Inquiry learning Space. The app also allows teachers to download the uploaded files.&lt;/p&gt;\r\n""")</f>
        <v/>
      </c>
      <c r="F367" s="7" t="n"/>
      <c r="G367" s="8" t="n">
        <v>0</v>
      </c>
      <c r="H367" s="8" t="n">
        <v>0</v>
      </c>
      <c r="I367" s="8" t="n">
        <v>1</v>
      </c>
      <c r="J367" s="8" t="n">
        <v>0</v>
      </c>
      <c r="K367" s="9" t="n">
        <v>0</v>
      </c>
      <c r="L367" s="9" t="n">
        <v>1</v>
      </c>
      <c r="M367" s="9" t="n">
        <v>0</v>
      </c>
      <c r="N367" s="9" t="n">
        <v>0</v>
      </c>
      <c r="O367" s="10" t="n">
        <v>0</v>
      </c>
      <c r="P367" s="10" t="n">
        <v>0</v>
      </c>
      <c r="Q367" s="10" t="n">
        <v>1</v>
      </c>
      <c r="R367" s="10" t="n">
        <v>0</v>
      </c>
      <c r="S367" s="10" t="n">
        <v>0</v>
      </c>
    </row>
    <row r="368" ht="329" customHeight="1">
      <c r="A368" s="6">
        <f>IFERROR(__xludf.DUMMYFUNCTION("""COMPUTED_VALUE"""),"Managing a Haber Process Plant")</f>
        <v/>
      </c>
      <c r="B368" s="6">
        <f>IFERROR(__xludf.DUMMYFUNCTION("""COMPUTED_VALUE"""),"Application")</f>
        <v/>
      </c>
      <c r="C368" s="6">
        <f>IFERROR(__xludf.DUMMYFUNCTION("""COMPUTED_VALUE"""),"Input Box")</f>
        <v/>
      </c>
      <c r="D368" s="7">
        <f>IFERROR(__xludf.DUMMYFUNCTION("""COMPUTED_VALUE"""),"&lt;p&gt;Consult your graph and state which conditions of temperature and pressure give the highest yield of ammonia.&lt;/p&gt;")</f>
        <v/>
      </c>
      <c r="E36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8" s="7" t="n"/>
      <c r="G368" s="8" t="n">
        <v>0</v>
      </c>
      <c r="H368" s="8" t="n">
        <v>0</v>
      </c>
      <c r="I368" s="8" t="n">
        <v>1</v>
      </c>
      <c r="J368" s="8" t="n">
        <v>0</v>
      </c>
      <c r="K368" s="9" t="n">
        <v>0</v>
      </c>
      <c r="L368" s="9" t="n">
        <v>1</v>
      </c>
      <c r="M368" s="9" t="n">
        <v>0</v>
      </c>
      <c r="N368" s="9" t="n">
        <v>0</v>
      </c>
      <c r="O368" s="10" t="n">
        <v>0</v>
      </c>
      <c r="P368" s="10" t="n">
        <v>0</v>
      </c>
      <c r="Q368" s="10" t="n">
        <v>0</v>
      </c>
      <c r="R368" s="10" t="n">
        <v>1</v>
      </c>
      <c r="S368" s="10" t="n">
        <v>0</v>
      </c>
    </row>
    <row r="369" ht="351" customHeight="1">
      <c r="A369" s="6">
        <f>IFERROR(__xludf.DUMMYFUNCTION("""COMPUTED_VALUE"""),"Managing a Haber Process Plant")</f>
        <v/>
      </c>
      <c r="B369" s="6">
        <f>IFERROR(__xludf.DUMMYFUNCTION("""COMPUTED_VALUE"""),"Application")</f>
        <v/>
      </c>
      <c r="C369" s="6">
        <f>IFERROR(__xludf.DUMMYFUNCTION("""COMPUTED_VALUE"""),"Input Box (1)")</f>
        <v/>
      </c>
      <c r="D369" s="7">
        <f>IFERROR(__xludf.DUMMYFUNCTION("""COMPUTED_VALUE"""),"&lt;p&gt;The actual conditions used in the plant are 200 atm pressure and 400 deg Celsius. Do these conditions give the highest yield? Look again at your table of results and refer to your results about the time needed to equilibriate for the conditions used to"&amp;" give the highest yield and the conditions actually used in the plant. Try to explain the reason/s why the industrialist actually resorts to these conditions and not to the ones that give the highest yield&lt;/p&gt;")</f>
        <v/>
      </c>
      <c r="E36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9" s="7" t="n"/>
      <c r="G369" s="8" t="n">
        <v>0</v>
      </c>
      <c r="H369" s="8" t="n">
        <v>0</v>
      </c>
      <c r="I369" s="8" t="n">
        <v>1</v>
      </c>
      <c r="J369" s="8" t="n">
        <v>0</v>
      </c>
      <c r="K369" s="9" t="n">
        <v>0</v>
      </c>
      <c r="L369" s="9" t="n">
        <v>1</v>
      </c>
      <c r="M369" s="9" t="n">
        <v>0</v>
      </c>
      <c r="N369" s="9" t="n">
        <v>0</v>
      </c>
      <c r="O369" s="10" t="n">
        <v>0</v>
      </c>
      <c r="P369" s="10" t="n">
        <v>0</v>
      </c>
      <c r="Q369" s="10" t="n">
        <v>0</v>
      </c>
      <c r="R369" s="10" t="n">
        <v>1</v>
      </c>
      <c r="S369" s="10" t="n">
        <v>0</v>
      </c>
    </row>
    <row r="370" ht="73" customHeight="1">
      <c r="A370" s="6">
        <f>IFERROR(__xludf.DUMMYFUNCTION("""COMPUTED_VALUE"""),"Managing a Haber Process Plant")</f>
        <v/>
      </c>
      <c r="B370" s="6">
        <f>IFERROR(__xludf.DUMMYFUNCTION("""COMPUTED_VALUE"""),"Application")</f>
        <v/>
      </c>
      <c r="C370" s="6">
        <f>IFERROR(__xludf.DUMMYFUNCTION("""COMPUTED_VALUE"""),"Teacher Feedback")</f>
        <v/>
      </c>
      <c r="D370" s="7">
        <f>IFERROR(__xludf.DUMMYFUNCTION("""COMPUTED_VALUE"""),"No task description")</f>
        <v/>
      </c>
      <c r="E370" s="7">
        <f>IFERROR(__xludf.DUMMYFUNCTION("""COMPUTED_VALUE"""),"Golabz app/lab: ""&lt;p&gt;A tool where teachers can provide feedback to students&lt;/p&gt;\r\n""")</f>
        <v/>
      </c>
      <c r="F370" s="7" t="n"/>
      <c r="G370" s="8" t="n">
        <v>1</v>
      </c>
      <c r="H370" s="8" t="n">
        <v>0</v>
      </c>
      <c r="I370" s="8" t="n">
        <v>0</v>
      </c>
      <c r="J370" s="8" t="n">
        <v>0</v>
      </c>
      <c r="K370" s="9" t="n">
        <v>1</v>
      </c>
      <c r="L370" s="9" t="n">
        <v>0</v>
      </c>
      <c r="M370" s="9" t="n">
        <v>0</v>
      </c>
      <c r="N370" s="9" t="n">
        <v>0</v>
      </c>
      <c r="O370" s="10" t="n">
        <v>0</v>
      </c>
      <c r="P370" s="10" t="n">
        <v>0</v>
      </c>
      <c r="Q370" s="10" t="n">
        <v>0</v>
      </c>
      <c r="R370" s="10" t="n">
        <v>0</v>
      </c>
      <c r="S370" s="10" t="n">
        <v>1</v>
      </c>
    </row>
    <row r="371" ht="25" customHeight="1">
      <c r="A371" s="6">
        <f>IFERROR(__xludf.DUMMYFUNCTION("""COMPUTED_VALUE"""),"function of human eye")</f>
        <v/>
      </c>
      <c r="B371" s="6">
        <f>IFERROR(__xludf.DUMMYFUNCTION("""COMPUTED_VALUE"""),"Space")</f>
        <v/>
      </c>
      <c r="C371" s="6">
        <f>IFERROR(__xludf.DUMMYFUNCTION("""COMPUTED_VALUE"""),"engage")</f>
        <v/>
      </c>
      <c r="D371" s="7">
        <f>IFERROR(__xludf.DUMMYFUNCTION("""COMPUTED_VALUE"""),"No task description")</f>
        <v/>
      </c>
      <c r="E371" s="7">
        <f>IFERROR(__xludf.DUMMYFUNCTION("""COMPUTED_VALUE"""),"No artifact embedded")</f>
        <v/>
      </c>
      <c r="F371" s="7" t="n"/>
      <c r="G371" s="8" t="n">
        <v>0</v>
      </c>
      <c r="H371" s="8" t="n">
        <v>0</v>
      </c>
      <c r="I371" s="8" t="n">
        <v>0</v>
      </c>
      <c r="J371" s="8" t="n">
        <v>0</v>
      </c>
      <c r="K371" s="9" t="n">
        <v>0</v>
      </c>
      <c r="L371" s="9" t="n">
        <v>0</v>
      </c>
      <c r="M371" s="9" t="n">
        <v>0</v>
      </c>
      <c r="N371" s="9" t="n">
        <v>0</v>
      </c>
      <c r="O371" s="10" t="n">
        <v>0</v>
      </c>
      <c r="P371" s="10" t="n">
        <v>0</v>
      </c>
      <c r="Q371" s="10" t="n">
        <v>0</v>
      </c>
      <c r="R371" s="10" t="n">
        <v>0</v>
      </c>
      <c r="S371" s="10" t="n">
        <v>0</v>
      </c>
    </row>
    <row r="372" ht="229" customHeight="1">
      <c r="A372" s="6">
        <f>IFERROR(__xludf.DUMMYFUNCTION("""COMPUTED_VALUE"""),"function of human eye")</f>
        <v/>
      </c>
      <c r="B372" s="6">
        <f>IFERROR(__xludf.DUMMYFUNCTION("""COMPUTED_VALUE"""),"Resource")</f>
        <v/>
      </c>
      <c r="C372" s="6">
        <f>IFERROR(__xludf.DUMMYFUNCTION("""COMPUTED_VALUE"""),"human eye.PNG")</f>
        <v/>
      </c>
      <c r="D372" s="7">
        <f>IFERROR(__xludf.DUMMYFUNCTION("""COMPUTED_VALUE"""),"&lt;p&gt;Mammalian eye is one of the sensory organs in the body. It has photo receptors which are responsible for perception of light as a stimulus. it has various parts which are adapted to their functions. A momg the parts are the cornea, humor, lens and reti"&amp;"na.&lt;/p&gt;&lt;p&gt;&lt;br&gt;&lt;/p&gt;")</f>
        <v/>
      </c>
      <c r="E372" s="7">
        <f>IFERROR(__xludf.DUMMYFUNCTION("""COMPUTED_VALUE"""),"image/png – A high-quality image with support for transparency, often used in design and web applications.")</f>
        <v/>
      </c>
      <c r="F372" s="7" t="n"/>
      <c r="G372" s="8" t="n">
        <v>1</v>
      </c>
      <c r="H372" s="8" t="n">
        <v>0</v>
      </c>
      <c r="I372" s="8" t="n">
        <v>0</v>
      </c>
      <c r="J372" s="8" t="n">
        <v>0</v>
      </c>
      <c r="K372" s="9" t="n">
        <v>1</v>
      </c>
      <c r="L372" s="9" t="n">
        <v>0</v>
      </c>
      <c r="M372" s="9" t="n">
        <v>0</v>
      </c>
      <c r="N372" s="9" t="n">
        <v>0</v>
      </c>
      <c r="O372" s="10" t="n">
        <v>1</v>
      </c>
      <c r="P372" s="10" t="n">
        <v>0</v>
      </c>
      <c r="Q372" s="10" t="n">
        <v>0</v>
      </c>
      <c r="R372" s="10" t="n">
        <v>0</v>
      </c>
      <c r="S372" s="10" t="n">
        <v>0</v>
      </c>
    </row>
    <row r="373" ht="252" customHeight="1">
      <c r="A373" s="6">
        <f>IFERROR(__xludf.DUMMYFUNCTION("""COMPUTED_VALUE"""),"function of human eye")</f>
        <v/>
      </c>
      <c r="B373" s="6">
        <f>IFERROR(__xludf.DUMMYFUNCTION("""COMPUTED_VALUE"""),"Application")</f>
        <v/>
      </c>
      <c r="C373" s="6">
        <f>IFERROR(__xludf.DUMMYFUNCTION("""COMPUTED_VALUE"""),"Quest")</f>
        <v/>
      </c>
      <c r="D373" s="7">
        <f>IFERROR(__xludf.DUMMYFUNCTION("""COMPUTED_VALUE"""),"&lt;p&gt;observe the photo above, pair and compare it with  your neighbor's eye.&lt;br&gt;&lt;/p&gt;&lt;p&gt;&lt;br&gt;&lt;/p&gt;&lt;p&gt;Q. which parts of the eye can you see?&lt;/p&gt;&lt;p&gt;Q. Briefly describe the parts you have named above carry out their function.&lt;/p&gt;&lt;p&gt;Q. what is the differrence betw"&amp;"een the back and the blue parts.&lt;/p&gt;")</f>
        <v/>
      </c>
      <c r="E373"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373" s="7" t="n"/>
      <c r="G373" s="8" t="n">
        <v>0</v>
      </c>
      <c r="H373" s="8" t="n">
        <v>0</v>
      </c>
      <c r="I373" s="8" t="n">
        <v>1</v>
      </c>
      <c r="J373" s="8" t="n">
        <v>0</v>
      </c>
      <c r="K373" s="9" t="n">
        <v>0</v>
      </c>
      <c r="L373" s="9" t="n">
        <v>1</v>
      </c>
      <c r="M373" s="9" t="n">
        <v>0</v>
      </c>
      <c r="N373" s="9" t="n">
        <v>0</v>
      </c>
      <c r="O373" s="10" t="n">
        <v>1</v>
      </c>
      <c r="P373" s="10" t="n">
        <v>0</v>
      </c>
      <c r="Q373" s="10" t="n">
        <v>0</v>
      </c>
      <c r="R373" s="10" t="n">
        <v>0</v>
      </c>
      <c r="S373" s="10" t="n">
        <v>0</v>
      </c>
    </row>
    <row r="374" ht="329" customHeight="1">
      <c r="A374" s="6">
        <f>IFERROR(__xludf.DUMMYFUNCTION("""COMPUTED_VALUE"""),"function of human eye")</f>
        <v/>
      </c>
      <c r="B374" s="6">
        <f>IFERROR(__xludf.DUMMYFUNCTION("""COMPUTED_VALUE"""),"Application")</f>
        <v/>
      </c>
      <c r="C374" s="6">
        <f>IFERROR(__xludf.DUMMYFUNCTION("""COMPUTED_VALUE"""),"Input Box")</f>
        <v/>
      </c>
      <c r="D374" s="7">
        <f>IFERROR(__xludf.DUMMYFUNCTION("""COMPUTED_VALUE"""),"No task description")</f>
        <v/>
      </c>
      <c r="E37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74" s="7" t="n"/>
      <c r="G374" s="8" t="n">
        <v>0</v>
      </c>
      <c r="H374" s="8" t="n">
        <v>0</v>
      </c>
      <c r="I374" s="8" t="n">
        <v>1</v>
      </c>
      <c r="J374" s="8" t="n">
        <v>0</v>
      </c>
      <c r="K374" s="9" t="n">
        <v>0</v>
      </c>
      <c r="L374" s="9" t="n">
        <v>1</v>
      </c>
      <c r="M374" s="9" t="n">
        <v>0</v>
      </c>
      <c r="N374" s="9" t="n">
        <v>0</v>
      </c>
      <c r="O374" s="10" t="n">
        <v>0</v>
      </c>
      <c r="P374" s="10" t="n">
        <v>0</v>
      </c>
      <c r="Q374" s="10" t="n">
        <v>0</v>
      </c>
      <c r="R374" s="10" t="n">
        <v>0</v>
      </c>
      <c r="S374" s="10" t="n">
        <v>0</v>
      </c>
    </row>
    <row r="375" ht="285" customHeight="1">
      <c r="A375" s="6">
        <f>IFERROR(__xludf.DUMMYFUNCTION("""COMPUTED_VALUE"""),"function of human eye")</f>
        <v/>
      </c>
      <c r="B375" s="6">
        <f>IFERROR(__xludf.DUMMYFUNCTION("""COMPUTED_VALUE"""),"Space")</f>
        <v/>
      </c>
      <c r="C375" s="6">
        <f>IFERROR(__xludf.DUMMYFUNCTION("""COMPUTED_VALUE"""),"explore")</f>
        <v/>
      </c>
      <c r="D375" s="7">
        <f>IFERROR(__xludf.DUMMYFUNCTION("""COMPUTED_VALUE"""),"&lt;p&gt;Mammalian eye has many parts which enable perception of sight.&lt;/p&gt;&lt;p&gt;The lab below will help you observe how the light rays are reflected from an object and the role of the following parts:cornea,lens and the cells of the retina. It also demonstrate ho"&amp;"w the iris control the amount of light getting to the retina.&lt;/p&gt;&lt;p&gt;&lt;br&gt;&lt;/p&gt;&lt;p&gt;&lt;br&gt;&lt;/p&gt;&lt;p&gt;&lt;br&gt;&lt;/p&gt;")</f>
        <v/>
      </c>
      <c r="E375" s="7">
        <f>IFERROR(__xludf.DUMMYFUNCTION("""COMPUTED_VALUE"""),"No artifact embedded")</f>
        <v/>
      </c>
      <c r="F375" s="7" t="n"/>
      <c r="G375" s="8" t="n">
        <v>0</v>
      </c>
      <c r="H375" s="8" t="n">
        <v>1</v>
      </c>
      <c r="I375" s="8" t="n">
        <v>0</v>
      </c>
      <c r="J375" s="8" t="n">
        <v>0</v>
      </c>
      <c r="K375" s="9" t="n">
        <v>1</v>
      </c>
      <c r="L375" s="9" t="n">
        <v>0</v>
      </c>
      <c r="M375" s="9" t="n">
        <v>0</v>
      </c>
      <c r="N375" s="9" t="n">
        <v>0</v>
      </c>
      <c r="O375" s="10" t="n">
        <v>0</v>
      </c>
      <c r="P375" s="10" t="n">
        <v>0</v>
      </c>
      <c r="Q375" s="10" t="n">
        <v>1</v>
      </c>
      <c r="R375" s="10" t="n">
        <v>0</v>
      </c>
      <c r="S375" s="10" t="n">
        <v>0</v>
      </c>
    </row>
    <row r="376" ht="409.5" customHeight="1">
      <c r="A376" s="6">
        <f>IFERROR(__xludf.DUMMYFUNCTION("""COMPUTED_VALUE"""),"function of human eye")</f>
        <v/>
      </c>
      <c r="B376" s="6">
        <f>IFERROR(__xludf.DUMMYFUNCTION("""COMPUTED_VALUE"""),"Resource")</f>
        <v/>
      </c>
      <c r="C376" s="6">
        <f>IFERROR(__xludf.DUMMYFUNCTION("""COMPUTED_VALUE"""),"lab instructions.graasp")</f>
        <v/>
      </c>
      <c r="D376" s="7">
        <f>IFERROR(__xludf.DUMMYFUNCTION("""COMPUTED_VALUE"""),"&lt;p&gt;You have been provided with  an animation of a mammalian eye. &lt;/p&gt;&lt;p&gt;Play and study how the mammalian eye functions by accommodation of far and near objects and light intensity. &lt;/p&gt;&lt;p&gt;For each case record your observation using observation tool provid"&amp;"ed. &lt;/p&gt;&lt;p&gt;1. investigate what happens to the curvature of the eye lens when observing far and near objects and in each case see the rays. Record your observation&lt;/p&gt;&lt;p&gt;2. play the animations and pause on the cornea. record your observation.&lt;/p&gt;&lt;p&gt;3.inves"&amp;"tigate what happens to the pupil in dim and bright light. Record your observation.&lt;br&gt;&lt;/p&gt;")</f>
        <v/>
      </c>
      <c r="E376" s="7">
        <f>IFERROR(__xludf.DUMMYFUNCTION("""COMPUTED_VALUE"""),"No artifact embedded")</f>
        <v/>
      </c>
      <c r="F376" s="7" t="n"/>
      <c r="G376" s="8" t="n">
        <v>0</v>
      </c>
      <c r="H376" s="8" t="n">
        <v>0</v>
      </c>
      <c r="I376" s="8" t="n">
        <v>1</v>
      </c>
      <c r="J376" s="8" t="n">
        <v>0</v>
      </c>
      <c r="K376" s="9" t="n">
        <v>0</v>
      </c>
      <c r="L376" s="9" t="n">
        <v>1</v>
      </c>
      <c r="M376" s="9" t="n">
        <v>0</v>
      </c>
      <c r="N376" s="9" t="n">
        <v>0</v>
      </c>
      <c r="O376" s="10" t="n">
        <v>0</v>
      </c>
      <c r="P376" s="10" t="n">
        <v>0</v>
      </c>
      <c r="Q376" s="10" t="n">
        <v>1</v>
      </c>
      <c r="R376" s="10" t="n">
        <v>0</v>
      </c>
      <c r="S376" s="10" t="n">
        <v>0</v>
      </c>
    </row>
    <row r="377" ht="133" customHeight="1">
      <c r="A377" s="6">
        <f>IFERROR(__xludf.DUMMYFUNCTION("""COMPUTED_VALUE"""),"function of human eye")</f>
        <v/>
      </c>
      <c r="B377" s="6">
        <f>IFERROR(__xludf.DUMMYFUNCTION("""COMPUTED_VALUE"""),"Resource")</f>
        <v/>
      </c>
      <c r="C377" s="6">
        <f>IFERROR(__xludf.DUMMYFUNCTION("""COMPUTED_VALUE"""),"KScience - Animations")</f>
        <v/>
      </c>
      <c r="D377" s="7">
        <f>IFERROR(__xludf.DUMMYFUNCTION("""COMPUTED_VALUE"""),"No task description")</f>
        <v/>
      </c>
      <c r="E377" s="7">
        <f>IFERROR(__xludf.DUMMYFUNCTION("""COMPUTED_VALUE"""),"Artifact from kscience.co.uk: A UK-based educational site offering animations and interactive content related to science topics, such as eye function.")</f>
        <v/>
      </c>
      <c r="F377" s="7" t="n"/>
      <c r="G377" s="8" t="n">
        <v>0</v>
      </c>
      <c r="H377" s="8" t="n">
        <v>1</v>
      </c>
      <c r="I377" s="8" t="n">
        <v>0</v>
      </c>
      <c r="J377" s="8" t="n">
        <v>0</v>
      </c>
      <c r="K377" s="9" t="n">
        <v>1</v>
      </c>
      <c r="L377" s="9" t="n">
        <v>0</v>
      </c>
      <c r="M377" s="9" t="n">
        <v>0</v>
      </c>
      <c r="N377" s="9" t="n">
        <v>0</v>
      </c>
      <c r="O377" s="10" t="n">
        <v>0</v>
      </c>
      <c r="P377" s="10" t="n">
        <v>0</v>
      </c>
      <c r="Q377" s="10" t="n">
        <v>0</v>
      </c>
      <c r="R377" s="10" t="n">
        <v>0</v>
      </c>
      <c r="S377" s="10" t="n">
        <v>0</v>
      </c>
    </row>
    <row r="378" ht="395" customHeight="1">
      <c r="A378" s="6">
        <f>IFERROR(__xludf.DUMMYFUNCTION("""COMPUTED_VALUE"""),"function of human eye")</f>
        <v/>
      </c>
      <c r="B378" s="6">
        <f>IFERROR(__xludf.DUMMYFUNCTION("""COMPUTED_VALUE"""),"Application")</f>
        <v/>
      </c>
      <c r="C378" s="6">
        <f>IFERROR(__xludf.DUMMYFUNCTION("""COMPUTED_VALUE"""),"Observation Tool")</f>
        <v/>
      </c>
      <c r="D378" s="7">
        <f>IFERROR(__xludf.DUMMYFUNCTION("""COMPUTED_VALUE"""),"&lt;p&gt;Record your observation &lt;/p&gt;")</f>
        <v/>
      </c>
      <c r="E37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78" s="7" t="n"/>
      <c r="G378" s="8" t="n">
        <v>0</v>
      </c>
      <c r="H378" s="8" t="n">
        <v>0</v>
      </c>
      <c r="I378" s="8" t="n">
        <v>1</v>
      </c>
      <c r="J378" s="8" t="n">
        <v>0</v>
      </c>
      <c r="K378" s="9" t="n">
        <v>0</v>
      </c>
      <c r="L378" s="9" t="n">
        <v>1</v>
      </c>
      <c r="M378" s="9" t="n">
        <v>0</v>
      </c>
      <c r="N378" s="9" t="n">
        <v>0</v>
      </c>
      <c r="O378" s="10" t="n">
        <v>0</v>
      </c>
      <c r="P378" s="10" t="n">
        <v>0</v>
      </c>
      <c r="Q378" s="10" t="n">
        <v>1</v>
      </c>
      <c r="R378" s="10" t="n">
        <v>0</v>
      </c>
      <c r="S378" s="10" t="n">
        <v>0</v>
      </c>
    </row>
    <row r="379" ht="25" customHeight="1">
      <c r="A379" s="6">
        <f>IFERROR(__xludf.DUMMYFUNCTION("""COMPUTED_VALUE"""),"function of human eye")</f>
        <v/>
      </c>
      <c r="B379" s="6">
        <f>IFERROR(__xludf.DUMMYFUNCTION("""COMPUTED_VALUE"""),"Space")</f>
        <v/>
      </c>
      <c r="C379" s="6">
        <f>IFERROR(__xludf.DUMMYFUNCTION("""COMPUTED_VALUE"""),"explain")</f>
        <v/>
      </c>
      <c r="D379" s="7">
        <f>IFERROR(__xludf.DUMMYFUNCTION("""COMPUTED_VALUE"""),"No task description")</f>
        <v/>
      </c>
      <c r="E379" s="7">
        <f>IFERROR(__xludf.DUMMYFUNCTION("""COMPUTED_VALUE"""),"No artifact embedded")</f>
        <v/>
      </c>
      <c r="F379" s="7" t="n"/>
      <c r="G379" s="8" t="n">
        <v>0</v>
      </c>
      <c r="H379" s="8" t="n">
        <v>0</v>
      </c>
      <c r="I379" s="8" t="n">
        <v>0</v>
      </c>
      <c r="J379" s="8" t="n">
        <v>0</v>
      </c>
      <c r="K379" s="9" t="n">
        <v>0</v>
      </c>
      <c r="L379" s="9" t="n">
        <v>0</v>
      </c>
      <c r="M379" s="9" t="n">
        <v>0</v>
      </c>
      <c r="N379" s="9" t="n">
        <v>0</v>
      </c>
      <c r="O379" s="10" t="n">
        <v>0</v>
      </c>
      <c r="P379" s="10" t="n">
        <v>0</v>
      </c>
      <c r="Q379" s="10" t="n">
        <v>0</v>
      </c>
      <c r="R379" s="10" t="n">
        <v>0</v>
      </c>
      <c r="S379" s="10" t="n">
        <v>0</v>
      </c>
    </row>
    <row r="380" ht="229" customHeight="1">
      <c r="A380" s="6">
        <f>IFERROR(__xludf.DUMMYFUNCTION("""COMPUTED_VALUE"""),"function of human eye")</f>
        <v/>
      </c>
      <c r="B380" s="6">
        <f>IFERROR(__xludf.DUMMYFUNCTION("""COMPUTED_VALUE"""),"Resource")</f>
        <v/>
      </c>
      <c r="C380" s="6">
        <f>IFERROR(__xludf.DUMMYFUNCTION("""COMPUTED_VALUE"""),"function of human eye.graasp")</f>
        <v/>
      </c>
      <c r="D380" s="7">
        <f>IFERROR(__xludf.DUMMYFUNCTION("""COMPUTED_VALUE"""),"&lt;p&gt;Q. Explain your observation on what happens to the light ray as they pass the cornea.&lt;/p&gt;&lt;p&gt;Q. Explain what you have observed on the accommodation of far and near objects.&lt;/p&gt;&lt;p&gt;Q. Explain your observation on what happens to the pupil in dim and bright"&amp;" light.&lt;br&gt;&lt;/p&gt;&lt;p&gt;&lt;br&gt;&lt;/p&gt;")</f>
        <v/>
      </c>
      <c r="E380" s="7">
        <f>IFERROR(__xludf.DUMMYFUNCTION("""COMPUTED_VALUE"""),"No artifact embedded")</f>
        <v/>
      </c>
      <c r="F380" s="7" t="n"/>
      <c r="G380" s="8" t="n">
        <v>0</v>
      </c>
      <c r="H380" s="8" t="n">
        <v>0</v>
      </c>
      <c r="I380" s="8" t="n">
        <v>1</v>
      </c>
      <c r="J380" s="8" t="n">
        <v>0</v>
      </c>
      <c r="K380" s="9" t="n">
        <v>0</v>
      </c>
      <c r="L380" s="9" t="n">
        <v>1</v>
      </c>
      <c r="M380" s="9" t="n">
        <v>0</v>
      </c>
      <c r="N380" s="9" t="n">
        <v>0</v>
      </c>
      <c r="O380" s="10" t="n">
        <v>0</v>
      </c>
      <c r="P380" s="10" t="n">
        <v>0</v>
      </c>
      <c r="Q380" s="10" t="n">
        <v>0</v>
      </c>
      <c r="R380" s="10" t="n">
        <v>1</v>
      </c>
      <c r="S380" s="10" t="n">
        <v>0</v>
      </c>
    </row>
    <row r="381" ht="329" customHeight="1">
      <c r="A381" s="6">
        <f>IFERROR(__xludf.DUMMYFUNCTION("""COMPUTED_VALUE"""),"function of human eye")</f>
        <v/>
      </c>
      <c r="B381" s="6">
        <f>IFERROR(__xludf.DUMMYFUNCTION("""COMPUTED_VALUE"""),"Application")</f>
        <v/>
      </c>
      <c r="C381" s="6">
        <f>IFERROR(__xludf.DUMMYFUNCTION("""COMPUTED_VALUE"""),"Input Box")</f>
        <v/>
      </c>
      <c r="D381" s="7">
        <f>IFERROR(__xludf.DUMMYFUNCTION("""COMPUTED_VALUE"""),"No task description")</f>
        <v/>
      </c>
      <c r="E3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81" s="7" t="n"/>
      <c r="G381" s="8" t="n">
        <v>0</v>
      </c>
      <c r="H381" s="8" t="n">
        <v>0</v>
      </c>
      <c r="I381" s="8" t="n">
        <v>1</v>
      </c>
      <c r="J381" s="8" t="n">
        <v>0</v>
      </c>
      <c r="K381" s="9" t="n">
        <v>0</v>
      </c>
      <c r="L381" s="9" t="n">
        <v>1</v>
      </c>
      <c r="M381" s="9" t="n">
        <v>0</v>
      </c>
      <c r="N381" s="9" t="n">
        <v>0</v>
      </c>
      <c r="O381" s="10" t="n">
        <v>0</v>
      </c>
      <c r="P381" s="10" t="n">
        <v>0</v>
      </c>
      <c r="Q381" s="10" t="n">
        <v>0</v>
      </c>
      <c r="R381" s="10" t="n">
        <v>0</v>
      </c>
      <c r="S381" s="10" t="n">
        <v>0</v>
      </c>
    </row>
    <row r="382" ht="25" customHeight="1">
      <c r="A382" s="6">
        <f>IFERROR(__xludf.DUMMYFUNCTION("""COMPUTED_VALUE"""),"function of human eye")</f>
        <v/>
      </c>
      <c r="B382" s="6">
        <f>IFERROR(__xludf.DUMMYFUNCTION("""COMPUTED_VALUE"""),"Space")</f>
        <v/>
      </c>
      <c r="C382" s="6">
        <f>IFERROR(__xludf.DUMMYFUNCTION("""COMPUTED_VALUE"""),"elaborate")</f>
        <v/>
      </c>
      <c r="D382" s="7">
        <f>IFERROR(__xludf.DUMMYFUNCTION("""COMPUTED_VALUE"""),"No task description")</f>
        <v/>
      </c>
      <c r="E382" s="7">
        <f>IFERROR(__xludf.DUMMYFUNCTION("""COMPUTED_VALUE"""),"No artifact embedded")</f>
        <v/>
      </c>
      <c r="F382" s="7" t="n"/>
      <c r="G382" s="8" t="n">
        <v>0</v>
      </c>
      <c r="H382" s="8" t="n">
        <v>0</v>
      </c>
      <c r="I382" s="8" t="n">
        <v>0</v>
      </c>
      <c r="J382" s="8" t="n">
        <v>0</v>
      </c>
      <c r="K382" s="9" t="n">
        <v>0</v>
      </c>
      <c r="L382" s="9" t="n">
        <v>0</v>
      </c>
      <c r="M382" s="9" t="n">
        <v>0</v>
      </c>
      <c r="N382" s="9" t="n">
        <v>0</v>
      </c>
      <c r="O382" s="10" t="n">
        <v>0</v>
      </c>
      <c r="P382" s="10" t="n">
        <v>0</v>
      </c>
      <c r="Q382" s="10" t="n">
        <v>0</v>
      </c>
      <c r="R382" s="10" t="n">
        <v>0</v>
      </c>
      <c r="S382" s="10" t="n">
        <v>0</v>
      </c>
    </row>
    <row r="383" ht="229" customHeight="1">
      <c r="A383" s="6">
        <f>IFERROR(__xludf.DUMMYFUNCTION("""COMPUTED_VALUE"""),"function of human eye")</f>
        <v/>
      </c>
      <c r="B383" s="6">
        <f>IFERROR(__xludf.DUMMYFUNCTION("""COMPUTED_VALUE"""),"Resource")</f>
        <v/>
      </c>
      <c r="C383" s="6">
        <f>IFERROR(__xludf.DUMMYFUNCTION("""COMPUTED_VALUE"""),"How human eye functions.graasp")</f>
        <v/>
      </c>
      <c r="D383" s="7">
        <f>IFERROR(__xludf.DUMMYFUNCTION("""COMPUTED_VALUE"""),"&lt;p&gt;The human eye is the organ of sight.&lt;br&gt;The eye organ detects light, and converts it to electrochemical impulses in neurons.&lt;br&gt;Rod and cone cells in the retina allow us see light, figure out &lt;br&gt;perception of depth (how near and far objects are) and t"&amp;"o differentiate &lt;br&gt;color.&lt;/p&gt;")</f>
        <v/>
      </c>
      <c r="E383" s="7">
        <f>IFERROR(__xludf.DUMMYFUNCTION("""COMPUTED_VALUE"""),"No artifact embedded")</f>
        <v/>
      </c>
      <c r="F383" s="7" t="n"/>
      <c r="G383" s="8" t="n">
        <v>1</v>
      </c>
      <c r="H383" s="8" t="n">
        <v>0</v>
      </c>
      <c r="I383" s="8" t="n">
        <v>0</v>
      </c>
      <c r="J383" s="8" t="n">
        <v>0</v>
      </c>
      <c r="K383" s="9" t="n">
        <v>1</v>
      </c>
      <c r="L383" s="9" t="n">
        <v>0</v>
      </c>
      <c r="M383" s="9" t="n">
        <v>0</v>
      </c>
      <c r="N383" s="9" t="n">
        <v>0</v>
      </c>
      <c r="O383" s="10" t="n">
        <v>1</v>
      </c>
      <c r="P383" s="10" t="n">
        <v>0</v>
      </c>
      <c r="Q383" s="10" t="n">
        <v>0</v>
      </c>
      <c r="R383" s="10" t="n">
        <v>0</v>
      </c>
      <c r="S383" s="10" t="n">
        <v>0</v>
      </c>
    </row>
    <row r="384" ht="121" customHeight="1">
      <c r="A384" s="6">
        <f>IFERROR(__xludf.DUMMYFUNCTION("""COMPUTED_VALUE"""),"function of human eye")</f>
        <v/>
      </c>
      <c r="B384" s="6">
        <f>IFERROR(__xludf.DUMMYFUNCTION("""COMPUTED_VALUE"""),"Resource")</f>
        <v/>
      </c>
      <c r="C384" s="6">
        <f>IFERROR(__xludf.DUMMYFUNCTION("""COMPUTED_VALUE"""),"human  eye structure.PNG")</f>
        <v/>
      </c>
      <c r="D384" s="7">
        <f>IFERROR(__xludf.DUMMYFUNCTION("""COMPUTED_VALUE"""),"Vmeous Humor Aqueous Humor Clliary Muscxe Eprtnelrum Cornea 'Pun Iris EYElashes Kenna Fovea Lens Optic Nerve Eyelid Orbital Muscles")</f>
        <v/>
      </c>
      <c r="E384" s="7">
        <f>IFERROR(__xludf.DUMMYFUNCTION("""COMPUTED_VALUE"""),"image/png – A high-quality image with support for transparency, often used in design and web applications.")</f>
        <v/>
      </c>
      <c r="F384" s="7" t="n"/>
      <c r="G384" s="8" t="n">
        <v>1</v>
      </c>
      <c r="H384" s="8" t="n">
        <v>0</v>
      </c>
      <c r="I384" s="8" t="n">
        <v>0</v>
      </c>
      <c r="J384" s="8" t="n">
        <v>0</v>
      </c>
      <c r="K384" s="9" t="n">
        <v>1</v>
      </c>
      <c r="L384" s="9" t="n">
        <v>0</v>
      </c>
      <c r="M384" s="9" t="n">
        <v>0</v>
      </c>
      <c r="N384" s="9" t="n">
        <v>0</v>
      </c>
      <c r="O384" s="10" t="n">
        <v>0</v>
      </c>
      <c r="P384" s="10" t="n">
        <v>0</v>
      </c>
      <c r="Q384" s="10" t="n">
        <v>0</v>
      </c>
      <c r="R384" s="10" t="n">
        <v>0</v>
      </c>
      <c r="S384" s="10" t="n">
        <v>0</v>
      </c>
    </row>
    <row r="385" ht="362" customHeight="1">
      <c r="A385" s="6">
        <f>IFERROR(__xludf.DUMMYFUNCTION("""COMPUTED_VALUE"""),"function of human eye")</f>
        <v/>
      </c>
      <c r="B385" s="6">
        <f>IFERROR(__xludf.DUMMYFUNCTION("""COMPUTED_VALUE"""),"Resource")</f>
        <v/>
      </c>
      <c r="C385" s="6">
        <f>IFERROR(__xludf.DUMMYFUNCTION("""COMPUTED_VALUE"""),"human eye is like a camera.graasp")</f>
        <v/>
      </c>
      <c r="D385" s="7">
        <f>IFERROR(__xludf.DUMMYFUNCTION("""COMPUTED_VALUE"""),"&lt;p&gt;The individual components of the eye work in a manner similar to a &lt;br&gt;camera. Each part plays a vital role in providing clear vision. A human &lt;br&gt;eye is like a camera with the cornea, which is like a lens cover. As the&lt;br&gt; eye’s main focusing element,"&amp;" the cornea takes widely diverging rays of &lt;br&gt;light and bends them through the pupil, the dark, round opening in the &lt;br&gt;center of the colored iris. The iris and pupil act like the aperture of a&lt;br&gt; camera.&lt;/p&gt;")</f>
        <v/>
      </c>
      <c r="E385" s="7">
        <f>IFERROR(__xludf.DUMMYFUNCTION("""COMPUTED_VALUE"""),"No artifact embedded")</f>
        <v/>
      </c>
      <c r="F385" s="7" t="n"/>
      <c r="G385" s="8" t="n">
        <v>1</v>
      </c>
      <c r="H385" s="8" t="n">
        <v>0</v>
      </c>
      <c r="I385" s="8" t="n">
        <v>0</v>
      </c>
      <c r="J385" s="8" t="n">
        <v>0</v>
      </c>
      <c r="K385" s="9" t="n">
        <v>1</v>
      </c>
      <c r="L385" s="9" t="n">
        <v>0</v>
      </c>
      <c r="M385" s="9" t="n">
        <v>0</v>
      </c>
      <c r="N385" s="9" t="n">
        <v>0</v>
      </c>
      <c r="O385" s="10" t="n">
        <v>1</v>
      </c>
      <c r="P385" s="10" t="n">
        <v>0</v>
      </c>
      <c r="Q385" s="10" t="n">
        <v>0</v>
      </c>
      <c r="R385" s="10" t="n">
        <v>0</v>
      </c>
      <c r="S385" s="10" t="n">
        <v>0</v>
      </c>
    </row>
    <row r="386" ht="97" customHeight="1">
      <c r="A386" s="6">
        <f>IFERROR(__xludf.DUMMYFUNCTION("""COMPUTED_VALUE"""),"function of human eye")</f>
        <v/>
      </c>
      <c r="B386" s="6">
        <f>IFERROR(__xludf.DUMMYFUNCTION("""COMPUTED_VALUE"""),"Resource")</f>
        <v/>
      </c>
      <c r="C386" s="6">
        <f>IFERROR(__xludf.DUMMYFUNCTION("""COMPUTED_VALUE"""),"Camera.PNG")</f>
        <v/>
      </c>
      <c r="D386" s="7">
        <f>IFERROR(__xludf.DUMMYFUNCTION("""COMPUTED_VALUE"""),", rsznurz _ '\ Lem _ 7 7 7 Slick mm!")</f>
        <v/>
      </c>
      <c r="E386" s="7">
        <f>IFERROR(__xludf.DUMMYFUNCTION("""COMPUTED_VALUE"""),"image/png – A high-quality image with support for transparency, often used in design and web applications.")</f>
        <v/>
      </c>
      <c r="F386" s="7" t="n"/>
      <c r="G386" s="8" t="n">
        <v>1</v>
      </c>
      <c r="H386" s="8" t="n">
        <v>0</v>
      </c>
      <c r="I386" s="8" t="n">
        <v>0</v>
      </c>
      <c r="J386" s="8" t="n">
        <v>0</v>
      </c>
      <c r="K386" s="9" t="n">
        <v>1</v>
      </c>
      <c r="L386" s="9" t="n">
        <v>0</v>
      </c>
      <c r="M386" s="9" t="n">
        <v>0</v>
      </c>
      <c r="N386" s="9" t="n">
        <v>0</v>
      </c>
      <c r="O386" s="10" t="n">
        <v>0</v>
      </c>
      <c r="P386" s="10" t="n">
        <v>0</v>
      </c>
      <c r="Q386" s="10" t="n">
        <v>0</v>
      </c>
      <c r="R386" s="10" t="n">
        <v>0</v>
      </c>
      <c r="S386" s="10" t="n">
        <v>0</v>
      </c>
    </row>
    <row r="387" ht="409.5" customHeight="1">
      <c r="A387" s="6">
        <f>IFERROR(__xludf.DUMMYFUNCTION("""COMPUTED_VALUE"""),"function of human eye")</f>
        <v/>
      </c>
      <c r="B387" s="6">
        <f>IFERROR(__xludf.DUMMYFUNCTION("""COMPUTED_VALUE"""),"Resource")</f>
        <v/>
      </c>
      <c r="C387" s="6">
        <f>IFERROR(__xludf.DUMMYFUNCTION("""COMPUTED_VALUE"""),"human eye is like the camera.graasp")</f>
        <v/>
      </c>
      <c r="D387" s="7">
        <f>IFERROR(__xludf.DUMMYFUNCTION("""COMPUTED_VALUE"""),"&lt;p&gt;Next in line is the lens which acts like the lens in a camera, helping to focus light to the back of the eye.&lt;br&gt;The very back of the eye is lined with a layer called the retina &lt;br&gt;which is similar to the film in a camera. The retina is a membrane &lt;br"&amp;"&gt;containing photoreceptor nerve cells that line the inside back wall of &lt;br&gt;the eye. The receptor cells (rods and cones) of the retina change the &lt;br&gt;light rays into electrical impulses and send them through the optic &lt;br&gt;nerve to the brain where an image"&amp;" is perceived. The center 10% of the &lt;br&gt;retina is called the macula. This is responsible for your sharp vision, &lt;br&gt;your reading vision.&lt;br&gt;The peripheral retina is responsible for the peripheral vision. As &lt;br&gt;with the camera, if the “film” is bad in th"&amp;"e eye (i.e. the retina), no &lt;br&gt;matter how good the rest of the eye is you will not get a good picture.&lt;br&gt;The human eye is remarkable. It accommodates to changing lighting &lt;br&gt;conditions and focuses light rays originating from various distances &lt;br&gt;from "&amp;"the eye. When all of the components of the eye function properly, &lt;br&gt;light is converted to impulses and conveyed to the brain where an image &lt;br&gt;is perceived.&lt;/p&gt;")</f>
        <v/>
      </c>
      <c r="E387" s="7">
        <f>IFERROR(__xludf.DUMMYFUNCTION("""COMPUTED_VALUE"""),"No artifact embedded")</f>
        <v/>
      </c>
      <c r="F387" s="7" t="n"/>
      <c r="G387" s="8" t="n">
        <v>1</v>
      </c>
      <c r="H387" s="8" t="n">
        <v>0</v>
      </c>
      <c r="I387" s="8" t="n">
        <v>0</v>
      </c>
      <c r="J387" s="8" t="n">
        <v>0</v>
      </c>
      <c r="K387" s="9" t="n">
        <v>1</v>
      </c>
      <c r="L387" s="9" t="n">
        <v>0</v>
      </c>
      <c r="M387" s="9" t="n">
        <v>0</v>
      </c>
      <c r="N387" s="9" t="n">
        <v>0</v>
      </c>
      <c r="O387" s="10" t="n">
        <v>1</v>
      </c>
      <c r="P387" s="10" t="n">
        <v>0</v>
      </c>
      <c r="Q387" s="10" t="n">
        <v>0</v>
      </c>
      <c r="R387" s="10" t="n">
        <v>0</v>
      </c>
      <c r="S387" s="10" t="n">
        <v>0</v>
      </c>
    </row>
    <row r="388" ht="37" customHeight="1">
      <c r="A388" s="6">
        <f>IFERROR(__xludf.DUMMYFUNCTION("""COMPUTED_VALUE"""),"function of human eye")</f>
        <v/>
      </c>
      <c r="B388" s="6">
        <f>IFERROR(__xludf.DUMMYFUNCTION("""COMPUTED_VALUE"""),"Space")</f>
        <v/>
      </c>
      <c r="C388" s="6">
        <f>IFERROR(__xludf.DUMMYFUNCTION("""COMPUTED_VALUE"""),"evaluate")</f>
        <v/>
      </c>
      <c r="D388" s="7">
        <f>IFERROR(__xludf.DUMMYFUNCTION("""COMPUTED_VALUE"""),"&lt;p&gt;Evaluate your self after learning&lt;/p&gt;")</f>
        <v/>
      </c>
      <c r="E388" s="7">
        <f>IFERROR(__xludf.DUMMYFUNCTION("""COMPUTED_VALUE"""),"No artifact embedded")</f>
        <v/>
      </c>
      <c r="F388" s="7" t="n"/>
      <c r="G388" s="8" t="n">
        <v>0</v>
      </c>
      <c r="H388" s="8" t="n">
        <v>1</v>
      </c>
      <c r="I388" s="8" t="n">
        <v>0</v>
      </c>
      <c r="J388" s="8" t="n">
        <v>0</v>
      </c>
      <c r="K388" s="9" t="n">
        <v>1</v>
      </c>
      <c r="L388" s="9" t="n">
        <v>0</v>
      </c>
      <c r="M388" s="9" t="n">
        <v>0</v>
      </c>
      <c r="N388" s="9" t="n">
        <v>0</v>
      </c>
      <c r="O388" s="10" t="n">
        <v>0</v>
      </c>
      <c r="P388" s="10" t="n">
        <v>0</v>
      </c>
      <c r="Q388" s="10" t="n">
        <v>0</v>
      </c>
      <c r="R388" s="10" t="n">
        <v>0</v>
      </c>
      <c r="S388" s="10" t="n">
        <v>1</v>
      </c>
    </row>
    <row r="389" ht="121" customHeight="1">
      <c r="A389" s="6">
        <f>IFERROR(__xludf.DUMMYFUNCTION("""COMPUTED_VALUE"""),"function of human eye")</f>
        <v/>
      </c>
      <c r="B389" s="6">
        <f>IFERROR(__xludf.DUMMYFUNCTION("""COMPUTED_VALUE"""),"Resource")</f>
        <v/>
      </c>
      <c r="C389" s="6">
        <f>IFERROR(__xludf.DUMMYFUNCTION("""COMPUTED_VALUE"""),"KScience - Animations")</f>
        <v/>
      </c>
      <c r="D389" s="7">
        <f>IFERROR(__xludf.DUMMYFUNCTION("""COMPUTED_VALUE"""),"No task description")</f>
        <v/>
      </c>
      <c r="E389" s="7">
        <f>IFERROR(__xludf.DUMMYFUNCTION("""COMPUTED_VALUE"""),"kscience.co.uk: A UK-based educational site offering animations and interactive content related to science topics, such as eye function.")</f>
        <v/>
      </c>
      <c r="F389" s="7" t="n"/>
      <c r="G389" s="8" t="n">
        <v>0</v>
      </c>
      <c r="H389" s="8" t="n">
        <v>1</v>
      </c>
      <c r="I389" s="8" t="n">
        <v>0</v>
      </c>
      <c r="J389" s="8" t="n">
        <v>0</v>
      </c>
      <c r="K389" s="9" t="n">
        <v>1</v>
      </c>
      <c r="L389" s="9" t="n">
        <v>0</v>
      </c>
      <c r="M389" s="9" t="n">
        <v>0</v>
      </c>
      <c r="N389" s="9" t="n">
        <v>0</v>
      </c>
      <c r="O389" s="10" t="n">
        <v>0</v>
      </c>
      <c r="P389" s="10" t="n">
        <v>0</v>
      </c>
      <c r="Q389" s="10" t="n">
        <v>0</v>
      </c>
      <c r="R389" s="10" t="n">
        <v>0</v>
      </c>
      <c r="S389" s="10" t="n">
        <v>0</v>
      </c>
    </row>
    <row r="390" ht="109" customHeight="1">
      <c r="A390" s="6">
        <f>IFERROR(__xludf.DUMMYFUNCTION("""COMPUTED_VALUE"""),"function of human eye")</f>
        <v/>
      </c>
      <c r="B390" s="6">
        <f>IFERROR(__xludf.DUMMYFUNCTION("""COMPUTED_VALUE"""),"Resource")</f>
        <v/>
      </c>
      <c r="C390" s="6">
        <f>IFERROR(__xludf.DUMMYFUNCTION("""COMPUTED_VALUE"""),"Quiz: Eyes")</f>
        <v/>
      </c>
      <c r="D390" s="7">
        <f>IFERROR(__xludf.DUMMYFUNCTION("""COMPUTED_VALUE"""),"Take this quiz about your eyes.")</f>
        <v/>
      </c>
      <c r="E390" s="7">
        <f>IFERROR(__xludf.DUMMYFUNCTION("""COMPUTED_VALUE"""),"Artifact from kidshealth.org: Offers health-related information and quizzes designed for children, such as eye health quizzes.")</f>
        <v/>
      </c>
      <c r="F390" s="7" t="n"/>
      <c r="G390" s="8" t="n">
        <v>0</v>
      </c>
      <c r="H390" s="8" t="n">
        <v>0</v>
      </c>
      <c r="I390" s="8" t="n">
        <v>1</v>
      </c>
      <c r="J390" s="8" t="n">
        <v>0</v>
      </c>
      <c r="K390" s="9" t="n">
        <v>0</v>
      </c>
      <c r="L390" s="9" t="n">
        <v>1</v>
      </c>
      <c r="M390" s="9" t="n">
        <v>0</v>
      </c>
      <c r="N390" s="9" t="n">
        <v>0</v>
      </c>
      <c r="O390" s="10" t="n">
        <v>0</v>
      </c>
      <c r="P390" s="10" t="n">
        <v>0</v>
      </c>
      <c r="Q390" s="10" t="n">
        <v>0</v>
      </c>
      <c r="R390" s="10" t="n">
        <v>0</v>
      </c>
      <c r="S390" s="10" t="n">
        <v>0</v>
      </c>
    </row>
    <row r="391" ht="25" customHeight="1">
      <c r="A391" s="6">
        <f>IFERROR(__xludf.DUMMYFUNCTION("""COMPUTED_VALUE"""),"molarity")</f>
        <v/>
      </c>
      <c r="B391" s="6">
        <f>IFERROR(__xludf.DUMMYFUNCTION("""COMPUTED_VALUE"""),"Space")</f>
        <v/>
      </c>
      <c r="C391" s="6">
        <f>IFERROR(__xludf.DUMMYFUNCTION("""COMPUTED_VALUE"""),"Engage")</f>
        <v/>
      </c>
      <c r="D391" s="7">
        <f>IFERROR(__xludf.DUMMYFUNCTION("""COMPUTED_VALUE"""),"No task description")</f>
        <v/>
      </c>
      <c r="E391" s="7">
        <f>IFERROR(__xludf.DUMMYFUNCTION("""COMPUTED_VALUE"""),"No artifact embedded")</f>
        <v/>
      </c>
      <c r="F391" s="7" t="n"/>
      <c r="G391" s="8" t="n">
        <v>0</v>
      </c>
      <c r="H391" s="8" t="n">
        <v>0</v>
      </c>
      <c r="I391" s="8" t="n">
        <v>0</v>
      </c>
      <c r="J391" s="8" t="n">
        <v>0</v>
      </c>
      <c r="K391" s="9" t="n">
        <v>0</v>
      </c>
      <c r="L391" s="9" t="n">
        <v>0</v>
      </c>
      <c r="M391" s="9" t="n">
        <v>0</v>
      </c>
      <c r="N391" s="9" t="n">
        <v>0</v>
      </c>
      <c r="O391" s="10" t="n">
        <v>0</v>
      </c>
      <c r="P391" s="10" t="n">
        <v>0</v>
      </c>
      <c r="Q391" s="10" t="n">
        <v>0</v>
      </c>
      <c r="R391" s="10" t="n">
        <v>0</v>
      </c>
      <c r="S391" s="10" t="n">
        <v>0</v>
      </c>
    </row>
    <row r="392" ht="109" customHeight="1">
      <c r="A392" s="6">
        <f>IFERROR(__xludf.DUMMYFUNCTION("""COMPUTED_VALUE"""),"molarity")</f>
        <v/>
      </c>
      <c r="B392" s="6">
        <f>IFERROR(__xludf.DUMMYFUNCTION("""COMPUTED_VALUE"""),"Resource")</f>
        <v/>
      </c>
      <c r="C392" s="6">
        <f>IFERROR(__xludf.DUMMYFUNCTION("""COMPUTED_VALUE"""),"proc 1.graasp")</f>
        <v/>
      </c>
      <c r="D392" s="7">
        <f>IFERROR(__xludf.DUMMYFUNCTION("""COMPUTED_VALUE"""),"&lt;ol&gt;&lt;li&gt;study the image below and make observation&lt;/li&gt;&lt;li&gt;compare the concentration of those four solutions&lt;/li&gt;&lt;/ol&gt;")</f>
        <v/>
      </c>
      <c r="E392" s="7">
        <f>IFERROR(__xludf.DUMMYFUNCTION("""COMPUTED_VALUE"""),"No artifact embedded")</f>
        <v/>
      </c>
      <c r="F392" s="7" t="n"/>
      <c r="G392" s="8" t="n">
        <v>0</v>
      </c>
      <c r="H392" s="8" t="n">
        <v>0</v>
      </c>
      <c r="I392" s="8" t="n">
        <v>1</v>
      </c>
      <c r="J392" s="8" t="n">
        <v>0</v>
      </c>
      <c r="K392" s="9" t="n">
        <v>0</v>
      </c>
      <c r="L392" s="9" t="n">
        <v>1</v>
      </c>
      <c r="M392" s="9" t="n">
        <v>0</v>
      </c>
      <c r="N392" s="9" t="n">
        <v>0</v>
      </c>
      <c r="O392" s="10" t="n">
        <v>1</v>
      </c>
      <c r="P392" s="10" t="n">
        <v>0</v>
      </c>
      <c r="Q392" s="10" t="n">
        <v>0</v>
      </c>
      <c r="R392" s="10" t="n">
        <v>0</v>
      </c>
      <c r="S392" s="10" t="n">
        <v>0</v>
      </c>
    </row>
    <row r="393" ht="121" customHeight="1">
      <c r="A393" s="6">
        <f>IFERROR(__xludf.DUMMYFUNCTION("""COMPUTED_VALUE"""),"molarity")</f>
        <v/>
      </c>
      <c r="B393" s="6">
        <f>IFERROR(__xludf.DUMMYFUNCTION("""COMPUTED_VALUE"""),"Resource")</f>
        <v/>
      </c>
      <c r="C393" s="6">
        <f>IFERROR(__xludf.DUMMYFUNCTION("""COMPUTED_VALUE"""),"dilution.JPG")</f>
        <v/>
      </c>
      <c r="D393" s="7">
        <f>IFERROR(__xludf.DUMMYFUNCTION("""COMPUTED_VALUE"""),"rnmxmmr + 9m] + 9m + 9m] + 9ml Ml IIdIIli Ml undid Col-Int!""")</f>
        <v/>
      </c>
      <c r="E393" s="7">
        <f>IFERROR(__xludf.DUMMYFUNCTION("""COMPUTED_VALUE"""),"image/jpeg – A digital photograph or web image stored in a compressed format, often used for photography and web graphics.")</f>
        <v/>
      </c>
      <c r="F393" s="7" t="n"/>
      <c r="G393" s="8" t="n">
        <v>1</v>
      </c>
      <c r="H393" s="8" t="n">
        <v>0</v>
      </c>
      <c r="I393" s="8" t="n">
        <v>0</v>
      </c>
      <c r="J393" s="8" t="n">
        <v>0</v>
      </c>
      <c r="K393" s="9" t="n">
        <v>1</v>
      </c>
      <c r="L393" s="9" t="n">
        <v>0</v>
      </c>
      <c r="M393" s="9" t="n">
        <v>0</v>
      </c>
      <c r="N393" s="9" t="n">
        <v>0</v>
      </c>
      <c r="O393" s="10" t="n">
        <v>0</v>
      </c>
      <c r="P393" s="10" t="n">
        <v>0</v>
      </c>
      <c r="Q393" s="10" t="n">
        <v>0</v>
      </c>
      <c r="R393" s="10" t="n">
        <v>0</v>
      </c>
      <c r="S393" s="10" t="n">
        <v>0</v>
      </c>
    </row>
    <row r="394" ht="329" customHeight="1">
      <c r="A394" s="6">
        <f>IFERROR(__xludf.DUMMYFUNCTION("""COMPUTED_VALUE"""),"molarity")</f>
        <v/>
      </c>
      <c r="B394" s="6">
        <f>IFERROR(__xludf.DUMMYFUNCTION("""COMPUTED_VALUE"""),"Application")</f>
        <v/>
      </c>
      <c r="C394" s="6">
        <f>IFERROR(__xludf.DUMMYFUNCTION("""COMPUTED_VALUE"""),"Input Box")</f>
        <v/>
      </c>
      <c r="D394" s="7">
        <f>IFERROR(__xludf.DUMMYFUNCTION("""COMPUTED_VALUE"""),"No task description")</f>
        <v/>
      </c>
      <c r="E39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94" s="7" t="n"/>
      <c r="G394" s="8" t="n">
        <v>0</v>
      </c>
      <c r="H394" s="8" t="n">
        <v>0</v>
      </c>
      <c r="I394" s="8" t="n">
        <v>1</v>
      </c>
      <c r="J394" s="8" t="n">
        <v>0</v>
      </c>
      <c r="K394" s="9" t="n">
        <v>0</v>
      </c>
      <c r="L394" s="9" t="n">
        <v>1</v>
      </c>
      <c r="M394" s="9" t="n">
        <v>0</v>
      </c>
      <c r="N394" s="9" t="n">
        <v>0</v>
      </c>
      <c r="O394" s="10" t="n">
        <v>0</v>
      </c>
      <c r="P394" s="10" t="n">
        <v>0</v>
      </c>
      <c r="Q394" s="10" t="n">
        <v>0</v>
      </c>
      <c r="R394" s="10" t="n">
        <v>0</v>
      </c>
      <c r="S394" s="10" t="n">
        <v>0</v>
      </c>
    </row>
    <row r="395" ht="121" customHeight="1">
      <c r="A395" s="6">
        <f>IFERROR(__xludf.DUMMYFUNCTION("""COMPUTED_VALUE"""),"molarity")</f>
        <v/>
      </c>
      <c r="B395" s="6">
        <f>IFERROR(__xludf.DUMMYFUNCTION("""COMPUTED_VALUE"""),"Resource")</f>
        <v/>
      </c>
      <c r="C395" s="6">
        <f>IFERROR(__xludf.DUMMYFUNCTION("""COMPUTED_VALUE"""),"Concentration of Solutions.mp4")</f>
        <v/>
      </c>
      <c r="D395" s="7">
        <f>IFERROR(__xludf.DUMMYFUNCTION("""COMPUTED_VALUE"""),"No task description")</f>
        <v/>
      </c>
      <c r="E395" s="7">
        <f>IFERROR(__xludf.DUMMYFUNCTION("""COMPUTED_VALUE"""),"video/mp4 – A video file containing moving images and possibly audio, suitable for playback on most modern devices and platforms.")</f>
        <v/>
      </c>
      <c r="F395" s="7" t="n"/>
      <c r="G395" s="8" t="n">
        <v>1</v>
      </c>
      <c r="H395" s="8" t="n">
        <v>0</v>
      </c>
      <c r="I395" s="8" t="n">
        <v>0</v>
      </c>
      <c r="J395" s="8" t="n">
        <v>0</v>
      </c>
      <c r="K395" s="9" t="n">
        <v>1</v>
      </c>
      <c r="L395" s="9" t="n">
        <v>0</v>
      </c>
      <c r="M395" s="9" t="n">
        <v>0</v>
      </c>
      <c r="N395" s="9" t="n">
        <v>0</v>
      </c>
      <c r="O395" s="10" t="n">
        <v>0</v>
      </c>
      <c r="P395" s="10" t="n">
        <v>0</v>
      </c>
      <c r="Q395" s="10" t="n">
        <v>0</v>
      </c>
      <c r="R395" s="10" t="n">
        <v>0</v>
      </c>
      <c r="S395" s="10" t="n">
        <v>0</v>
      </c>
    </row>
    <row r="396" ht="25" customHeight="1">
      <c r="A396" s="6">
        <f>IFERROR(__xludf.DUMMYFUNCTION("""COMPUTED_VALUE"""),"molarity")</f>
        <v/>
      </c>
      <c r="B396" s="6">
        <f>IFERROR(__xludf.DUMMYFUNCTION("""COMPUTED_VALUE"""),"Resource")</f>
        <v/>
      </c>
      <c r="C396" s="6">
        <f>IFERROR(__xludf.DUMMYFUNCTION("""COMPUTED_VALUE"""),"proc 2.graasp")</f>
        <v/>
      </c>
      <c r="D396" s="7">
        <f>IFERROR(__xludf.DUMMYFUNCTION("""COMPUTED_VALUE"""),"No task description")</f>
        <v/>
      </c>
      <c r="E396" s="7">
        <f>IFERROR(__xludf.DUMMYFUNCTION("""COMPUTED_VALUE"""),"No artifact embedded")</f>
        <v/>
      </c>
      <c r="F396" s="7" t="n"/>
      <c r="G396" s="8" t="n">
        <v>0</v>
      </c>
      <c r="H396" s="8" t="n">
        <v>0</v>
      </c>
      <c r="I396" s="8" t="n">
        <v>0</v>
      </c>
      <c r="J396" s="8" t="n">
        <v>0</v>
      </c>
      <c r="K396" s="9" t="n">
        <v>0</v>
      </c>
      <c r="L396" s="9" t="n">
        <v>0</v>
      </c>
      <c r="M396" s="9" t="n">
        <v>0</v>
      </c>
      <c r="N396" s="9" t="n">
        <v>0</v>
      </c>
      <c r="O396" s="10" t="n">
        <v>0</v>
      </c>
      <c r="P396" s="10" t="n">
        <v>0</v>
      </c>
      <c r="Q396" s="10" t="n">
        <v>0</v>
      </c>
      <c r="R396" s="10" t="n">
        <v>0</v>
      </c>
      <c r="S396" s="10" t="n">
        <v>0</v>
      </c>
    </row>
    <row r="397" ht="25" customHeight="1">
      <c r="A397" s="6">
        <f>IFERROR(__xludf.DUMMYFUNCTION("""COMPUTED_VALUE"""),"molarity")</f>
        <v/>
      </c>
      <c r="B397" s="6">
        <f>IFERROR(__xludf.DUMMYFUNCTION("""COMPUTED_VALUE"""),"Space")</f>
        <v/>
      </c>
      <c r="C397" s="6">
        <f>IFERROR(__xludf.DUMMYFUNCTION("""COMPUTED_VALUE"""),"Explore")</f>
        <v/>
      </c>
      <c r="D397" s="7">
        <f>IFERROR(__xludf.DUMMYFUNCTION("""COMPUTED_VALUE"""),"No task description")</f>
        <v/>
      </c>
      <c r="E397" s="7">
        <f>IFERROR(__xludf.DUMMYFUNCTION("""COMPUTED_VALUE"""),"No artifact embedded")</f>
        <v/>
      </c>
      <c r="F397" s="7" t="n"/>
      <c r="G397" s="8" t="n">
        <v>0</v>
      </c>
      <c r="H397" s="8" t="n">
        <v>0</v>
      </c>
      <c r="I397" s="8" t="n">
        <v>0</v>
      </c>
      <c r="J397" s="8" t="n">
        <v>0</v>
      </c>
      <c r="K397" s="9" t="n">
        <v>0</v>
      </c>
      <c r="L397" s="9" t="n">
        <v>0</v>
      </c>
      <c r="M397" s="9" t="n">
        <v>0</v>
      </c>
      <c r="N397" s="9" t="n">
        <v>0</v>
      </c>
      <c r="O397" s="10" t="n">
        <v>0</v>
      </c>
      <c r="P397" s="10" t="n">
        <v>0</v>
      </c>
      <c r="Q397" s="10" t="n">
        <v>0</v>
      </c>
      <c r="R397" s="10" t="n">
        <v>0</v>
      </c>
      <c r="S397" s="10" t="n">
        <v>0</v>
      </c>
    </row>
    <row r="398" ht="25" customHeight="1">
      <c r="A398" s="6">
        <f>IFERROR(__xludf.DUMMYFUNCTION("""COMPUTED_VALUE"""),"molarity")</f>
        <v/>
      </c>
      <c r="B398" s="6">
        <f>IFERROR(__xludf.DUMMYFUNCTION("""COMPUTED_VALUE"""),"Resource")</f>
        <v/>
      </c>
      <c r="C398" s="6">
        <f>IFERROR(__xludf.DUMMYFUNCTION("""COMPUTED_VALUE"""),"procedure.graasp")</f>
        <v/>
      </c>
      <c r="D398" s="7">
        <f>IFERROR(__xludf.DUMMYFUNCTION("""COMPUTED_VALUE"""),"No task description")</f>
        <v/>
      </c>
      <c r="E398" s="7">
        <f>IFERROR(__xludf.DUMMYFUNCTION("""COMPUTED_VALUE"""),"No artifact embedded")</f>
        <v/>
      </c>
      <c r="F398" s="7" t="n"/>
      <c r="G398" s="8" t="n">
        <v>0</v>
      </c>
      <c r="H398" s="8" t="n">
        <v>0</v>
      </c>
      <c r="I398" s="8" t="n">
        <v>0</v>
      </c>
      <c r="J398" s="8" t="n">
        <v>0</v>
      </c>
      <c r="K398" s="9" t="n">
        <v>0</v>
      </c>
      <c r="L398" s="9" t="n">
        <v>0</v>
      </c>
      <c r="M398" s="9" t="n">
        <v>0</v>
      </c>
      <c r="N398" s="9" t="n">
        <v>0</v>
      </c>
      <c r="O398" s="10" t="n">
        <v>0</v>
      </c>
      <c r="P398" s="10" t="n">
        <v>0</v>
      </c>
      <c r="Q398" s="10" t="n">
        <v>0</v>
      </c>
      <c r="R398" s="10" t="n">
        <v>0</v>
      </c>
      <c r="S398" s="10" t="n">
        <v>0</v>
      </c>
    </row>
    <row r="399" ht="241" customHeight="1">
      <c r="A399" s="6">
        <f>IFERROR(__xludf.DUMMYFUNCTION("""COMPUTED_VALUE"""),"molarity")</f>
        <v/>
      </c>
      <c r="B399" s="6">
        <f>IFERROR(__xludf.DUMMYFUNCTION("""COMPUTED_VALUE"""),"Application")</f>
        <v/>
      </c>
      <c r="C399" s="6">
        <f>IFERROR(__xludf.DUMMYFUNCTION("""COMPUTED_VALUE"""),"Molarity app")</f>
        <v/>
      </c>
      <c r="D399" s="7">
        <f>IFERROR(__xludf.DUMMYFUNCTION("""COMPUTED_VALUE"""),"No task description")</f>
        <v/>
      </c>
      <c r="E399" s="7">
        <f>IFERROR(__xludf.DUMMYFUNCTION("""COMPUTED_VALUE"""),"Golabz app/lab: ""&lt;p&gt;What determines the concentration of a solution? Learn about the relationships between moles, liters, and molarity by adjusting the amount of solute and solution volume. Change solutes to compare different chemical compounds in water."&amp;"&lt;/p&gt;""")</f>
        <v/>
      </c>
      <c r="F399" s="7" t="n"/>
      <c r="G399" s="8" t="n">
        <v>0</v>
      </c>
      <c r="H399" s="8" t="n">
        <v>1</v>
      </c>
      <c r="I399" s="8" t="n">
        <v>0</v>
      </c>
      <c r="J399" s="8" t="n">
        <v>0</v>
      </c>
      <c r="K399" s="9" t="n">
        <v>1</v>
      </c>
      <c r="L399" s="9" t="n">
        <v>0</v>
      </c>
      <c r="M399" s="9" t="n">
        <v>0</v>
      </c>
      <c r="N399" s="9" t="n">
        <v>0</v>
      </c>
      <c r="O399" s="10" t="n">
        <v>0</v>
      </c>
      <c r="P399" s="10" t="n">
        <v>0</v>
      </c>
      <c r="Q399" s="10" t="n">
        <v>1</v>
      </c>
      <c r="R399" s="10" t="n">
        <v>0</v>
      </c>
      <c r="S399" s="10" t="n">
        <v>0</v>
      </c>
    </row>
    <row r="400" ht="409.5" customHeight="1">
      <c r="A400" s="6">
        <f>IFERROR(__xludf.DUMMYFUNCTION("""COMPUTED_VALUE"""),"molarity")</f>
        <v/>
      </c>
      <c r="B400" s="6">
        <f>IFERROR(__xludf.DUMMYFUNCTION("""COMPUTED_VALUE"""),"Application")</f>
        <v/>
      </c>
      <c r="C400" s="6">
        <f>IFERROR(__xludf.DUMMYFUNCTION("""COMPUTED_VALUE"""),"Table Tool")</f>
        <v/>
      </c>
      <c r="D400" s="7">
        <f>IFERROR(__xludf.DUMMYFUNCTION("""COMPUTED_VALUE"""),"No task description")</f>
        <v/>
      </c>
      <c r="E400"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00" s="7" t="n"/>
      <c r="G400" s="8" t="n">
        <v>0</v>
      </c>
      <c r="H400" s="8" t="n">
        <v>0</v>
      </c>
      <c r="I400" s="8" t="n">
        <v>0</v>
      </c>
      <c r="J400" s="8" t="n">
        <v>0</v>
      </c>
      <c r="K400" s="9" t="n">
        <v>0</v>
      </c>
      <c r="L400" s="9" t="n">
        <v>0</v>
      </c>
      <c r="M400" s="9" t="n">
        <v>0</v>
      </c>
      <c r="N400" s="9" t="n">
        <v>0</v>
      </c>
      <c r="O400" s="10" t="n">
        <v>0</v>
      </c>
      <c r="P400" s="10" t="n">
        <v>0</v>
      </c>
      <c r="Q400" s="10" t="n">
        <v>0</v>
      </c>
      <c r="R400" s="10" t="n">
        <v>0</v>
      </c>
      <c r="S400" s="10" t="n">
        <v>0</v>
      </c>
    </row>
    <row r="401" ht="25" customHeight="1">
      <c r="A401" s="6">
        <f>IFERROR(__xludf.DUMMYFUNCTION("""COMPUTED_VALUE"""),"molarity")</f>
        <v/>
      </c>
      <c r="B401" s="6">
        <f>IFERROR(__xludf.DUMMYFUNCTION("""COMPUTED_VALUE"""),"Space")</f>
        <v/>
      </c>
      <c r="C401" s="6">
        <f>IFERROR(__xludf.DUMMYFUNCTION("""COMPUTED_VALUE"""),"Explain")</f>
        <v/>
      </c>
      <c r="D401" s="7">
        <f>IFERROR(__xludf.DUMMYFUNCTION("""COMPUTED_VALUE"""),"No task description")</f>
        <v/>
      </c>
      <c r="E401" s="7">
        <f>IFERROR(__xludf.DUMMYFUNCTION("""COMPUTED_VALUE"""),"No artifact embedded")</f>
        <v/>
      </c>
      <c r="F401" s="7" t="n"/>
      <c r="G401" s="8" t="n">
        <v>0</v>
      </c>
      <c r="H401" s="8" t="n">
        <v>0</v>
      </c>
      <c r="I401" s="8" t="n">
        <v>0</v>
      </c>
      <c r="J401" s="8" t="n">
        <v>0</v>
      </c>
      <c r="K401" s="9" t="n">
        <v>0</v>
      </c>
      <c r="L401" s="9" t="n">
        <v>0</v>
      </c>
      <c r="M401" s="9" t="n">
        <v>0</v>
      </c>
      <c r="N401" s="9" t="n">
        <v>0</v>
      </c>
      <c r="O401" s="10" t="n">
        <v>0</v>
      </c>
      <c r="P401" s="10" t="n">
        <v>0</v>
      </c>
      <c r="Q401" s="10" t="n">
        <v>0</v>
      </c>
      <c r="R401" s="10" t="n">
        <v>0</v>
      </c>
      <c r="S401" s="10" t="n">
        <v>0</v>
      </c>
    </row>
    <row r="402" ht="25" customHeight="1">
      <c r="A402" s="6">
        <f>IFERROR(__xludf.DUMMYFUNCTION("""COMPUTED_VALUE"""),"molarity")</f>
        <v/>
      </c>
      <c r="B402" s="6">
        <f>IFERROR(__xludf.DUMMYFUNCTION("""COMPUTED_VALUE"""),"Space")</f>
        <v/>
      </c>
      <c r="C402" s="6">
        <f>IFERROR(__xludf.DUMMYFUNCTION("""COMPUTED_VALUE"""),"Elaborate")</f>
        <v/>
      </c>
      <c r="D402" s="7">
        <f>IFERROR(__xludf.DUMMYFUNCTION("""COMPUTED_VALUE"""),"No task description")</f>
        <v/>
      </c>
      <c r="E402" s="7">
        <f>IFERROR(__xludf.DUMMYFUNCTION("""COMPUTED_VALUE"""),"No artifact embedded")</f>
        <v/>
      </c>
      <c r="F402" s="7" t="n"/>
      <c r="G402" s="8" t="n">
        <v>0</v>
      </c>
      <c r="H402" s="8" t="n">
        <v>0</v>
      </c>
      <c r="I402" s="8" t="n">
        <v>0</v>
      </c>
      <c r="J402" s="8" t="n">
        <v>0</v>
      </c>
      <c r="K402" s="9" t="n">
        <v>0</v>
      </c>
      <c r="L402" s="9" t="n">
        <v>0</v>
      </c>
      <c r="M402" s="9" t="n">
        <v>0</v>
      </c>
      <c r="N402" s="9" t="n">
        <v>0</v>
      </c>
      <c r="O402" s="10" t="n">
        <v>0</v>
      </c>
      <c r="P402" s="10" t="n">
        <v>0</v>
      </c>
      <c r="Q402" s="10" t="n">
        <v>0</v>
      </c>
      <c r="R402" s="10" t="n">
        <v>0</v>
      </c>
      <c r="S402" s="10" t="n">
        <v>0</v>
      </c>
    </row>
    <row r="403" ht="109" customHeight="1">
      <c r="A403" s="6">
        <f>IFERROR(__xludf.DUMMYFUNCTION("""COMPUTED_VALUE"""),"molarity")</f>
        <v/>
      </c>
      <c r="B403" s="6">
        <f>IFERROR(__xludf.DUMMYFUNCTION("""COMPUTED_VALUE"""),"Resource")</f>
        <v/>
      </c>
      <c r="C403" s="6">
        <f>IFERROR(__xludf.DUMMYFUNCTION("""COMPUTED_VALUE"""),"instr 1.graasp")</f>
        <v/>
      </c>
      <c r="D403" s="7">
        <f>IFERROR(__xludf.DUMMYFUNCTION("""COMPUTED_VALUE"""),"&lt;ul&gt;&lt;li&gt;Concentrated refers to chemical solutions that have high concentrations of a large amount of solute in the solution&lt;/li&gt;&lt;/ul&gt;")</f>
        <v/>
      </c>
      <c r="E403" s="7">
        <f>IFERROR(__xludf.DUMMYFUNCTION("""COMPUTED_VALUE"""),"No artifact embedded")</f>
        <v/>
      </c>
      <c r="F403" s="7" t="n"/>
      <c r="G403" s="8" t="n">
        <v>1</v>
      </c>
      <c r="H403" s="8" t="n">
        <v>0</v>
      </c>
      <c r="I403" s="8" t="n">
        <v>0</v>
      </c>
      <c r="J403" s="8" t="n">
        <v>0</v>
      </c>
      <c r="K403" s="9" t="n">
        <v>1</v>
      </c>
      <c r="L403" s="9" t="n">
        <v>0</v>
      </c>
      <c r="M403" s="9" t="n">
        <v>0</v>
      </c>
      <c r="N403" s="9" t="n">
        <v>0</v>
      </c>
      <c r="O403" s="10" t="n">
        <v>1</v>
      </c>
      <c r="P403" s="10" t="n">
        <v>0</v>
      </c>
      <c r="Q403" s="10" t="n">
        <v>0</v>
      </c>
      <c r="R403" s="10" t="n">
        <v>0</v>
      </c>
      <c r="S403" s="10" t="n">
        <v>0</v>
      </c>
    </row>
    <row r="404" ht="109" customHeight="1">
      <c r="A404" s="6">
        <f>IFERROR(__xludf.DUMMYFUNCTION("""COMPUTED_VALUE"""),"molarity")</f>
        <v/>
      </c>
      <c r="B404" s="6">
        <f>IFERROR(__xludf.DUMMYFUNCTION("""COMPUTED_VALUE"""),"Resource")</f>
        <v/>
      </c>
      <c r="C404" s="6">
        <f>IFERROR(__xludf.DUMMYFUNCTION("""COMPUTED_VALUE"""),"dilute solutions.graasp")</f>
        <v/>
      </c>
      <c r="D404" s="7">
        <f>IFERROR(__xludf.DUMMYFUNCTION("""COMPUTED_VALUE"""),"&lt;em&gt;&lt;/em&gt;&lt;strong&gt;&lt;/strong&gt;Dilute solutions contains a small amount of solvent compared with the amount of solvent")</f>
        <v/>
      </c>
      <c r="E404" s="7">
        <f>IFERROR(__xludf.DUMMYFUNCTION("""COMPUTED_VALUE"""),"No artifact embedded")</f>
        <v/>
      </c>
      <c r="F404" s="7" t="n"/>
      <c r="G404" s="8" t="n">
        <v>1</v>
      </c>
      <c r="H404" s="8" t="n">
        <v>0</v>
      </c>
      <c r="I404" s="8" t="n">
        <v>0</v>
      </c>
      <c r="J404" s="8" t="n">
        <v>0</v>
      </c>
      <c r="K404" s="9" t="n">
        <v>1</v>
      </c>
      <c r="L404" s="9" t="n">
        <v>0</v>
      </c>
      <c r="M404" s="9" t="n">
        <v>0</v>
      </c>
      <c r="N404" s="9" t="n">
        <v>0</v>
      </c>
      <c r="O404" s="10" t="n">
        <v>1</v>
      </c>
      <c r="P404" s="10" t="n">
        <v>0</v>
      </c>
      <c r="Q404" s="10" t="n">
        <v>0</v>
      </c>
      <c r="R404" s="10" t="n">
        <v>0</v>
      </c>
      <c r="S404" s="10" t="n">
        <v>0</v>
      </c>
    </row>
    <row r="405" ht="25" customHeight="1">
      <c r="A405" s="6">
        <f>IFERROR(__xludf.DUMMYFUNCTION("""COMPUTED_VALUE"""),"molarity")</f>
        <v/>
      </c>
      <c r="B405" s="6">
        <f>IFERROR(__xludf.DUMMYFUNCTION("""COMPUTED_VALUE"""),"Space")</f>
        <v/>
      </c>
      <c r="C405" s="6">
        <f>IFERROR(__xludf.DUMMYFUNCTION("""COMPUTED_VALUE"""),"Evaluate")</f>
        <v/>
      </c>
      <c r="D405" s="7">
        <f>IFERROR(__xludf.DUMMYFUNCTION("""COMPUTED_VALUE"""),"No task description")</f>
        <v/>
      </c>
      <c r="E405" s="7">
        <f>IFERROR(__xludf.DUMMYFUNCTION("""COMPUTED_VALUE"""),"No artifact embedded")</f>
        <v/>
      </c>
      <c r="F405" s="7" t="n"/>
      <c r="G405" s="8" t="n">
        <v>0</v>
      </c>
      <c r="H405" s="8" t="n">
        <v>0</v>
      </c>
      <c r="I405" s="8" t="n">
        <v>0</v>
      </c>
      <c r="J405" s="8" t="n">
        <v>0</v>
      </c>
      <c r="K405" s="9" t="n">
        <v>0</v>
      </c>
      <c r="L405" s="9" t="n">
        <v>0</v>
      </c>
      <c r="M405" s="9" t="n">
        <v>0</v>
      </c>
      <c r="N405" s="9" t="n">
        <v>0</v>
      </c>
      <c r="O405" s="10" t="n">
        <v>0</v>
      </c>
      <c r="P405" s="10" t="n">
        <v>0</v>
      </c>
      <c r="Q405" s="10" t="n">
        <v>0</v>
      </c>
      <c r="R405" s="10" t="n">
        <v>0</v>
      </c>
      <c r="S405" s="10" t="n">
        <v>0</v>
      </c>
    </row>
    <row r="406" ht="157" customHeight="1">
      <c r="A406" s="6">
        <f>IFERROR(__xludf.DUMMYFUNCTION("""COMPUTED_VALUE"""),"molarity")</f>
        <v/>
      </c>
      <c r="B406" s="6">
        <f>IFERROR(__xludf.DUMMYFUNCTION("""COMPUTED_VALUE"""),"Application")</f>
        <v/>
      </c>
      <c r="C406" s="6">
        <f>IFERROR(__xludf.DUMMYFUNCTION("""COMPUTED_VALUE"""),"File Drop")</f>
        <v/>
      </c>
      <c r="D406" s="7">
        <f>IFERROR(__xludf.DUMMYFUNCTION("""COMPUTED_VALUE"""),"&lt;p&gt;click here to upload file to answer the following question.what is the differences between molarity and concentration &lt;/p&gt;")</f>
        <v/>
      </c>
      <c r="E406" s="7">
        <f>IFERROR(__xludf.DUMMYFUNCTION("""COMPUTED_VALUE"""),"Golabz app/lab: ""&lt;p&gt;This app allows students to upload files, e.g., assignment and reports, to the Inquiry learning Space. The app also allows teachers to download the uploaded files.&lt;/p&gt;\r\n""")</f>
        <v/>
      </c>
      <c r="F406" s="7" t="n"/>
      <c r="G406" s="8" t="n">
        <v>0</v>
      </c>
      <c r="H406" s="8" t="n">
        <v>0</v>
      </c>
      <c r="I406" s="8" t="n">
        <v>1</v>
      </c>
      <c r="J406" s="8" t="n">
        <v>0</v>
      </c>
      <c r="K406" s="9" t="n">
        <v>0</v>
      </c>
      <c r="L406" s="9" t="n">
        <v>1</v>
      </c>
      <c r="M406" s="9" t="n">
        <v>0</v>
      </c>
      <c r="N406" s="9" t="n">
        <v>0</v>
      </c>
      <c r="O406" s="10" t="n">
        <v>0</v>
      </c>
      <c r="P406" s="10" t="n">
        <v>0</v>
      </c>
      <c r="Q406" s="10" t="n">
        <v>0</v>
      </c>
      <c r="R406" s="10" t="n">
        <v>1</v>
      </c>
      <c r="S406" s="10" t="n">
        <v>0</v>
      </c>
    </row>
    <row r="407" ht="296" customHeight="1">
      <c r="A407" s="6">
        <f>IFERROR(__xludf.DUMMYFUNCTION("""COMPUTED_VALUE"""),"molarity")</f>
        <v/>
      </c>
      <c r="B407" s="6">
        <f>IFERROR(__xludf.DUMMYFUNCTION("""COMPUTED_VALUE"""),"Application")</f>
        <v/>
      </c>
      <c r="C407" s="6">
        <f>IFERROR(__xludf.DUMMYFUNCTION("""COMPUTED_VALUE"""),"Quiz Tool")</f>
        <v/>
      </c>
      <c r="D407" s="7">
        <f>IFERROR(__xludf.DUMMYFUNCTION("""COMPUTED_VALUE"""),"No task description")</f>
        <v/>
      </c>
      <c r="E4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07" s="7" t="n"/>
      <c r="G407" s="8" t="n">
        <v>0</v>
      </c>
      <c r="H407" s="8" t="n">
        <v>0</v>
      </c>
      <c r="I407" s="8" t="n">
        <v>0</v>
      </c>
      <c r="J407" s="8" t="n">
        <v>1</v>
      </c>
      <c r="K407" s="9" t="n">
        <v>0</v>
      </c>
      <c r="L407" s="9" t="n">
        <v>1</v>
      </c>
      <c r="M407" s="9" t="n">
        <v>0</v>
      </c>
      <c r="N407" s="9" t="n">
        <v>0</v>
      </c>
      <c r="O407" s="10" t="n">
        <v>0</v>
      </c>
      <c r="P407" s="10" t="n">
        <v>0</v>
      </c>
      <c r="Q407" s="10" t="n">
        <v>0</v>
      </c>
      <c r="R407" s="10" t="n">
        <v>0</v>
      </c>
      <c r="S407" s="10" t="n">
        <v>1</v>
      </c>
    </row>
    <row r="408" ht="61" customHeight="1">
      <c r="A408" s="6">
        <f>IFERROR(__xludf.DUMMYFUNCTION("""COMPUTED_VALUE"""),"Transcription and translation of DNA")</f>
        <v/>
      </c>
      <c r="B408" s="6">
        <f>IFERROR(__xludf.DUMMYFUNCTION("""COMPUTED_VALUE"""),"Space")</f>
        <v/>
      </c>
      <c r="C408" s="6">
        <f>IFERROR(__xludf.DUMMYFUNCTION("""COMPUTED_VALUE"""),"Do you look like your parents?")</f>
        <v/>
      </c>
      <c r="D408" s="7">
        <f>IFERROR(__xludf.DUMMYFUNCTION("""COMPUTED_VALUE"""),"&lt;p&gt;Welcome to the first phase of the course, the Orientation phase.&lt;/p&gt;")</f>
        <v/>
      </c>
      <c r="E408" s="7">
        <f>IFERROR(__xludf.DUMMYFUNCTION("""COMPUTED_VALUE"""),"No artifact embedded")</f>
        <v/>
      </c>
      <c r="F408" s="7" t="n"/>
      <c r="G408" s="8" t="n">
        <v>0</v>
      </c>
      <c r="H408" s="8" t="n">
        <v>0</v>
      </c>
      <c r="I408" s="8" t="n">
        <v>0</v>
      </c>
      <c r="J408" s="8" t="n">
        <v>0</v>
      </c>
      <c r="K408" s="9" t="n">
        <v>0</v>
      </c>
      <c r="L408" s="9" t="n">
        <v>0</v>
      </c>
      <c r="M408" s="9" t="n">
        <v>0</v>
      </c>
      <c r="N408" s="9" t="n">
        <v>0</v>
      </c>
      <c r="O408" s="10" t="n">
        <v>0</v>
      </c>
      <c r="P408" s="10" t="n">
        <v>0</v>
      </c>
      <c r="Q408" s="10" t="n">
        <v>0</v>
      </c>
      <c r="R408" s="10" t="n">
        <v>0</v>
      </c>
      <c r="S408" s="10" t="n">
        <v>0</v>
      </c>
    </row>
    <row r="409" ht="351" customHeight="1">
      <c r="A409" s="6">
        <f>IFERROR(__xludf.DUMMYFUNCTION("""COMPUTED_VALUE"""),"Transcription and translation of DNA")</f>
        <v/>
      </c>
      <c r="B409" s="6">
        <f>IFERROR(__xludf.DUMMYFUNCTION("""COMPUTED_VALUE"""),"Resource")</f>
        <v/>
      </c>
      <c r="C409" s="6">
        <f>IFERROR(__xludf.DUMMYFUNCTION("""COMPUTED_VALUE"""),"Orientation.graasp")</f>
        <v/>
      </c>
      <c r="D409" s="7">
        <f>IFERROR(__xludf.DUMMYFUNCTION("""COMPUTED_VALUE"""),"&lt;p&gt;'He has his father's eyes!' or 'Maybe my genes are wrong!' are phrases we have all heard of. Have you ever wondered how genes define the characteristics of an individual? How could something not visible to our naked eye be responsible for the shape of "&amp;"our eyes or the color of our hair?&lt;/p&gt;&lt;p&gt;&lt;br&gt;&lt;/p&gt;&lt;p&gt;After watching the video below, discuss with your team and write down your thoughts and opinions in the tool below!&lt;/p&gt;")</f>
        <v/>
      </c>
      <c r="E409" s="7">
        <f>IFERROR(__xludf.DUMMYFUNCTION("""COMPUTED_VALUE"""),"No artifact embedded")</f>
        <v/>
      </c>
      <c r="F409" s="7" t="n"/>
      <c r="G409" s="8" t="n">
        <v>0</v>
      </c>
      <c r="H409" s="8" t="n">
        <v>0</v>
      </c>
      <c r="I409" s="8" t="n">
        <v>0</v>
      </c>
      <c r="J409" s="8" t="n">
        <v>1</v>
      </c>
      <c r="K409" s="9" t="n">
        <v>0</v>
      </c>
      <c r="L409" s="9" t="n">
        <v>1</v>
      </c>
      <c r="M409" s="9" t="n">
        <v>1</v>
      </c>
      <c r="N409" s="9" t="n">
        <v>0</v>
      </c>
      <c r="O409" s="10" t="n">
        <v>1</v>
      </c>
      <c r="P409" s="10" t="n">
        <v>0</v>
      </c>
      <c r="Q409" s="10" t="n">
        <v>0</v>
      </c>
      <c r="R409" s="10" t="n">
        <v>0</v>
      </c>
      <c r="S409" s="10" t="n">
        <v>1</v>
      </c>
    </row>
    <row r="410" ht="121" customHeight="1">
      <c r="A410" s="6">
        <f>IFERROR(__xludf.DUMMYFUNCTION("""COMPUTED_VALUE"""),"Transcription and translation of DNA")</f>
        <v/>
      </c>
      <c r="B410" s="6">
        <f>IFERROR(__xludf.DUMMYFUNCTION("""COMPUTED_VALUE"""),"Resource")</f>
        <v/>
      </c>
      <c r="C410" s="6">
        <f>IFERROR(__xludf.DUMMYFUNCTION("""COMPUTED_VALUE"""),"What is DNA and How Does it Work?")</f>
        <v/>
      </c>
      <c r="D410" s="7">
        <f>IFERROR(__xludf.DUMMYFUNCTION("""COMPUTED_VALUE"""),"No task description")</f>
        <v/>
      </c>
      <c r="E410" s="7">
        <f>IFERROR(__xludf.DUMMYFUNCTION("""COMPUTED_VALUE"""),"youtube.com: A widely known video-sharing platform where users can watch videos on a vast array of topics, including educational content.")</f>
        <v/>
      </c>
      <c r="F410" s="7" t="n"/>
      <c r="G410" s="8" t="n">
        <v>1</v>
      </c>
      <c r="H410" s="8" t="n">
        <v>0</v>
      </c>
      <c r="I410" s="8" t="n">
        <v>0</v>
      </c>
      <c r="J410" s="8" t="n">
        <v>0</v>
      </c>
      <c r="K410" s="9" t="n">
        <v>1</v>
      </c>
      <c r="L410" s="9" t="n">
        <v>0</v>
      </c>
      <c r="M410" s="9" t="n">
        <v>0</v>
      </c>
      <c r="N410" s="9" t="n">
        <v>0</v>
      </c>
      <c r="O410" s="10" t="n">
        <v>0</v>
      </c>
      <c r="P410" s="10" t="n">
        <v>0</v>
      </c>
      <c r="Q410" s="10" t="n">
        <v>0</v>
      </c>
      <c r="R410" s="10" t="n">
        <v>0</v>
      </c>
      <c r="S410" s="10" t="n">
        <v>0</v>
      </c>
    </row>
    <row r="411" ht="49" customHeight="1">
      <c r="A411" s="6">
        <f>IFERROR(__xludf.DUMMYFUNCTION("""COMPUTED_VALUE"""),"Transcription and translation of DNA")</f>
        <v/>
      </c>
      <c r="B411" s="6">
        <f>IFERROR(__xludf.DUMMYFUNCTION("""COMPUTED_VALUE"""),"Application")</f>
        <v/>
      </c>
      <c r="C411" s="6">
        <f>IFERROR(__xludf.DUMMYFUNCTION("""COMPUTED_VALUE"""),"Padlet")</f>
        <v/>
      </c>
      <c r="D411" s="7">
        <f>IFERROR(__xludf.DUMMYFUNCTION("""COMPUTED_VALUE"""),"No task description")</f>
        <v/>
      </c>
      <c r="E411" s="7">
        <f>IFERROR(__xludf.DUMMYFUNCTION("""COMPUTED_VALUE"""),"Golabz app/lab: Wrong URL. Impossible to access it")</f>
        <v/>
      </c>
      <c r="F411" s="7" t="n"/>
      <c r="G411" s="8" t="n">
        <v>0</v>
      </c>
      <c r="H411" s="8" t="n">
        <v>0</v>
      </c>
      <c r="I411" s="8" t="n">
        <v>0</v>
      </c>
      <c r="J411" s="8" t="n">
        <v>0</v>
      </c>
      <c r="K411" s="9" t="n">
        <v>0</v>
      </c>
      <c r="L411" s="9" t="n">
        <v>0</v>
      </c>
      <c r="M411" s="9" t="n">
        <v>0</v>
      </c>
      <c r="N411" s="9" t="n">
        <v>0</v>
      </c>
      <c r="O411" s="10" t="n">
        <v>0</v>
      </c>
      <c r="P411" s="10" t="n">
        <v>0</v>
      </c>
      <c r="Q411" s="10" t="n">
        <v>0</v>
      </c>
      <c r="R411" s="10" t="n">
        <v>0</v>
      </c>
      <c r="S411" s="10" t="n">
        <v>0</v>
      </c>
    </row>
    <row r="412" ht="406" customHeight="1">
      <c r="A412" s="6">
        <f>IFERROR(__xludf.DUMMYFUNCTION("""COMPUTED_VALUE"""),"Transcription and translation of DNA")</f>
        <v/>
      </c>
      <c r="B412" s="6">
        <f>IFERROR(__xludf.DUMMYFUNCTION("""COMPUTED_VALUE"""),"Resource")</f>
        <v/>
      </c>
      <c r="C412" s="6">
        <f>IFERROR(__xludf.DUMMYFUNCTION("""COMPUTED_VALUE"""),"Orientation 2.graasp")</f>
        <v/>
      </c>
      <c r="D412" s="7">
        <f>IFERROR(__xludf.DUMMYFUNCTION("""COMPUTED_VALUE"""),"&lt;table class=""table table-bordered""&gt;&lt;tbody&gt;&lt;tr&gt;&lt;td&gt;&lt;p&gt;&lt;strong&gt;Let's remember what we already kn&lt;/strong&gt;&lt;strong&gt;ow:&lt;/strong&gt;&lt;/p&gt;&lt;p&gt;As we have already learned, genes are specific units of DNA that contain the genetic information. During reproduction, chi"&amp;"ldren inherit half the genes from the mother and the other half from the father.&lt;/p&gt;&lt;p&gt;Firstly, let's see what we remember from the previous lessons! Answer the following questions:&lt;/p&gt; &lt;/td&gt;&lt;/tr&gt;&lt;/tbody&gt;&lt;/table&gt;")</f>
        <v/>
      </c>
      <c r="E412" s="7">
        <f>IFERROR(__xludf.DUMMYFUNCTION("""COMPUTED_VALUE"""),"No artifact embedded")</f>
        <v/>
      </c>
      <c r="F412" s="7" t="n"/>
      <c r="G412" s="8" t="n">
        <v>0</v>
      </c>
      <c r="H412" s="8" t="n">
        <v>0</v>
      </c>
      <c r="I412" s="8" t="n">
        <v>1</v>
      </c>
      <c r="J412" s="8" t="n">
        <v>0</v>
      </c>
      <c r="K412" s="9" t="n">
        <v>0</v>
      </c>
      <c r="L412" s="9" t="n">
        <v>1</v>
      </c>
      <c r="M412" s="9" t="n">
        <v>0</v>
      </c>
      <c r="N412" s="9" t="n">
        <v>0</v>
      </c>
      <c r="O412" s="10" t="n">
        <v>1</v>
      </c>
      <c r="P412" s="10" t="n">
        <v>0</v>
      </c>
      <c r="Q412" s="10" t="n">
        <v>0</v>
      </c>
      <c r="R412" s="10" t="n">
        <v>0</v>
      </c>
      <c r="S412" s="10" t="n">
        <v>0</v>
      </c>
    </row>
    <row r="413" ht="296" customHeight="1">
      <c r="A413" s="6">
        <f>IFERROR(__xludf.DUMMYFUNCTION("""COMPUTED_VALUE"""),"Transcription and translation of DNA")</f>
        <v/>
      </c>
      <c r="B413" s="6">
        <f>IFERROR(__xludf.DUMMYFUNCTION("""COMPUTED_VALUE"""),"Application")</f>
        <v/>
      </c>
      <c r="C413" s="6">
        <f>IFERROR(__xludf.DUMMYFUNCTION("""COMPUTED_VALUE"""),"Quiz tool")</f>
        <v/>
      </c>
      <c r="D413" s="7">
        <f>IFERROR(__xludf.DUMMYFUNCTION("""COMPUTED_VALUE"""),"No task description")</f>
        <v/>
      </c>
      <c r="E41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13" s="7" t="n"/>
      <c r="G413" s="8" t="n">
        <v>0</v>
      </c>
      <c r="H413" s="8" t="n">
        <v>0</v>
      </c>
      <c r="I413" s="8" t="n">
        <v>0</v>
      </c>
      <c r="J413" s="8" t="n">
        <v>1</v>
      </c>
      <c r="K413" s="9" t="n">
        <v>0</v>
      </c>
      <c r="L413" s="9" t="n">
        <v>1</v>
      </c>
      <c r="M413" s="9" t="n">
        <v>0</v>
      </c>
      <c r="N413" s="9" t="n">
        <v>0</v>
      </c>
      <c r="O413" s="10" t="n">
        <v>0</v>
      </c>
      <c r="P413" s="10" t="n">
        <v>0</v>
      </c>
      <c r="Q413" s="10" t="n">
        <v>0</v>
      </c>
      <c r="R413" s="10" t="n">
        <v>0</v>
      </c>
      <c r="S413" s="10" t="n">
        <v>1</v>
      </c>
    </row>
    <row r="414" ht="121" customHeight="1">
      <c r="A414" s="6">
        <f>IFERROR(__xludf.DUMMYFUNCTION("""COMPUTED_VALUE"""),"Transcription and translation of DNA")</f>
        <v/>
      </c>
      <c r="B414" s="6">
        <f>IFERROR(__xludf.DUMMYFUNCTION("""COMPUTED_VALUE"""),"Resource")</f>
        <v/>
      </c>
      <c r="C414" s="6">
        <f>IFERROR(__xludf.DUMMYFUNCTION("""COMPUTED_VALUE"""),"dna1.jpg")</f>
        <v/>
      </c>
      <c r="D414" s="7">
        <f>IFERROR(__xludf.DUMMYFUNCTION("""COMPUTED_VALUE"""),"&lt;p&gt;Congratulations! Having answered the questions above, let's remember the structure of DNA and nucleotides again:&lt;/p&gt;")</f>
        <v/>
      </c>
      <c r="E414" s="7">
        <f>IFERROR(__xludf.DUMMYFUNCTION("""COMPUTED_VALUE"""),"image/jpeg – A digital photograph or web image stored in a compressed format, often used for photography and web graphics.")</f>
        <v/>
      </c>
      <c r="F414" s="7" t="n"/>
      <c r="G414" s="8" t="n">
        <v>1</v>
      </c>
      <c r="H414" s="8" t="n">
        <v>0</v>
      </c>
      <c r="I414" s="8" t="n">
        <v>0</v>
      </c>
      <c r="J414" s="8" t="n">
        <v>0</v>
      </c>
      <c r="K414" s="9" t="n">
        <v>1</v>
      </c>
      <c r="L414" s="9" t="n">
        <v>0</v>
      </c>
      <c r="M414" s="9" t="n">
        <v>0</v>
      </c>
      <c r="N414" s="9" t="n">
        <v>0</v>
      </c>
      <c r="O414" s="10" t="n">
        <v>1</v>
      </c>
      <c r="P414" s="10" t="n">
        <v>0</v>
      </c>
      <c r="Q414" s="10" t="n">
        <v>0</v>
      </c>
      <c r="R414" s="10" t="n">
        <v>0</v>
      </c>
      <c r="S414" s="10" t="n">
        <v>0</v>
      </c>
    </row>
    <row r="415" ht="409.5" customHeight="1">
      <c r="A415" s="6">
        <f>IFERROR(__xludf.DUMMYFUNCTION("""COMPUTED_VALUE"""),"Transcription and translation of DNA")</f>
        <v/>
      </c>
      <c r="B415" s="6">
        <f>IFERROR(__xludf.DUMMYFUNCTION("""COMPUTED_VALUE"""),"Resource")</f>
        <v/>
      </c>
      <c r="C415" s="6">
        <f>IFERROR(__xludf.DUMMYFUNCTION("""COMPUTED_VALUE"""),"Προσανατολισμός 3.graasp")</f>
        <v/>
      </c>
      <c r="D415" s="7">
        <f>IFERROR(__xludf.DUMMYFUNCTION("""COMPUTED_VALUE"""),"&lt;table class=""table table-bordered""&gt;&lt;tbody&gt;&lt;tr&gt;&lt;td&gt;&lt;p&gt;Each DNA nucleotide consists of a nitrogenous base (adenine, thymine, cytosine or guanine), a sugar (deoxyribose) and a phosphate group. There are four different types of nucleotides that differ on t"&amp;"he nitrogenous base.&lt;/p&gt;&lt;/td&gt;&lt;/tr&gt;&lt;/tbody&gt;&lt;/table&gt;&lt;table class=""table table-bordered""&gt;&lt;tbody&gt;&lt;tr&gt;&lt;td&gt;&lt;p&gt;Having remembered what we already know, it is time to move on to the next phase!&lt;/p&gt;&lt;/td&gt;&lt;/tr&gt;&lt;/tbody&gt;&lt;/table&gt;")</f>
        <v/>
      </c>
      <c r="E415" s="7">
        <f>IFERROR(__xludf.DUMMYFUNCTION("""COMPUTED_VALUE"""),"No artifact embedded")</f>
        <v/>
      </c>
      <c r="F415" s="7" t="n"/>
      <c r="G415" s="8" t="n">
        <v>1</v>
      </c>
      <c r="H415" s="8" t="n">
        <v>0</v>
      </c>
      <c r="I415" s="8" t="n">
        <v>0</v>
      </c>
      <c r="J415" s="8" t="n">
        <v>0</v>
      </c>
      <c r="K415" s="9" t="n">
        <v>1</v>
      </c>
      <c r="L415" s="9" t="n">
        <v>0</v>
      </c>
      <c r="M415" s="9" t="n">
        <v>0</v>
      </c>
      <c r="N415" s="9" t="n">
        <v>0</v>
      </c>
      <c r="O415" s="10" t="n">
        <v>1</v>
      </c>
      <c r="P415" s="10" t="n">
        <v>0</v>
      </c>
      <c r="Q415" s="10" t="n">
        <v>0</v>
      </c>
      <c r="R415" s="10" t="n">
        <v>0</v>
      </c>
      <c r="S415" s="10" t="n">
        <v>0</v>
      </c>
    </row>
    <row r="416" ht="181" customHeight="1">
      <c r="A416" s="6">
        <f>IFERROR(__xludf.DUMMYFUNCTION("""COMPUTED_VALUE"""),"Transcription and translation of DNA")</f>
        <v/>
      </c>
      <c r="B416" s="6">
        <f>IFERROR(__xludf.DUMMYFUNCTION("""COMPUTED_VALUE"""),"Space")</f>
        <v/>
      </c>
      <c r="C416" s="6">
        <f>IFERROR(__xludf.DUMMYFUNCTION("""COMPUTED_VALUE"""),"Will the mountain come to Muhammad?")</f>
        <v/>
      </c>
      <c r="D416" s="7">
        <f>IFERROR(__xludf.DUMMYFUNCTION("""COMPUTED_VALUE"""),"&lt;p&gt;Do you know the old proverb: 'If the mountain will not come to Muhammad, then Muhammad must go to the mountain'? You might find it useful during the second phase of the lesson, the phase of Conceptualization!&lt;/p&gt;")</f>
        <v/>
      </c>
      <c r="E416" s="7">
        <f>IFERROR(__xludf.DUMMYFUNCTION("""COMPUTED_VALUE"""),"No artifact embedded")</f>
        <v/>
      </c>
      <c r="F416" s="7" t="n"/>
      <c r="G416" s="8" t="n">
        <v>1</v>
      </c>
      <c r="H416" s="8" t="n">
        <v>0</v>
      </c>
      <c r="I416" s="8" t="n">
        <v>0</v>
      </c>
      <c r="J416" s="8" t="n">
        <v>0</v>
      </c>
      <c r="K416" s="9" t="n">
        <v>1</v>
      </c>
      <c r="L416" s="9" t="n">
        <v>0</v>
      </c>
      <c r="M416" s="9" t="n">
        <v>0</v>
      </c>
      <c r="N416" s="9" t="n">
        <v>0</v>
      </c>
      <c r="O416" s="10" t="n">
        <v>1</v>
      </c>
      <c r="P416" s="10" t="n">
        <v>0</v>
      </c>
      <c r="Q416" s="10" t="n">
        <v>0</v>
      </c>
      <c r="R416" s="10" t="n">
        <v>0</v>
      </c>
      <c r="S416" s="10" t="n">
        <v>0</v>
      </c>
    </row>
    <row r="417" ht="169" customHeight="1">
      <c r="A417" s="6">
        <f>IFERROR(__xludf.DUMMYFUNCTION("""COMPUTED_VALUE"""),"Transcription and translation of DNA")</f>
        <v/>
      </c>
      <c r="B417" s="6">
        <f>IFERROR(__xludf.DUMMYFUNCTION("""COMPUTED_VALUE"""),"Resource")</f>
        <v/>
      </c>
      <c r="C417" s="6">
        <f>IFERROR(__xludf.DUMMYFUNCTION("""COMPUTED_VALUE"""),"Conceptualization.graasp")</f>
        <v/>
      </c>
      <c r="D417" s="7">
        <f>IFERROR(__xludf.DUMMYFUNCTION("""COMPUTED_VALUE"""),"&lt;table class=""table table-bordered""&gt;&lt;tbody&gt;&lt;tr&gt;&lt;td&gt;&lt;p&gt;Watch the rest of the video to remember what we have learned about proteins and amino acids.&lt;/p&gt;&lt;/td&gt;&lt;/tr&gt;&lt;/tbody&gt;&lt;/table&gt;")</f>
        <v/>
      </c>
      <c r="E417" s="7">
        <f>IFERROR(__xludf.DUMMYFUNCTION("""COMPUTED_VALUE"""),"No artifact embedded")</f>
        <v/>
      </c>
      <c r="F417" s="7" t="n"/>
      <c r="G417" s="8" t="n">
        <v>1</v>
      </c>
      <c r="H417" s="8" t="n">
        <v>0</v>
      </c>
      <c r="I417" s="8" t="n">
        <v>0</v>
      </c>
      <c r="J417" s="8" t="n">
        <v>0</v>
      </c>
      <c r="K417" s="9" t="n">
        <v>1</v>
      </c>
      <c r="L417" s="9" t="n">
        <v>0</v>
      </c>
      <c r="M417" s="9" t="n">
        <v>0</v>
      </c>
      <c r="N417" s="9" t="n">
        <v>0</v>
      </c>
      <c r="O417" s="10" t="n">
        <v>1</v>
      </c>
      <c r="P417" s="10" t="n">
        <v>0</v>
      </c>
      <c r="Q417" s="10" t="n">
        <v>0</v>
      </c>
      <c r="R417" s="10" t="n">
        <v>0</v>
      </c>
      <c r="S417" s="10" t="n">
        <v>0</v>
      </c>
    </row>
    <row r="418" ht="121" customHeight="1">
      <c r="A418" s="6">
        <f>IFERROR(__xludf.DUMMYFUNCTION("""COMPUTED_VALUE"""),"Transcription and translation of DNA")</f>
        <v/>
      </c>
      <c r="B418" s="6">
        <f>IFERROR(__xludf.DUMMYFUNCTION("""COMPUTED_VALUE"""),"Resource")</f>
        <v/>
      </c>
      <c r="C418" s="6">
        <f>IFERROR(__xludf.DUMMYFUNCTION("""COMPUTED_VALUE"""),"What is DNA and How Does it Work?")</f>
        <v/>
      </c>
      <c r="D418" s="7">
        <f>IFERROR(__xludf.DUMMYFUNCTION("""COMPUTED_VALUE"""),"No task description")</f>
        <v/>
      </c>
      <c r="E418" s="7">
        <f>IFERROR(__xludf.DUMMYFUNCTION("""COMPUTED_VALUE"""),"youtube.com: A widely known video-sharing platform where users can watch videos on a vast array of topics, including educational content.")</f>
        <v/>
      </c>
      <c r="F418" s="7" t="n"/>
      <c r="G418" s="8" t="n">
        <v>1</v>
      </c>
      <c r="H418" s="8" t="n">
        <v>0</v>
      </c>
      <c r="I418" s="8" t="n">
        <v>0</v>
      </c>
      <c r="J418" s="8" t="n">
        <v>0</v>
      </c>
      <c r="K418" s="9" t="n">
        <v>1</v>
      </c>
      <c r="L418" s="9" t="n">
        <v>0</v>
      </c>
      <c r="M418" s="9" t="n">
        <v>0</v>
      </c>
      <c r="N418" s="9" t="n">
        <v>0</v>
      </c>
      <c r="O418" s="10" t="n">
        <v>0</v>
      </c>
      <c r="P418" s="10" t="n">
        <v>0</v>
      </c>
      <c r="Q418" s="10" t="n">
        <v>0</v>
      </c>
      <c r="R418" s="10" t="n">
        <v>0</v>
      </c>
      <c r="S418" s="10" t="n">
        <v>0</v>
      </c>
    </row>
    <row r="419" ht="409.5" customHeight="1">
      <c r="A419" s="6">
        <f>IFERROR(__xludf.DUMMYFUNCTION("""COMPUTED_VALUE"""),"Transcription and translation of DNA")</f>
        <v/>
      </c>
      <c r="B419" s="6">
        <f>IFERROR(__xludf.DUMMYFUNCTION("""COMPUTED_VALUE"""),"Application")</f>
        <v/>
      </c>
      <c r="C419" s="6">
        <f>IFERROR(__xludf.DUMMYFUNCTION("""COMPUTED_VALUE"""),"Question Scratchpad")</f>
        <v/>
      </c>
      <c r="D419" s="7">
        <f>IFERROR(__xludf.DUMMYFUNCTION("""COMPUTED_VALUE"""),"&lt;p&gt;Using the Question Scratchpad Tool below, try to create your own research question, keeping in mind what we have discussed so far. Use as many words as you like.&lt;/p&gt;&lt;p&gt;&lt;br&gt;&lt;/p&gt;")</f>
        <v/>
      </c>
      <c r="E419"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419" s="7" t="n"/>
      <c r="G419" s="8" t="n">
        <v>0</v>
      </c>
      <c r="H419" s="8" t="n">
        <v>0</v>
      </c>
      <c r="I419" s="8" t="n">
        <v>1</v>
      </c>
      <c r="J419" s="8" t="n">
        <v>0</v>
      </c>
      <c r="K419" s="9" t="n">
        <v>0</v>
      </c>
      <c r="L419" s="9" t="n">
        <v>1</v>
      </c>
      <c r="M419" s="9" t="n">
        <v>0</v>
      </c>
      <c r="N419" s="9" t="n">
        <v>0</v>
      </c>
      <c r="O419" s="10" t="n">
        <v>0</v>
      </c>
      <c r="P419" s="10" t="n">
        <v>1</v>
      </c>
      <c r="Q419" s="10" t="n">
        <v>0</v>
      </c>
      <c r="R419" s="10" t="n">
        <v>0</v>
      </c>
      <c r="S419" s="10" t="n">
        <v>0</v>
      </c>
    </row>
    <row r="420" ht="384" customHeight="1">
      <c r="A420" s="6">
        <f>IFERROR(__xludf.DUMMYFUNCTION("""COMPUTED_VALUE"""),"Transcription and translation of DNA")</f>
        <v/>
      </c>
      <c r="B420" s="6">
        <f>IFERROR(__xludf.DUMMYFUNCTION("""COMPUTED_VALUE"""),"Resource")</f>
        <v/>
      </c>
      <c r="C420" s="6">
        <f>IFERROR(__xludf.DUMMYFUNCTION("""COMPUTED_VALUE"""),"Conceptualization1.graasp")</f>
        <v/>
      </c>
      <c r="D420" s="7">
        <f>IFERROR(__xludf.DUMMYFUNCTION("""COMPUTED_VALUE"""),"&lt;table class=""table table-bordered""&gt;&lt;tbody&gt;&lt;tr&gt;&lt;td&gt;&lt;p&gt;Have you thought about the answer to the research question you created above?&lt;br&gt;Below you can find a conceptual map. Tap anywhere in the map and choose a concept you want from the ones that appear. "&amp;"Drag the arrow between concepts, thus defining the relationship between the concepts you chose. Try to create a map that will include all available concepts and relationships.&lt;/p&gt;&lt;/td&gt;&lt;/tr&gt;&lt;/tbody&gt;&lt;/table&gt;")</f>
        <v/>
      </c>
      <c r="E420" s="7">
        <f>IFERROR(__xludf.DUMMYFUNCTION("""COMPUTED_VALUE"""),"No artifact embedded")</f>
        <v/>
      </c>
      <c r="F420" s="7" t="n"/>
      <c r="G420" s="8" t="n">
        <v>0</v>
      </c>
      <c r="H420" s="8" t="n">
        <v>0</v>
      </c>
      <c r="I420" s="8" t="n">
        <v>1</v>
      </c>
      <c r="J420" s="8" t="n">
        <v>0</v>
      </c>
      <c r="K420" s="9" t="n">
        <v>0</v>
      </c>
      <c r="L420" s="9" t="n">
        <v>1</v>
      </c>
      <c r="M420" s="9" t="n">
        <v>0</v>
      </c>
      <c r="N420" s="9" t="n">
        <v>0</v>
      </c>
      <c r="O420" s="10" t="n">
        <v>0</v>
      </c>
      <c r="P420" s="10" t="n">
        <v>1</v>
      </c>
      <c r="Q420" s="10" t="n">
        <v>0</v>
      </c>
      <c r="R420" s="10" t="n">
        <v>0</v>
      </c>
      <c r="S420" s="10" t="n">
        <v>0</v>
      </c>
    </row>
    <row r="421" ht="409.5" customHeight="1">
      <c r="A421" s="6">
        <f>IFERROR(__xludf.DUMMYFUNCTION("""COMPUTED_VALUE"""),"Transcription and translation of DNA")</f>
        <v/>
      </c>
      <c r="B421" s="6">
        <f>IFERROR(__xludf.DUMMYFUNCTION("""COMPUTED_VALUE"""),"Application")</f>
        <v/>
      </c>
      <c r="C421" s="6">
        <f>IFERROR(__xludf.DUMMYFUNCTION("""COMPUTED_VALUE"""),"Concept Mapper")</f>
        <v/>
      </c>
      <c r="D421" s="7">
        <f>IFERROR(__xludf.DUMMYFUNCTION("""COMPUTED_VALUE"""),"No task description")</f>
        <v/>
      </c>
      <c r="E42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21" s="7" t="n"/>
      <c r="G421" s="8" t="n">
        <v>0</v>
      </c>
      <c r="H421" s="8" t="n">
        <v>0</v>
      </c>
      <c r="I421" s="8" t="n">
        <v>1</v>
      </c>
      <c r="J421" s="8" t="n">
        <v>0</v>
      </c>
      <c r="K421" s="9" t="n">
        <v>0</v>
      </c>
      <c r="L421" s="9" t="n">
        <v>1</v>
      </c>
      <c r="M421" s="9" t="n">
        <v>0</v>
      </c>
      <c r="N421" s="9" t="n">
        <v>0</v>
      </c>
      <c r="O421" s="10" t="n">
        <v>0</v>
      </c>
      <c r="P421" s="10" t="n">
        <v>1</v>
      </c>
      <c r="Q421" s="10" t="n">
        <v>0</v>
      </c>
      <c r="R421" s="10" t="n">
        <v>0</v>
      </c>
      <c r="S421" s="10" t="n">
        <v>0</v>
      </c>
    </row>
    <row r="422" ht="205" customHeight="1">
      <c r="A422" s="6">
        <f>IFERROR(__xludf.DUMMYFUNCTION("""COMPUTED_VALUE"""),"Transcription and translation of DNA")</f>
        <v/>
      </c>
      <c r="B422" s="6">
        <f>IFERROR(__xludf.DUMMYFUNCTION("""COMPUTED_VALUE"""),"Resource")</f>
        <v/>
      </c>
      <c r="C422" s="6">
        <f>IFERROR(__xludf.DUMMYFUNCTION("""COMPUTED_VALUE"""),"Conceptualization2.graasp")</f>
        <v/>
      </c>
      <c r="D422" s="7">
        <f>IFERROR(__xludf.DUMMYFUNCTION("""COMPUTED_VALUE"""),"&lt;table class=""table table-bordered""&gt;&lt;tbody&gt;&lt;tr&gt;&lt;td&gt;&lt;p&gt;Perhaps the conceptual map has helped you answer the question you created. The rest of the video we watch will help you confirm your thoughts!&lt;/p&gt;&lt;/td&gt;&lt;/tr&gt;&lt;/tbody&gt;&lt;/table&gt;")</f>
        <v/>
      </c>
      <c r="E422" s="7">
        <f>IFERROR(__xludf.DUMMYFUNCTION("""COMPUTED_VALUE"""),"No artifact embedded")</f>
        <v/>
      </c>
      <c r="F422" s="7" t="n"/>
      <c r="G422" s="8" t="n">
        <v>1</v>
      </c>
      <c r="H422" s="8" t="n">
        <v>0</v>
      </c>
      <c r="I422" s="8" t="n">
        <v>0</v>
      </c>
      <c r="J422" s="8" t="n">
        <v>0</v>
      </c>
      <c r="K422" s="9" t="n">
        <v>1</v>
      </c>
      <c r="L422" s="9" t="n">
        <v>0</v>
      </c>
      <c r="M422" s="9" t="n">
        <v>0</v>
      </c>
      <c r="N422" s="9" t="n">
        <v>0</v>
      </c>
      <c r="O422" s="10" t="n">
        <v>1</v>
      </c>
      <c r="P422" s="10" t="n">
        <v>0</v>
      </c>
      <c r="Q422" s="10" t="n">
        <v>0</v>
      </c>
      <c r="R422" s="10" t="n">
        <v>0</v>
      </c>
      <c r="S422" s="10" t="n">
        <v>0</v>
      </c>
    </row>
    <row r="423" ht="121" customHeight="1">
      <c r="A423" s="6">
        <f>IFERROR(__xludf.DUMMYFUNCTION("""COMPUTED_VALUE"""),"Transcription and translation of DNA")</f>
        <v/>
      </c>
      <c r="B423" s="6">
        <f>IFERROR(__xludf.DUMMYFUNCTION("""COMPUTED_VALUE"""),"Resource")</f>
        <v/>
      </c>
      <c r="C423" s="6">
        <f>IFERROR(__xludf.DUMMYFUNCTION("""COMPUTED_VALUE"""),"What is DNA and How Does it Work? (1)")</f>
        <v/>
      </c>
      <c r="D423" s="7">
        <f>IFERROR(__xludf.DUMMYFUNCTION("""COMPUTED_VALUE"""),"No task description")</f>
        <v/>
      </c>
      <c r="E423" s="7">
        <f>IFERROR(__xludf.DUMMYFUNCTION("""COMPUTED_VALUE"""),"youtube.com: A widely known video-sharing platform where users can watch videos on a vast array of topics, including educational content.")</f>
        <v/>
      </c>
      <c r="F423" s="7" t="n"/>
      <c r="G423" s="8" t="n">
        <v>1</v>
      </c>
      <c r="H423" s="8" t="n">
        <v>0</v>
      </c>
      <c r="I423" s="8" t="n">
        <v>0</v>
      </c>
      <c r="J423" s="8" t="n">
        <v>0</v>
      </c>
      <c r="K423" s="9" t="n">
        <v>1</v>
      </c>
      <c r="L423" s="9" t="n">
        <v>0</v>
      </c>
      <c r="M423" s="9" t="n">
        <v>0</v>
      </c>
      <c r="N423" s="9" t="n">
        <v>0</v>
      </c>
      <c r="O423" s="10" t="n">
        <v>0</v>
      </c>
      <c r="P423" s="10" t="n">
        <v>0</v>
      </c>
      <c r="Q423" s="10" t="n">
        <v>0</v>
      </c>
      <c r="R423" s="10" t="n">
        <v>0</v>
      </c>
      <c r="S423" s="10" t="n">
        <v>0</v>
      </c>
    </row>
    <row r="424" ht="409.5" customHeight="1">
      <c r="A424" s="6">
        <f>IFERROR(__xludf.DUMMYFUNCTION("""COMPUTED_VALUE"""),"Transcription and translation of DNA")</f>
        <v/>
      </c>
      <c r="B424" s="6">
        <f>IFERROR(__xludf.DUMMYFUNCTION("""COMPUTED_VALUE"""),"Resource")</f>
        <v/>
      </c>
      <c r="C424" s="6">
        <f>IFERROR(__xludf.DUMMYFUNCTION("""COMPUTED_VALUE"""),"Conceptualization 3.graasp")</f>
        <v/>
      </c>
      <c r="D424" s="7">
        <f>IFERROR(__xludf.DUMMYFUNCTION("""COMPUTED_VALUE"""),"&lt;table class=""table table-bordered""&gt;&lt;tbody&gt;&lt;tr&gt;&lt;td&gt;&lt;p&gt;As you may have concluded so far, genetic information is used to direct protein synthesis that takes place in the cell's ribosomes. The sequence of bases in a DNA strand is the code to create a prote"&amp;"in (just like a recipe book contains the recipe for making your favorite food!). The genetic code consists of codons, meaning that every three bases correspond to an amino acid. A gene is a sequence of bases encoding a particular protein.&lt;/p&gt;&lt;/td&gt;&lt;/tr&gt;&lt;/t"&amp;"body&gt;&lt;/table&gt;")</f>
        <v/>
      </c>
      <c r="E424" s="7">
        <f>IFERROR(__xludf.DUMMYFUNCTION("""COMPUTED_VALUE"""),"No artifact embedded")</f>
        <v/>
      </c>
      <c r="F424" s="7" t="n"/>
      <c r="G424" s="8" t="n">
        <v>1</v>
      </c>
      <c r="H424" s="8" t="n">
        <v>0</v>
      </c>
      <c r="I424" s="8" t="n">
        <v>0</v>
      </c>
      <c r="J424" s="8" t="n">
        <v>0</v>
      </c>
      <c r="K424" s="9" t="n">
        <v>1</v>
      </c>
      <c r="L424" s="9" t="n">
        <v>0</v>
      </c>
      <c r="M424" s="9" t="n">
        <v>0</v>
      </c>
      <c r="N424" s="9" t="n">
        <v>0</v>
      </c>
      <c r="O424" s="10" t="n">
        <v>1</v>
      </c>
      <c r="P424" s="10" t="n">
        <v>0</v>
      </c>
      <c r="Q424" s="10" t="n">
        <v>0</v>
      </c>
      <c r="R424" s="10" t="n">
        <v>0</v>
      </c>
      <c r="S424" s="10" t="n">
        <v>0</v>
      </c>
    </row>
    <row r="425" ht="395" customHeight="1">
      <c r="A425" s="6">
        <f>IFERROR(__xludf.DUMMYFUNCTION("""COMPUTED_VALUE"""),"Transcription and translation of DNA")</f>
        <v/>
      </c>
      <c r="B425" s="6">
        <f>IFERROR(__xludf.DUMMYFUNCTION("""COMPUTED_VALUE"""),"Resource")</f>
        <v/>
      </c>
      <c r="C425" s="6">
        <f>IFERROR(__xludf.DUMMYFUNCTION("""COMPUTED_VALUE"""),"Conceptualization 4.graasp")</f>
        <v/>
      </c>
      <c r="D425" s="7">
        <f>IFERROR(__xludf.DUMMYFUNCTION("""COMPUTED_VALUE"""),"&lt;p&gt;&lt;br&gt;&lt;/p&gt;&lt;table class=""table table-bordered""&gt;&lt;tbody&gt;&lt;tr&gt;&lt;td&gt;&lt;p&gt;Remember, however, the last question of the video you previously watched and the proverb at the beginning of the phase of Conceptualization. Since DNA is located in the cell's nucleus, how"&amp;" does it control the protein synthesis that takes place in ribosomes?&lt;/p&gt;&lt;p&gt;In the tool below, write down how do you think this happens and then proceed to the next phase of the lesson.&lt;/p&gt;&lt;/td&gt;&lt;/tr&gt;&lt;/tbody&gt;&lt;/table&gt;")</f>
        <v/>
      </c>
      <c r="E425" s="7">
        <f>IFERROR(__xludf.DUMMYFUNCTION("""COMPUTED_VALUE"""),"No artifact embedded")</f>
        <v/>
      </c>
      <c r="F425" s="7" t="n"/>
      <c r="G425" s="8" t="n">
        <v>0</v>
      </c>
      <c r="H425" s="8" t="n">
        <v>0</v>
      </c>
      <c r="I425" s="8" t="n">
        <v>1</v>
      </c>
      <c r="J425" s="8" t="n">
        <v>0</v>
      </c>
      <c r="K425" s="9" t="n">
        <v>0</v>
      </c>
      <c r="L425" s="9" t="n">
        <v>1</v>
      </c>
      <c r="M425" s="9" t="n">
        <v>0</v>
      </c>
      <c r="N425" s="9" t="n">
        <v>0</v>
      </c>
      <c r="O425" s="10" t="n">
        <v>0</v>
      </c>
      <c r="P425" s="10" t="n">
        <v>1</v>
      </c>
      <c r="Q425" s="10" t="n">
        <v>0</v>
      </c>
      <c r="R425" s="10" t="n">
        <v>0</v>
      </c>
      <c r="S425" s="10" t="n">
        <v>0</v>
      </c>
    </row>
    <row r="426" ht="329" customHeight="1">
      <c r="A426" s="6">
        <f>IFERROR(__xludf.DUMMYFUNCTION("""COMPUTED_VALUE"""),"Transcription and translation of DNA")</f>
        <v/>
      </c>
      <c r="B426" s="6">
        <f>IFERROR(__xludf.DUMMYFUNCTION("""COMPUTED_VALUE"""),"Application")</f>
        <v/>
      </c>
      <c r="C426" s="6">
        <f>IFERROR(__xludf.DUMMYFUNCTION("""COMPUTED_VALUE"""),"Input Box")</f>
        <v/>
      </c>
      <c r="D426" s="7">
        <f>IFERROR(__xludf.DUMMYFUNCTION("""COMPUTED_VALUE"""),"No task description")</f>
        <v/>
      </c>
      <c r="E4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26" s="7" t="n"/>
      <c r="G426" s="8" t="n">
        <v>0</v>
      </c>
      <c r="H426" s="8" t="n">
        <v>0</v>
      </c>
      <c r="I426" s="8" t="n">
        <v>1</v>
      </c>
      <c r="J426" s="8" t="n">
        <v>0</v>
      </c>
      <c r="K426" s="9" t="n">
        <v>0</v>
      </c>
      <c r="L426" s="9" t="n">
        <v>1</v>
      </c>
      <c r="M426" s="9" t="n">
        <v>0</v>
      </c>
      <c r="N426" s="9" t="n">
        <v>0</v>
      </c>
      <c r="O426" s="10" t="n">
        <v>0</v>
      </c>
      <c r="P426" s="10" t="n">
        <v>0</v>
      </c>
      <c r="Q426" s="10" t="n">
        <v>0</v>
      </c>
      <c r="R426" s="10" t="n">
        <v>0</v>
      </c>
      <c r="S426" s="10" t="n">
        <v>0</v>
      </c>
    </row>
    <row r="427" ht="49" customHeight="1">
      <c r="A427" s="6">
        <f>IFERROR(__xludf.DUMMYFUNCTION("""COMPUTED_VALUE"""),"Transcription and translation of DNA")</f>
        <v/>
      </c>
      <c r="B427" s="6">
        <f>IFERROR(__xludf.DUMMYFUNCTION("""COMPUTED_VALUE"""),"Space")</f>
        <v/>
      </c>
      <c r="C427" s="6">
        <f>IFERROR(__xludf.DUMMYFUNCTION("""COMPUTED_VALUE"""),"Let's experiment!")</f>
        <v/>
      </c>
      <c r="D427" s="7">
        <f>IFERROR(__xludf.DUMMYFUNCTION("""COMPUTED_VALUE"""),"&lt;p&gt;The next phase is the Investigation phase.&lt;/p&gt;")</f>
        <v/>
      </c>
      <c r="E427" s="7">
        <f>IFERROR(__xludf.DUMMYFUNCTION("""COMPUTED_VALUE"""),"No artifact embedded")</f>
        <v/>
      </c>
      <c r="F427" s="7" t="n"/>
      <c r="G427" s="8" t="n">
        <v>0</v>
      </c>
      <c r="H427" s="8" t="n">
        <v>0</v>
      </c>
      <c r="I427" s="8" t="n">
        <v>0</v>
      </c>
      <c r="J427" s="8" t="n">
        <v>0</v>
      </c>
      <c r="K427" s="9" t="n">
        <v>0</v>
      </c>
      <c r="L427" s="9" t="n">
        <v>0</v>
      </c>
      <c r="M427" s="9" t="n">
        <v>0</v>
      </c>
      <c r="N427" s="9" t="n">
        <v>0</v>
      </c>
      <c r="O427" s="10" t="n">
        <v>0</v>
      </c>
      <c r="P427" s="10" t="n">
        <v>0</v>
      </c>
      <c r="Q427" s="10" t="n">
        <v>0</v>
      </c>
      <c r="R427" s="10" t="n">
        <v>0</v>
      </c>
      <c r="S427" s="10" t="n">
        <v>0</v>
      </c>
    </row>
    <row r="428" ht="384" customHeight="1">
      <c r="A428" s="6">
        <f>IFERROR(__xludf.DUMMYFUNCTION("""COMPUTED_VALUE"""),"Transcription and translation of DNA")</f>
        <v/>
      </c>
      <c r="B428" s="6">
        <f>IFERROR(__xludf.DUMMYFUNCTION("""COMPUTED_VALUE"""),"Resource")</f>
        <v/>
      </c>
      <c r="C428" s="6">
        <f>IFERROR(__xludf.DUMMYFUNCTION("""COMPUTED_VALUE"""),"Investigation .graasp")</f>
        <v/>
      </c>
      <c r="D428" s="7">
        <f>IFERROR(__xludf.DUMMYFUNCTION("""COMPUTED_VALUE"""),"&lt;table class=""table table-bordered""&gt;&lt;tbody&gt;&lt;tr&gt;&lt;td&gt;&lt;p&gt;During the Investigation phase, we will use virtual laboratories to answer the questions we created in the Conceptualization phase. As you can understand, a class does not have the necessary scientif"&amp;"ic equipment for us to be able to perform cell experiments. Thanks to virtual workshops and models however, we can have a taste of how cell processes take place!&lt;/p&gt;&lt;/td&gt;&lt;/tr&gt;&lt;/tbody&gt;&lt;/table&gt;")</f>
        <v/>
      </c>
      <c r="E428" s="7">
        <f>IFERROR(__xludf.DUMMYFUNCTION("""COMPUTED_VALUE"""),"No artifact embedded")</f>
        <v/>
      </c>
      <c r="F428" s="7" t="n"/>
      <c r="G428" s="8" t="n">
        <v>0</v>
      </c>
      <c r="H428" s="8" t="n">
        <v>0</v>
      </c>
      <c r="I428" s="8" t="n">
        <v>1</v>
      </c>
      <c r="J428" s="8" t="n">
        <v>0</v>
      </c>
      <c r="K428" s="9" t="n">
        <v>0</v>
      </c>
      <c r="L428" s="9" t="n">
        <v>1</v>
      </c>
      <c r="M428" s="9" t="n">
        <v>0</v>
      </c>
      <c r="N428" s="9" t="n">
        <v>0</v>
      </c>
      <c r="O428" s="10" t="n">
        <v>1</v>
      </c>
      <c r="P428" s="10" t="n">
        <v>0</v>
      </c>
      <c r="Q428" s="10" t="n">
        <v>1</v>
      </c>
      <c r="R428" s="10" t="n">
        <v>0</v>
      </c>
      <c r="S428" s="10" t="n">
        <v>0</v>
      </c>
    </row>
    <row r="429" ht="373" customHeight="1">
      <c r="A429" s="6">
        <f>IFERROR(__xludf.DUMMYFUNCTION("""COMPUTED_VALUE"""),"Transcription and translation of DNA")</f>
        <v/>
      </c>
      <c r="B429" s="6">
        <f>IFERROR(__xludf.DUMMYFUNCTION("""COMPUTED_VALUE"""),"Resource")</f>
        <v/>
      </c>
      <c r="C429" s="6">
        <f>IFERROR(__xludf.DUMMYFUNCTION("""COMPUTED_VALUE"""),"Investigation 1.graasp")</f>
        <v/>
      </c>
      <c r="D429" s="7">
        <f>IFERROR(__xludf.DUMMYFUNCTION("""COMPUTED_VALUE"""),"&lt;table class=""table table-bordered""&gt;&lt;tbody&gt;&lt;tr&gt;&lt;td&gt;&lt;p&gt;The laboratory below depicts two DNA strands in the nucleus of a cell. Press the 'Prepare for transcription' button and then select the correct nitrogenous bases according to the Base Pairing Rule.&lt;/"&amp;"p&gt;&lt;p&gt;Note: The U symbol you find in the lab is the nitrogenous base uracil, which is found in the RNA molecule, which we will talk about later. Uracil pairs with adenine.&lt;/p&gt;&lt;/td&gt;&lt;/tr&gt;&lt;/tbody&gt;&lt;/table&gt;")</f>
        <v/>
      </c>
      <c r="E429" s="7">
        <f>IFERROR(__xludf.DUMMYFUNCTION("""COMPUTED_VALUE"""),"No artifact embedded")</f>
        <v/>
      </c>
      <c r="F429" s="7" t="n"/>
      <c r="G429" s="8" t="n">
        <v>0</v>
      </c>
      <c r="H429" s="8" t="n">
        <v>1</v>
      </c>
      <c r="I429" s="8" t="n">
        <v>0</v>
      </c>
      <c r="J429" s="8" t="n">
        <v>0</v>
      </c>
      <c r="K429" s="9" t="n">
        <v>1</v>
      </c>
      <c r="L429" s="9" t="n">
        <v>0</v>
      </c>
      <c r="M429" s="9" t="n">
        <v>0</v>
      </c>
      <c r="N429" s="9" t="n">
        <v>0</v>
      </c>
      <c r="O429" s="10" t="n">
        <v>1</v>
      </c>
      <c r="P429" s="10" t="n">
        <v>0</v>
      </c>
      <c r="Q429" s="10" t="n">
        <v>1</v>
      </c>
      <c r="R429" s="10" t="n">
        <v>0</v>
      </c>
      <c r="S429" s="10" t="n">
        <v>0</v>
      </c>
    </row>
    <row r="430" ht="296" customHeight="1">
      <c r="A430" s="6">
        <f>IFERROR(__xludf.DUMMYFUNCTION("""COMPUTED_VALUE"""),"Transcription and translation of DNA")</f>
        <v/>
      </c>
      <c r="B430" s="6">
        <f>IFERROR(__xludf.DUMMYFUNCTION("""COMPUTED_VALUE"""),"Application")</f>
        <v/>
      </c>
      <c r="C430" s="6">
        <f>IFERROR(__xludf.DUMMYFUNCTION("""COMPUTED_VALUE"""),"Modeling Transcription App")</f>
        <v/>
      </c>
      <c r="D430" s="7">
        <f>IFERROR(__xludf.DUMMYFUNCTION("""COMPUTED_VALUE"""),"No task description")</f>
        <v/>
      </c>
      <c r="E430" s="7">
        <f>IFERROR(__xludf.DUMMYFUNCTION("""COMPUTED_VALUE"""),"Golabz app/lab: ""&lt;p&gt;Explore how an mRNA copy is made of DNA. Protein complexes separate the DNA helix to allow complementary mRNA nucleotides to bind to the DNA sequence. The pairing of nucleotides is very specific.&lt;br /&gt;\r\nThe primary aim of the lab is"&amp;":&lt;br /&gt;\r\n1) To learn about DNA and nucleotides&lt;/p&gt;\r\n\r\n&lt;p&gt;&amp;nbsp;&lt;/p&gt;\r\n""")</f>
        <v/>
      </c>
      <c r="F430" s="7" t="n"/>
      <c r="G430" s="8" t="n">
        <v>0</v>
      </c>
      <c r="H430" s="8" t="n">
        <v>1</v>
      </c>
      <c r="I430" s="8" t="n">
        <v>0</v>
      </c>
      <c r="J430" s="8" t="n">
        <v>0</v>
      </c>
      <c r="K430" s="9" t="n">
        <v>1</v>
      </c>
      <c r="L430" s="9" t="n">
        <v>0</v>
      </c>
      <c r="M430" s="9" t="n">
        <v>0</v>
      </c>
      <c r="N430" s="9" t="n">
        <v>0</v>
      </c>
      <c r="O430" s="10" t="n">
        <v>0</v>
      </c>
      <c r="P430" s="10" t="n">
        <v>0</v>
      </c>
      <c r="Q430" s="10" t="n">
        <v>1</v>
      </c>
      <c r="R430" s="10" t="n">
        <v>0</v>
      </c>
      <c r="S430" s="10" t="n">
        <v>0</v>
      </c>
    </row>
    <row r="431" ht="395" customHeight="1">
      <c r="A431" s="6">
        <f>IFERROR(__xludf.DUMMYFUNCTION("""COMPUTED_VALUE"""),"Transcription and translation of DNA")</f>
        <v/>
      </c>
      <c r="B431" s="6">
        <f>IFERROR(__xludf.DUMMYFUNCTION("""COMPUTED_VALUE"""),"Application")</f>
        <v/>
      </c>
      <c r="C431" s="6">
        <f>IFERROR(__xludf.DUMMYFUNCTION("""COMPUTED_VALUE"""),"Observation Tool")</f>
        <v/>
      </c>
      <c r="D431" s="7">
        <f>IFERROR(__xludf.DUMMYFUNCTION("""COMPUTED_VALUE"""),"&lt;p&gt;What do you observe? Write down your observations in the following tool by pressing +. You can create as many comments as you like.&lt;/p&gt;")</f>
        <v/>
      </c>
      <c r="E431"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431" s="7" t="n"/>
      <c r="G431" s="8" t="n">
        <v>0</v>
      </c>
      <c r="H431" s="8" t="n">
        <v>0</v>
      </c>
      <c r="I431" s="8" t="n">
        <v>1</v>
      </c>
      <c r="J431" s="8" t="n">
        <v>0</v>
      </c>
      <c r="K431" s="9" t="n">
        <v>0</v>
      </c>
      <c r="L431" s="9" t="n">
        <v>1</v>
      </c>
      <c r="M431" s="9" t="n">
        <v>0</v>
      </c>
      <c r="N431" s="9" t="n">
        <v>0</v>
      </c>
      <c r="O431" s="10" t="n">
        <v>0</v>
      </c>
      <c r="P431" s="10" t="n">
        <v>0</v>
      </c>
      <c r="Q431" s="10" t="n">
        <v>1</v>
      </c>
      <c r="R431" s="10" t="n">
        <v>0</v>
      </c>
      <c r="S431" s="10" t="n">
        <v>0</v>
      </c>
    </row>
    <row r="432" ht="409.5" customHeight="1">
      <c r="A432" s="6">
        <f>IFERROR(__xludf.DUMMYFUNCTION("""COMPUTED_VALUE"""),"Transcription and translation of DNA")</f>
        <v/>
      </c>
      <c r="B432" s="6">
        <f>IFERROR(__xludf.DUMMYFUNCTION("""COMPUTED_VALUE"""),"Resource")</f>
        <v/>
      </c>
      <c r="C432" s="6">
        <f>IFERROR(__xludf.DUMMYFUNCTION("""COMPUTED_VALUE"""),"Investigation 2.graasp")</f>
        <v/>
      </c>
      <c r="D432" s="7">
        <f>IFERROR(__xludf.DUMMYFUNCTION("""COMPUTED_VALUE"""),"&lt;table class=""table table-bordered""&gt;&lt;tbody&gt;&lt;tr&gt;&lt;td&gt;&lt;p&gt;The process you watched at the virtual lab is called transcription of DNA. During transcription, one of the two strands of DNA is used as a mold for the formation of a new single-stranded molecule, c"&amp;"alled a messenger or mRNA. RNA (ribonucleic acid) is a DNA-like nucleic acid but with some differences in its structure and role. The table below shows the main structural differences. Fill in what is missing.&lt;/p&gt;&lt;/td&gt;&lt;/tr&gt;&lt;/tbody&gt;&lt;/table&gt;")</f>
        <v/>
      </c>
      <c r="E432" s="7">
        <f>IFERROR(__xludf.DUMMYFUNCTION("""COMPUTED_VALUE"""),"No artifact embedded")</f>
        <v/>
      </c>
      <c r="F432" s="7" t="n"/>
      <c r="G432" s="8" t="n">
        <v>0</v>
      </c>
      <c r="H432" s="8" t="n">
        <v>0</v>
      </c>
      <c r="I432" s="8" t="n">
        <v>1</v>
      </c>
      <c r="J432" s="8" t="n">
        <v>0</v>
      </c>
      <c r="K432" s="9" t="n">
        <v>0</v>
      </c>
      <c r="L432" s="9" t="n">
        <v>1</v>
      </c>
      <c r="M432" s="9" t="n">
        <v>0</v>
      </c>
      <c r="N432" s="9" t="n">
        <v>0</v>
      </c>
      <c r="O432" s="10" t="n">
        <v>1</v>
      </c>
      <c r="P432" s="10" t="n">
        <v>0</v>
      </c>
      <c r="Q432" s="10" t="n">
        <v>0</v>
      </c>
      <c r="R432" s="10" t="n">
        <v>0</v>
      </c>
      <c r="S432" s="10" t="n">
        <v>0</v>
      </c>
    </row>
    <row r="433" ht="409.5" customHeight="1">
      <c r="A433" s="6">
        <f>IFERROR(__xludf.DUMMYFUNCTION("""COMPUTED_VALUE"""),"Transcription and translation of DNA")</f>
        <v/>
      </c>
      <c r="B433" s="6">
        <f>IFERROR(__xludf.DUMMYFUNCTION("""COMPUTED_VALUE"""),"Application")</f>
        <v/>
      </c>
      <c r="C433" s="6">
        <f>IFERROR(__xludf.DUMMYFUNCTION("""COMPUTED_VALUE"""),"Table Tool")</f>
        <v/>
      </c>
      <c r="D433" s="7">
        <f>IFERROR(__xludf.DUMMYFUNCTION("""COMPUTED_VALUE"""),"No task description")</f>
        <v/>
      </c>
      <c r="E43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33" s="7" t="n"/>
      <c r="G433" s="8" t="n">
        <v>0</v>
      </c>
      <c r="H433" s="8" t="n">
        <v>0</v>
      </c>
      <c r="I433" s="8" t="n">
        <v>1</v>
      </c>
      <c r="J433" s="8" t="n">
        <v>0</v>
      </c>
      <c r="K433" s="9" t="n">
        <v>0</v>
      </c>
      <c r="L433" s="9" t="n">
        <v>1</v>
      </c>
      <c r="M433" s="9" t="n">
        <v>0</v>
      </c>
      <c r="N433" s="9" t="n">
        <v>0</v>
      </c>
      <c r="O433" s="10" t="n">
        <v>0</v>
      </c>
      <c r="P433" s="10" t="n">
        <v>0</v>
      </c>
      <c r="Q433" s="10" t="n">
        <v>0</v>
      </c>
      <c r="R433" s="10" t="n">
        <v>0</v>
      </c>
      <c r="S433" s="10" t="n">
        <v>0</v>
      </c>
    </row>
    <row r="434" ht="285" customHeight="1">
      <c r="A434" s="6">
        <f>IFERROR(__xludf.DUMMYFUNCTION("""COMPUTED_VALUE"""),"Transcription and translation of DNA")</f>
        <v/>
      </c>
      <c r="B434" s="6">
        <f>IFERROR(__xludf.DUMMYFUNCTION("""COMPUTED_VALUE"""),"Resource")</f>
        <v/>
      </c>
      <c r="C434" s="6">
        <f>IFERROR(__xludf.DUMMYFUNCTION("""COMPUTED_VALUE"""),"Investigation 3.graasp")</f>
        <v/>
      </c>
      <c r="D434" s="7">
        <f>IFERROR(__xludf.DUMMYFUNCTION("""COMPUTED_VALUE"""),"&lt;table class=""table table-bordered""&gt;&lt;tbody&gt;&lt;tr&gt;&lt;td&gt;&lt;p&gt;Once created, the mRNA molecules move from the nucleus to the cytoplasm and carry the 'message' for protein synthesis to the ribosomes.&lt;/p&gt;&lt;p&gt;In the virtual lab that follows, click the 'Translate' bu"&amp;"tton to carefully follow up the process.&lt;/p&gt;&lt;/td&gt;&lt;/tr&gt;&lt;/tbody&gt;&lt;/table&gt;")</f>
        <v/>
      </c>
      <c r="E434" s="7">
        <f>IFERROR(__xludf.DUMMYFUNCTION("""COMPUTED_VALUE"""),"No artifact embedded")</f>
        <v/>
      </c>
      <c r="F434" s="7" t="n"/>
      <c r="G434" s="8" t="n">
        <v>0</v>
      </c>
      <c r="H434" s="8" t="n">
        <v>1</v>
      </c>
      <c r="I434" s="8" t="n">
        <v>0</v>
      </c>
      <c r="J434" s="8" t="n">
        <v>0</v>
      </c>
      <c r="K434" s="9" t="n">
        <v>1</v>
      </c>
      <c r="L434" s="9" t="n">
        <v>0</v>
      </c>
      <c r="M434" s="9" t="n">
        <v>0</v>
      </c>
      <c r="N434" s="9" t="n">
        <v>0</v>
      </c>
      <c r="O434" s="10" t="n">
        <v>1</v>
      </c>
      <c r="P434" s="10" t="n">
        <v>0</v>
      </c>
      <c r="Q434" s="10" t="n">
        <v>1</v>
      </c>
      <c r="R434" s="10" t="n">
        <v>0</v>
      </c>
      <c r="S434" s="10" t="n">
        <v>0</v>
      </c>
    </row>
    <row r="435" ht="409.5" customHeight="1">
      <c r="A435" s="6">
        <f>IFERROR(__xludf.DUMMYFUNCTION("""COMPUTED_VALUE"""),"Transcription and translation of DNA")</f>
        <v/>
      </c>
      <c r="B435" s="6">
        <f>IFERROR(__xludf.DUMMYFUNCTION("""COMPUTED_VALUE"""),"Application")</f>
        <v/>
      </c>
      <c r="C435" s="6">
        <f>IFERROR(__xludf.DUMMYFUNCTION("""COMPUTED_VALUE"""),"Modeling Translation App")</f>
        <v/>
      </c>
      <c r="D435" s="7">
        <f>IFERROR(__xludf.DUMMYFUNCTION("""COMPUTED_VALUE"""),"No task description")</f>
        <v/>
      </c>
      <c r="E435" s="7">
        <f>IFERROR(__xludf.DUMMYFUNCTION("""COMPUTED_VALUE"""),"Golabz app/lab: ""&lt;p&gt;Explore how a protein is made from an mRNA sequence. In translation, the mRNA leaves the nucleus and attaches to a ribosome. Transfer RNA (tRNA) molecules bring amino acids to the ribosome. The tRNA pairs up with the mRNA nucleotide s"&amp;"equence in a specific complementary manner, ensuring the correct amino acid sequence in the protein.&lt;br /&gt;\r\nThe primary aim of the lab is:&lt;br /&gt;\r\n1) To learn about DNA, ribosomes and amino acids&lt;/p&gt;\r\n""")</f>
        <v/>
      </c>
      <c r="F435" s="7" t="n"/>
      <c r="G435" s="8" t="n">
        <v>0</v>
      </c>
      <c r="H435" s="8" t="n">
        <v>1</v>
      </c>
      <c r="I435" s="8" t="n">
        <v>0</v>
      </c>
      <c r="J435" s="8" t="n">
        <v>0</v>
      </c>
      <c r="K435" s="9" t="n">
        <v>1</v>
      </c>
      <c r="L435" s="9" t="n">
        <v>0</v>
      </c>
      <c r="M435" s="9" t="n">
        <v>0</v>
      </c>
      <c r="N435" s="9" t="n">
        <v>0</v>
      </c>
      <c r="O435" s="10" t="n">
        <v>0</v>
      </c>
      <c r="P435" s="10" t="n">
        <v>0</v>
      </c>
      <c r="Q435" s="10" t="n">
        <v>1</v>
      </c>
      <c r="R435" s="10" t="n">
        <v>0</v>
      </c>
      <c r="S435" s="10" t="n">
        <v>0</v>
      </c>
    </row>
    <row r="436" ht="329" customHeight="1">
      <c r="A436" s="6">
        <f>IFERROR(__xludf.DUMMYFUNCTION("""COMPUTED_VALUE"""),"Transcription and translation of DNA")</f>
        <v/>
      </c>
      <c r="B436" s="6">
        <f>IFERROR(__xludf.DUMMYFUNCTION("""COMPUTED_VALUE"""),"Application")</f>
        <v/>
      </c>
      <c r="C436" s="6">
        <f>IFERROR(__xludf.DUMMYFUNCTION("""COMPUTED_VALUE"""),"Input Box")</f>
        <v/>
      </c>
      <c r="D436" s="7">
        <f>IFERROR(__xludf.DUMMYFUNCTION("""COMPUTED_VALUE"""),"&lt;p&gt;What is the end result of the procedure?&lt;/p&gt;")</f>
        <v/>
      </c>
      <c r="E4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36" s="7" t="n"/>
      <c r="G436" s="8" t="n">
        <v>0</v>
      </c>
      <c r="H436" s="8" t="n">
        <v>0</v>
      </c>
      <c r="I436" s="8" t="n">
        <v>1</v>
      </c>
      <c r="J436" s="8" t="n">
        <v>0</v>
      </c>
      <c r="K436" s="9" t="n">
        <v>0</v>
      </c>
      <c r="L436" s="9" t="n">
        <v>1</v>
      </c>
      <c r="M436" s="9" t="n">
        <v>0</v>
      </c>
      <c r="N436" s="9" t="n">
        <v>0</v>
      </c>
      <c r="O436" s="10" t="n">
        <v>0</v>
      </c>
      <c r="P436" s="10" t="n">
        <v>0</v>
      </c>
      <c r="Q436" s="10" t="n">
        <v>1</v>
      </c>
      <c r="R436" s="10" t="n">
        <v>0</v>
      </c>
      <c r="S436" s="10" t="n">
        <v>0</v>
      </c>
    </row>
    <row r="437" ht="409.5" customHeight="1">
      <c r="A437" s="6">
        <f>IFERROR(__xludf.DUMMYFUNCTION("""COMPUTED_VALUE"""),"Transcription and translation of DNA")</f>
        <v/>
      </c>
      <c r="B437" s="6">
        <f>IFERROR(__xludf.DUMMYFUNCTION("""COMPUTED_VALUE"""),"Resource")</f>
        <v/>
      </c>
      <c r="C437" s="6">
        <f>IFERROR(__xludf.DUMMYFUNCTION("""COMPUTED_VALUE"""),"Investigation 4.graasp")</f>
        <v/>
      </c>
      <c r="D437" s="7">
        <f>IFERROR(__xludf.DUMMYFUNCTION("""COMPUTED_VALUE"""),"&lt;p&gt;&lt;br&gt;&lt;/p&gt;&lt;table class=""table table-bordered""&gt;&lt;tbody&gt;&lt;tr&gt;&lt;td&gt;&lt;p&gt;The process you watched in the second virtual lab is called the translation of DNA, during which the nucleotide codons are 'translated' into amino acids. The molecules depicted in green in"&amp;" the lab are called transfer RNA or tRNA. Each tRNA molecule transfers an amino acid to the ribosome, while at its other end there is an anti-codon recognized by the complementary codon of the mRNA. In this way the tRNAs bring the appropriate amino acids "&amp;"to the ribosome, where they are bonded to form proteins with a specific amino acid sequence.&lt;/p&gt;&lt;p&gt;Another type of RNA molecules are the ribosomal RNAs or rRNAs, which bind to specific proteins and form ribosomes.&lt;/p&gt;&lt;p&gt;You are now ready to proceed to the"&amp;" next phase of the course.&lt;/p&gt;&lt;/td&gt;&lt;/tr&gt;&lt;/tbody&gt;&lt;/table&gt;")</f>
        <v/>
      </c>
      <c r="E437" s="7">
        <f>IFERROR(__xludf.DUMMYFUNCTION("""COMPUTED_VALUE"""),"No artifact embedded")</f>
        <v/>
      </c>
      <c r="F437" s="7" t="n"/>
      <c r="G437" s="8" t="n">
        <v>1</v>
      </c>
      <c r="H437" s="8" t="n">
        <v>0</v>
      </c>
      <c r="I437" s="8" t="n">
        <v>0</v>
      </c>
      <c r="J437" s="8" t="n">
        <v>0</v>
      </c>
      <c r="K437" s="9" t="n">
        <v>1</v>
      </c>
      <c r="L437" s="9" t="n">
        <v>0</v>
      </c>
      <c r="M437" s="9" t="n">
        <v>0</v>
      </c>
      <c r="N437" s="9" t="n">
        <v>0</v>
      </c>
      <c r="O437" s="10" t="n">
        <v>1</v>
      </c>
      <c r="P437" s="10" t="n">
        <v>0</v>
      </c>
      <c r="Q437" s="10" t="n">
        <v>0</v>
      </c>
      <c r="R437" s="10" t="n">
        <v>0</v>
      </c>
      <c r="S437" s="10" t="n">
        <v>0</v>
      </c>
    </row>
    <row r="438" ht="37" customHeight="1">
      <c r="A438" s="6">
        <f>IFERROR(__xludf.DUMMYFUNCTION("""COMPUTED_VALUE"""),"Transcription and translation of DNA")</f>
        <v/>
      </c>
      <c r="B438" s="6">
        <f>IFERROR(__xludf.DUMMYFUNCTION("""COMPUTED_VALUE"""),"Space")</f>
        <v/>
      </c>
      <c r="C438" s="6">
        <f>IFERROR(__xludf.DUMMYFUNCTION("""COMPUTED_VALUE"""),"What have you learned today?")</f>
        <v/>
      </c>
      <c r="D438" s="7">
        <f>IFERROR(__xludf.DUMMYFUNCTION("""COMPUTED_VALUE"""),"&lt;p&gt;Welcome to the Conclusion phase.&lt;/p&gt;")</f>
        <v/>
      </c>
      <c r="E438" s="7">
        <f>IFERROR(__xludf.DUMMYFUNCTION("""COMPUTED_VALUE"""),"No artifact embedded")</f>
        <v/>
      </c>
      <c r="F438" s="7" t="n"/>
      <c r="G438" s="8" t="n">
        <v>0</v>
      </c>
      <c r="H438" s="8" t="n">
        <v>0</v>
      </c>
      <c r="I438" s="8" t="n">
        <v>0</v>
      </c>
      <c r="J438" s="8" t="n">
        <v>0</v>
      </c>
      <c r="K438" s="9" t="n">
        <v>0</v>
      </c>
      <c r="L438" s="9" t="n">
        <v>0</v>
      </c>
      <c r="M438" s="9" t="n">
        <v>0</v>
      </c>
      <c r="N438" s="9" t="n">
        <v>0</v>
      </c>
      <c r="O438" s="10" t="n">
        <v>0</v>
      </c>
      <c r="P438" s="10" t="n">
        <v>0</v>
      </c>
      <c r="Q438" s="10" t="n">
        <v>0</v>
      </c>
      <c r="R438" s="10" t="n">
        <v>0</v>
      </c>
      <c r="S438" s="10" t="n">
        <v>0</v>
      </c>
    </row>
    <row r="439" ht="373" customHeight="1">
      <c r="A439" s="6">
        <f>IFERROR(__xludf.DUMMYFUNCTION("""COMPUTED_VALUE"""),"Transcription and translation of DNA")</f>
        <v/>
      </c>
      <c r="B439" s="6">
        <f>IFERROR(__xludf.DUMMYFUNCTION("""COMPUTED_VALUE"""),"Resource")</f>
        <v/>
      </c>
      <c r="C439" s="6">
        <f>IFERROR(__xludf.DUMMYFUNCTION("""COMPUTED_VALUE"""),"Conclusion.graasp")</f>
        <v/>
      </c>
      <c r="D439" s="7">
        <f>IFERROR(__xludf.DUMMYFUNCTION("""COMPUTED_VALUE"""),"&lt;table class=""table table-bordered""&gt;&lt;tbody&gt;&lt;tr&gt;&lt;td&gt;&lt;p&gt;What have you learned today? What conclusions have you reached using the virtual laboratories?&lt;br&gt;In the Conclusion Tool that follows you can see the research question you raised in the Conceptualiza"&amp;"tion phase. Write the observations you made in the Investigation phase and briefly outline what you learned today about the DNA transcription and translation.&lt;/p&gt;&lt;/td&gt;&lt;/tr&gt;&lt;/tbody&gt;&lt;/table&gt;")</f>
        <v/>
      </c>
      <c r="E439" s="7">
        <f>IFERROR(__xludf.DUMMYFUNCTION("""COMPUTED_VALUE"""),"No artifact embedded")</f>
        <v/>
      </c>
      <c r="F439" s="7" t="n"/>
      <c r="G439" s="8" t="n">
        <v>0</v>
      </c>
      <c r="H439" s="8" t="n">
        <v>0</v>
      </c>
      <c r="I439" s="8" t="n">
        <v>1</v>
      </c>
      <c r="J439" s="8" t="n">
        <v>0</v>
      </c>
      <c r="K439" s="9" t="n">
        <v>0</v>
      </c>
      <c r="L439" s="9" t="n">
        <v>1</v>
      </c>
      <c r="M439" s="9" t="n">
        <v>0</v>
      </c>
      <c r="N439" s="9" t="n">
        <v>0</v>
      </c>
      <c r="O439" s="10" t="n">
        <v>0</v>
      </c>
      <c r="P439" s="10" t="n">
        <v>0</v>
      </c>
      <c r="Q439" s="10" t="n">
        <v>0</v>
      </c>
      <c r="R439" s="10" t="n">
        <v>1</v>
      </c>
      <c r="S439" s="10" t="n">
        <v>1</v>
      </c>
    </row>
    <row r="440" ht="409.5" customHeight="1">
      <c r="A440" s="6">
        <f>IFERROR(__xludf.DUMMYFUNCTION("""COMPUTED_VALUE"""),"Transcription and translation of DNA")</f>
        <v/>
      </c>
      <c r="B440" s="6">
        <f>IFERROR(__xludf.DUMMYFUNCTION("""COMPUTED_VALUE"""),"Application")</f>
        <v/>
      </c>
      <c r="C440" s="6">
        <f>IFERROR(__xludf.DUMMYFUNCTION("""COMPUTED_VALUE"""),"Conclusion Tool")</f>
        <v/>
      </c>
      <c r="D440" s="7">
        <f>IFERROR(__xludf.DUMMYFUNCTION("""COMPUTED_VALUE"""),"No task description")</f>
        <v/>
      </c>
      <c r="E44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440" s="7" t="n"/>
      <c r="G440" s="8" t="n">
        <v>0</v>
      </c>
      <c r="H440" s="8" t="n">
        <v>0</v>
      </c>
      <c r="I440" s="8" t="n">
        <v>1</v>
      </c>
      <c r="J440" s="8" t="n">
        <v>0</v>
      </c>
      <c r="K440" s="9" t="n">
        <v>0</v>
      </c>
      <c r="L440" s="9" t="n">
        <v>1</v>
      </c>
      <c r="M440" s="9" t="n">
        <v>0</v>
      </c>
      <c r="N440" s="9" t="n">
        <v>0</v>
      </c>
      <c r="O440" s="10" t="n">
        <v>0</v>
      </c>
      <c r="P440" s="10" t="n">
        <v>0</v>
      </c>
      <c r="Q440" s="10" t="n">
        <v>0</v>
      </c>
      <c r="R440" s="10" t="n">
        <v>1</v>
      </c>
      <c r="S440" s="10" t="n">
        <v>0</v>
      </c>
    </row>
    <row r="441" ht="217" customHeight="1">
      <c r="A441" s="6">
        <f>IFERROR(__xludf.DUMMYFUNCTION("""COMPUTED_VALUE"""),"Transcription and translation of DNA")</f>
        <v/>
      </c>
      <c r="B441" s="6">
        <f>IFERROR(__xludf.DUMMYFUNCTION("""COMPUTED_VALUE"""),"Resource")</f>
        <v/>
      </c>
      <c r="C441" s="6">
        <f>IFERROR(__xludf.DUMMYFUNCTION("""COMPUTED_VALUE"""),"Conclusion1.graasp")</f>
        <v/>
      </c>
      <c r="D441" s="7">
        <f>IFERROR(__xludf.DUMMYFUNCTION("""COMPUTED_VALUE"""),"&lt;table class=""table table-bordered""&gt;&lt;tbody&gt;&lt;tr&gt;&lt;td&gt;&lt;p&gt;Now that the course has been completed, answer the following questions based on what you already know and what you have learned today.&lt;/p&gt;&lt;/td&gt;&lt;/tr&gt;&lt;/tbody&gt;&lt;/table&gt;")</f>
        <v/>
      </c>
      <c r="E441" s="7">
        <f>IFERROR(__xludf.DUMMYFUNCTION("""COMPUTED_VALUE"""),"No artifact embedded")</f>
        <v/>
      </c>
      <c r="F441" s="7" t="n"/>
      <c r="G441" s="8" t="n">
        <v>0</v>
      </c>
      <c r="H441" s="8" t="n">
        <v>0</v>
      </c>
      <c r="I441" s="8" t="n">
        <v>1</v>
      </c>
      <c r="J441" s="8" t="n">
        <v>0</v>
      </c>
      <c r="K441" s="9" t="n">
        <v>0</v>
      </c>
      <c r="L441" s="9" t="n">
        <v>1</v>
      </c>
      <c r="M441" s="9" t="n">
        <v>0</v>
      </c>
      <c r="N441" s="9" t="n">
        <v>0</v>
      </c>
      <c r="O441" s="10" t="n">
        <v>0</v>
      </c>
      <c r="P441" s="10" t="n">
        <v>0</v>
      </c>
      <c r="Q441" s="10" t="n">
        <v>0</v>
      </c>
      <c r="R441" s="10" t="n">
        <v>0</v>
      </c>
      <c r="S441" s="10" t="n">
        <v>0</v>
      </c>
    </row>
    <row r="442" ht="145" customHeight="1">
      <c r="A442" s="6">
        <f>IFERROR(__xludf.DUMMYFUNCTION("""COMPUTED_VALUE"""),"Transcription and translation of DNA")</f>
        <v/>
      </c>
      <c r="B442" s="6">
        <f>IFERROR(__xludf.DUMMYFUNCTION("""COMPUTED_VALUE"""),"Resource")</f>
        <v/>
      </c>
      <c r="C442" s="6">
        <f>IFERROR(__xludf.DUMMYFUNCTION("""COMPUTED_VALUE"""),"Untitled.png")</f>
        <v/>
      </c>
      <c r="D442" s="7">
        <f>IFERROR(__xludf.DUMMYFUNCTION("""COMPUTED_VALUE"""),"&lt;p&gt;1. The process we learned about today is also known as the 'Central Dogma of Molecular Biology'. Fill in the missing words 1 and 2 in the table below.&lt;/p&gt;")</f>
        <v/>
      </c>
      <c r="E442" s="7">
        <f>IFERROR(__xludf.DUMMYFUNCTION("""COMPUTED_VALUE"""),"image/png – A high-quality image with support for transparency, often used in design and web applications.")</f>
        <v/>
      </c>
      <c r="F442" s="7" t="n"/>
      <c r="G442" s="8" t="n">
        <v>0</v>
      </c>
      <c r="H442" s="8" t="n">
        <v>0</v>
      </c>
      <c r="I442" s="8" t="n">
        <v>1</v>
      </c>
      <c r="J442" s="8" t="n">
        <v>0</v>
      </c>
      <c r="K442" s="9" t="n">
        <v>0</v>
      </c>
      <c r="L442" s="9" t="n">
        <v>1</v>
      </c>
      <c r="M442" s="9" t="n">
        <v>0</v>
      </c>
      <c r="N442" s="9" t="n">
        <v>0</v>
      </c>
      <c r="O442" s="10" t="n">
        <v>0</v>
      </c>
      <c r="P442" s="10" t="n">
        <v>0</v>
      </c>
      <c r="Q442" s="10" t="n">
        <v>0</v>
      </c>
      <c r="R442" s="10" t="n">
        <v>0</v>
      </c>
      <c r="S442" s="10" t="n">
        <v>0</v>
      </c>
    </row>
    <row r="443" ht="409.5" customHeight="1">
      <c r="A443" s="6">
        <f>IFERROR(__xludf.DUMMYFUNCTION("""COMPUTED_VALUE"""),"Transcription and translation of DNA")</f>
        <v/>
      </c>
      <c r="B443" s="6">
        <f>IFERROR(__xludf.DUMMYFUNCTION("""COMPUTED_VALUE"""),"Application")</f>
        <v/>
      </c>
      <c r="C443" s="6">
        <f>IFERROR(__xludf.DUMMYFUNCTION("""COMPUTED_VALUE"""),"Table Tool")</f>
        <v/>
      </c>
      <c r="D443" s="7">
        <f>IFERROR(__xludf.DUMMYFUNCTION("""COMPUTED_VALUE"""),"No task description")</f>
        <v/>
      </c>
      <c r="E44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43" s="7" t="n"/>
      <c r="G443" s="8" t="n">
        <v>0</v>
      </c>
      <c r="H443" s="8" t="n">
        <v>0</v>
      </c>
      <c r="I443" s="8" t="n">
        <v>1</v>
      </c>
      <c r="J443" s="8" t="n">
        <v>0</v>
      </c>
      <c r="K443" s="9" t="n">
        <v>0</v>
      </c>
      <c r="L443" s="9" t="n">
        <v>1</v>
      </c>
      <c r="M443" s="9" t="n">
        <v>0</v>
      </c>
      <c r="N443" s="9" t="n">
        <v>0</v>
      </c>
      <c r="O443" s="10" t="n">
        <v>0</v>
      </c>
      <c r="P443" s="10" t="n">
        <v>0</v>
      </c>
      <c r="Q443" s="10" t="n">
        <v>0</v>
      </c>
      <c r="R443" s="10" t="n">
        <v>0</v>
      </c>
      <c r="S443" s="10" t="n">
        <v>0</v>
      </c>
    </row>
    <row r="444" ht="296" customHeight="1">
      <c r="A444" s="6">
        <f>IFERROR(__xludf.DUMMYFUNCTION("""COMPUTED_VALUE"""),"Transcription and translation of DNA")</f>
        <v/>
      </c>
      <c r="B444" s="6">
        <f>IFERROR(__xludf.DUMMYFUNCTION("""COMPUTED_VALUE"""),"Resource")</f>
        <v/>
      </c>
      <c r="C444" s="6">
        <f>IFERROR(__xludf.DUMMYFUNCTION("""COMPUTED_VALUE"""),"Conclusion2.graasp")</f>
        <v/>
      </c>
      <c r="D444" s="7">
        <f>IFERROR(__xludf.DUMMYFUNCTION("""COMPUTED_VALUE"""),"&lt;table class=""table table-bordered""&gt;&lt;tbody&gt;&lt;tr&gt;&lt;td&gt;&lt;p&gt;2. An organism begins from a single cell and ends up having many different types of somatic cells and organs with differences in structure and function. Try to justify it with the help of the central"&amp;" dogma of Molecular Biology, which describes the flow of genetic information.&lt;/p&gt;&lt;/td&gt;&lt;/tr&gt;&lt;/tbody&gt;&lt;/table&gt;")</f>
        <v/>
      </c>
      <c r="E444" s="7">
        <f>IFERROR(__xludf.DUMMYFUNCTION("""COMPUTED_VALUE"""),"No artifact embedded")</f>
        <v/>
      </c>
      <c r="F444" s="7" t="n"/>
      <c r="G444" s="8" t="n">
        <v>0</v>
      </c>
      <c r="H444" s="8" t="n">
        <v>0</v>
      </c>
      <c r="I444" s="8" t="n">
        <v>1</v>
      </c>
      <c r="J444" s="8" t="n">
        <v>0</v>
      </c>
      <c r="K444" s="9" t="n">
        <v>0</v>
      </c>
      <c r="L444" s="9" t="n">
        <v>1</v>
      </c>
      <c r="M444" s="9" t="n">
        <v>0</v>
      </c>
      <c r="N444" s="9" t="n">
        <v>0</v>
      </c>
      <c r="O444" s="10" t="n">
        <v>0</v>
      </c>
      <c r="P444" s="10" t="n">
        <v>0</v>
      </c>
      <c r="Q444" s="10" t="n">
        <v>0</v>
      </c>
      <c r="R444" s="10" t="n">
        <v>1</v>
      </c>
      <c r="S444" s="10" t="n">
        <v>0</v>
      </c>
    </row>
    <row r="445" ht="329" customHeight="1">
      <c r="A445" s="6">
        <f>IFERROR(__xludf.DUMMYFUNCTION("""COMPUTED_VALUE"""),"Transcription and translation of DNA")</f>
        <v/>
      </c>
      <c r="B445" s="6">
        <f>IFERROR(__xludf.DUMMYFUNCTION("""COMPUTED_VALUE"""),"Application")</f>
        <v/>
      </c>
      <c r="C445" s="6">
        <f>IFERROR(__xludf.DUMMYFUNCTION("""COMPUTED_VALUE"""),"Input Box")</f>
        <v/>
      </c>
      <c r="D445" s="7">
        <f>IFERROR(__xludf.DUMMYFUNCTION("""COMPUTED_VALUE"""),"No task description")</f>
        <v/>
      </c>
      <c r="E4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45" s="7" t="n"/>
      <c r="G445" s="8" t="n">
        <v>0</v>
      </c>
      <c r="H445" s="8" t="n">
        <v>0</v>
      </c>
      <c r="I445" s="8" t="n">
        <v>1</v>
      </c>
      <c r="J445" s="8" t="n">
        <v>0</v>
      </c>
      <c r="K445" s="9" t="n">
        <v>0</v>
      </c>
      <c r="L445" s="9" t="n">
        <v>1</v>
      </c>
      <c r="M445" s="9" t="n">
        <v>0</v>
      </c>
      <c r="N445" s="9" t="n">
        <v>0</v>
      </c>
      <c r="O445" s="10" t="n">
        <v>0</v>
      </c>
      <c r="P445" s="10" t="n">
        <v>0</v>
      </c>
      <c r="Q445" s="10" t="n">
        <v>0</v>
      </c>
      <c r="R445" s="10" t="n">
        <v>0</v>
      </c>
      <c r="S445" s="10" t="n">
        <v>0</v>
      </c>
    </row>
    <row r="446" ht="193" customHeight="1">
      <c r="A446" s="6">
        <f>IFERROR(__xludf.DUMMYFUNCTION("""COMPUTED_VALUE"""),"Transcription and translation of DNA")</f>
        <v/>
      </c>
      <c r="B446" s="6">
        <f>IFERROR(__xludf.DUMMYFUNCTION("""COMPUTED_VALUE"""),"Resource")</f>
        <v/>
      </c>
      <c r="C446" s="6">
        <f>IFERROR(__xludf.DUMMYFUNCTION("""COMPUTED_VALUE"""),"Conclusion3.graasp")</f>
        <v/>
      </c>
      <c r="D446" s="7">
        <f>IFERROR(__xludf.DUMMYFUNCTION("""COMPUTED_VALUE"""),"&lt;table class=""table table-bordered""&gt;&lt;tbody&gt;&lt;tr&gt;&lt;td&gt;&lt;p&gt;Congratulations, you have succeeded in completing the course! You can now proceed to the last phase of the course.&lt;/p&gt;&lt;/td&gt;&lt;/tr&gt;&lt;/tbody&gt;&lt;/table&gt;")</f>
        <v/>
      </c>
      <c r="E446" s="7">
        <f>IFERROR(__xludf.DUMMYFUNCTION("""COMPUTED_VALUE"""),"No artifact embedded")</f>
        <v/>
      </c>
      <c r="F446" s="7" t="n"/>
      <c r="G446" s="8" t="n">
        <v>0</v>
      </c>
      <c r="H446" s="8" t="n">
        <v>0</v>
      </c>
      <c r="I446" s="8" t="n">
        <v>0</v>
      </c>
      <c r="J446" s="8" t="n">
        <v>0</v>
      </c>
      <c r="K446" s="9" t="n">
        <v>0</v>
      </c>
      <c r="L446" s="9" t="n">
        <v>0</v>
      </c>
      <c r="M446" s="9" t="n">
        <v>0</v>
      </c>
      <c r="N446" s="9" t="n">
        <v>0</v>
      </c>
      <c r="O446" s="10" t="n">
        <v>0</v>
      </c>
      <c r="P446" s="10" t="n">
        <v>0</v>
      </c>
      <c r="Q446" s="10" t="n">
        <v>0</v>
      </c>
      <c r="R446" s="10" t="n">
        <v>0</v>
      </c>
      <c r="S446" s="10" t="n">
        <v>0</v>
      </c>
    </row>
    <row r="447" ht="49" customHeight="1">
      <c r="A447" s="6">
        <f>IFERROR(__xludf.DUMMYFUNCTION("""COMPUTED_VALUE"""),"Transcription and translation of DNA")</f>
        <v/>
      </c>
      <c r="B447" s="6">
        <f>IFERROR(__xludf.DUMMYFUNCTION("""COMPUTED_VALUE"""),"Space")</f>
        <v/>
      </c>
      <c r="C447" s="6">
        <f>IFERROR(__xludf.DUMMYFUNCTION("""COMPUTED_VALUE"""),"Reflection")</f>
        <v/>
      </c>
      <c r="D447" s="7">
        <f>IFERROR(__xludf.DUMMYFUNCTION("""COMPUTED_VALUE"""),"&lt;p&gt;The phase of Reflection is the last phase of the lesson.&lt;/p&gt;")</f>
        <v/>
      </c>
      <c r="E447" s="7">
        <f>IFERROR(__xludf.DUMMYFUNCTION("""COMPUTED_VALUE"""),"No artifact embedded")</f>
        <v/>
      </c>
      <c r="F447" s="7" t="n"/>
      <c r="G447" s="8" t="n">
        <v>0</v>
      </c>
      <c r="H447" s="8" t="n">
        <v>0</v>
      </c>
      <c r="I447" s="8" t="n">
        <v>0</v>
      </c>
      <c r="J447" s="8" t="n">
        <v>0</v>
      </c>
      <c r="K447" s="9" t="n">
        <v>0</v>
      </c>
      <c r="L447" s="9" t="n">
        <v>0</v>
      </c>
      <c r="M447" s="9" t="n">
        <v>0</v>
      </c>
      <c r="N447" s="9" t="n">
        <v>0</v>
      </c>
      <c r="O447" s="10" t="n">
        <v>0</v>
      </c>
      <c r="P447" s="10" t="n">
        <v>0</v>
      </c>
      <c r="Q447" s="10" t="n">
        <v>0</v>
      </c>
      <c r="R447" s="10" t="n">
        <v>0</v>
      </c>
      <c r="S447" s="10" t="n">
        <v>0</v>
      </c>
    </row>
    <row r="448" ht="307" customHeight="1">
      <c r="A448" s="6">
        <f>IFERROR(__xludf.DUMMYFUNCTION("""COMPUTED_VALUE"""),"Transcription and translation of DNA")</f>
        <v/>
      </c>
      <c r="B448" s="6">
        <f>IFERROR(__xludf.DUMMYFUNCTION("""COMPUTED_VALUE"""),"Resource")</f>
        <v/>
      </c>
      <c r="C448" s="6">
        <f>IFERROR(__xludf.DUMMYFUNCTION("""COMPUTED_VALUE"""),"Reflection.graasp")</f>
        <v/>
      </c>
      <c r="D448" s="7">
        <f>IFERROR(__xludf.DUMMYFUNCTION("""COMPUTED_VALUE"""),"&lt;table class=""table table-bordered""&gt;&lt;tbody&gt;&lt;tr&gt;&lt;td&gt;&lt;p&gt;It's time for reflection! Determine whether you agree or disagree with the following statements, according to the following scale:&lt;/p&gt;&lt;p&gt;&lt;br&gt;1. I absolutely disagree.&lt;br&gt;2. I disagree.&lt;br&gt;3. I'm not "&amp;"sure.&lt;br&gt;4. I agree.&lt;br&gt;5. I absolutely agree.&lt;/p&gt;&lt;/td&gt;&lt;/tr&gt;&lt;/tbody&gt;&lt;/table&gt;")</f>
        <v/>
      </c>
      <c r="E448" s="7">
        <f>IFERROR(__xludf.DUMMYFUNCTION("""COMPUTED_VALUE"""),"No artifact embedded")</f>
        <v/>
      </c>
      <c r="F448" s="7" t="n"/>
      <c r="G448" s="8" t="n">
        <v>0</v>
      </c>
      <c r="H448" s="8" t="n">
        <v>0</v>
      </c>
      <c r="I448" s="8" t="n">
        <v>1</v>
      </c>
      <c r="J448" s="8" t="n">
        <v>0</v>
      </c>
      <c r="K448" s="9" t="n">
        <v>0</v>
      </c>
      <c r="L448" s="9" t="n">
        <v>1</v>
      </c>
      <c r="M448" s="9" t="n">
        <v>0</v>
      </c>
      <c r="N448" s="9" t="n">
        <v>0</v>
      </c>
      <c r="O448" s="10" t="n">
        <v>0</v>
      </c>
      <c r="P448" s="10" t="n">
        <v>0</v>
      </c>
      <c r="Q448" s="10" t="n">
        <v>0</v>
      </c>
      <c r="R448" s="10" t="n">
        <v>0</v>
      </c>
      <c r="S448" s="10" t="n">
        <v>0</v>
      </c>
    </row>
    <row r="449" ht="241" customHeight="1">
      <c r="A449" s="6">
        <f>IFERROR(__xludf.DUMMYFUNCTION("""COMPUTED_VALUE"""),"Transcription and translation of DNA")</f>
        <v/>
      </c>
      <c r="B449" s="6">
        <f>IFERROR(__xludf.DUMMYFUNCTION("""COMPUTED_VALUE"""),"Application")</f>
        <v/>
      </c>
      <c r="C449" s="6">
        <f>IFERROR(__xludf.DUMMYFUNCTION("""COMPUTED_VALUE"""),"New questionnaire app")</f>
        <v/>
      </c>
      <c r="D449" s="7">
        <f>IFERROR(__xludf.DUMMYFUNCTION("""COMPUTED_VALUE"""),"&lt;p&gt;Reflection&lt;/p&gt;")</f>
        <v/>
      </c>
      <c r="E44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449" s="7" t="n"/>
      <c r="G449" s="8" t="n">
        <v>0</v>
      </c>
      <c r="H449" s="8" t="n">
        <v>0</v>
      </c>
      <c r="I449" s="8" t="n">
        <v>1</v>
      </c>
      <c r="J449" s="8" t="n">
        <v>0</v>
      </c>
      <c r="K449" s="9" t="n">
        <v>0</v>
      </c>
      <c r="L449" s="9" t="n">
        <v>1</v>
      </c>
      <c r="M449" s="9" t="n">
        <v>0</v>
      </c>
      <c r="N449" s="9" t="n">
        <v>0</v>
      </c>
      <c r="O449" s="10" t="n">
        <v>0</v>
      </c>
      <c r="P449" s="10" t="n">
        <v>0</v>
      </c>
      <c r="Q449" s="10" t="n">
        <v>0</v>
      </c>
      <c r="R449" s="10" t="n">
        <v>0</v>
      </c>
      <c r="S449" s="10" t="n">
        <v>0</v>
      </c>
    </row>
    <row r="450" ht="37" customHeight="1">
      <c r="A450" s="6">
        <f>IFERROR(__xludf.DUMMYFUNCTION("""COMPUTED_VALUE"""),"Scenario: Basic scenario")</f>
        <v/>
      </c>
      <c r="B450" s="6">
        <f>IFERROR(__xludf.DUMMYFUNCTION("""COMPUTED_VALUE"""),"Space")</f>
        <v/>
      </c>
      <c r="C450" s="6">
        <f>IFERROR(__xludf.DUMMYFUNCTION("""COMPUTED_VALUE"""),"Orientation")</f>
        <v/>
      </c>
      <c r="D450" s="7">
        <f>IFERROR(__xludf.DUMMYFUNCTION("""COMPUTED_VALUE"""),"&lt;p&gt;This is the Orientation phase.&lt;/p&gt;")</f>
        <v/>
      </c>
      <c r="E450" s="7">
        <f>IFERROR(__xludf.DUMMYFUNCTION("""COMPUTED_VALUE"""),"No artifact embedded")</f>
        <v/>
      </c>
      <c r="F450" s="7" t="n"/>
      <c r="G450" s="8" t="n">
        <v>0</v>
      </c>
      <c r="H450" s="8" t="n">
        <v>0</v>
      </c>
      <c r="I450" s="8" t="n">
        <v>0</v>
      </c>
      <c r="J450" s="8" t="n">
        <v>0</v>
      </c>
      <c r="K450" s="9" t="n">
        <v>0</v>
      </c>
      <c r="L450" s="9" t="n">
        <v>0</v>
      </c>
      <c r="M450" s="9" t="n">
        <v>0</v>
      </c>
      <c r="N450" s="9" t="n">
        <v>0</v>
      </c>
      <c r="O450" s="10" t="n">
        <v>0</v>
      </c>
      <c r="P450" s="10" t="n">
        <v>0</v>
      </c>
      <c r="Q450" s="10" t="n">
        <v>0</v>
      </c>
      <c r="R450" s="10" t="n">
        <v>0</v>
      </c>
      <c r="S450" s="10" t="n">
        <v>0</v>
      </c>
    </row>
    <row r="451" ht="37" customHeight="1">
      <c r="A451" s="6">
        <f>IFERROR(__xludf.DUMMYFUNCTION("""COMPUTED_VALUE"""),"Scenario: Basic scenario")</f>
        <v/>
      </c>
      <c r="B451" s="6">
        <f>IFERROR(__xludf.DUMMYFUNCTION("""COMPUTED_VALUE"""),"Space")</f>
        <v/>
      </c>
      <c r="C451" s="6">
        <f>IFERROR(__xludf.DUMMYFUNCTION("""COMPUTED_VALUE"""),"Conceptualisation")</f>
        <v/>
      </c>
      <c r="D451" s="7">
        <f>IFERROR(__xludf.DUMMYFUNCTION("""COMPUTED_VALUE"""),"&lt;p&gt;This is the Conceptualisation phase.&lt;/p&gt;")</f>
        <v/>
      </c>
      <c r="E451" s="7">
        <f>IFERROR(__xludf.DUMMYFUNCTION("""COMPUTED_VALUE"""),"No artifact embedded")</f>
        <v/>
      </c>
      <c r="F451" s="7" t="n"/>
      <c r="G451" s="8" t="n">
        <v>0</v>
      </c>
      <c r="H451" s="8" t="n">
        <v>0</v>
      </c>
      <c r="I451" s="8" t="n">
        <v>0</v>
      </c>
      <c r="J451" s="8" t="n">
        <v>0</v>
      </c>
      <c r="K451" s="9" t="n">
        <v>0</v>
      </c>
      <c r="L451" s="9" t="n">
        <v>0</v>
      </c>
      <c r="M451" s="9" t="n">
        <v>0</v>
      </c>
      <c r="N451" s="9" t="n">
        <v>0</v>
      </c>
      <c r="O451" s="10" t="n">
        <v>0</v>
      </c>
      <c r="P451" s="10" t="n">
        <v>0</v>
      </c>
      <c r="Q451" s="10" t="n">
        <v>0</v>
      </c>
      <c r="R451" s="10" t="n">
        <v>0</v>
      </c>
      <c r="S451" s="10" t="n">
        <v>0</v>
      </c>
    </row>
    <row r="452" ht="37" customHeight="1">
      <c r="A452" s="6">
        <f>IFERROR(__xludf.DUMMYFUNCTION("""COMPUTED_VALUE"""),"Scenario: Basic scenario")</f>
        <v/>
      </c>
      <c r="B452" s="6">
        <f>IFERROR(__xludf.DUMMYFUNCTION("""COMPUTED_VALUE"""),"Space")</f>
        <v/>
      </c>
      <c r="C452" s="6">
        <f>IFERROR(__xludf.DUMMYFUNCTION("""COMPUTED_VALUE"""),"Investigation")</f>
        <v/>
      </c>
      <c r="D452" s="7">
        <f>IFERROR(__xludf.DUMMYFUNCTION("""COMPUTED_VALUE"""),"&lt;p&gt;This is the Investigation phase.&lt;/p&gt;")</f>
        <v/>
      </c>
      <c r="E452" s="7">
        <f>IFERROR(__xludf.DUMMYFUNCTION("""COMPUTED_VALUE"""),"No artifact embedded")</f>
        <v/>
      </c>
      <c r="F452" s="7" t="n"/>
      <c r="G452" s="8" t="n">
        <v>0</v>
      </c>
      <c r="H452" s="8" t="n">
        <v>0</v>
      </c>
      <c r="I452" s="8" t="n">
        <v>0</v>
      </c>
      <c r="J452" s="8" t="n">
        <v>0</v>
      </c>
      <c r="K452" s="9" t="n">
        <v>0</v>
      </c>
      <c r="L452" s="9" t="n">
        <v>0</v>
      </c>
      <c r="M452" s="9" t="n">
        <v>0</v>
      </c>
      <c r="N452" s="9" t="n">
        <v>0</v>
      </c>
      <c r="O452" s="10" t="n">
        <v>0</v>
      </c>
      <c r="P452" s="10" t="n">
        <v>0</v>
      </c>
      <c r="Q452" s="10" t="n">
        <v>0</v>
      </c>
      <c r="R452" s="10" t="n">
        <v>0</v>
      </c>
      <c r="S452" s="10" t="n">
        <v>0</v>
      </c>
    </row>
    <row r="453" ht="37" customHeight="1">
      <c r="A453" s="6">
        <f>IFERROR(__xludf.DUMMYFUNCTION("""COMPUTED_VALUE"""),"Scenario: Basic scenario")</f>
        <v/>
      </c>
      <c r="B453" s="6">
        <f>IFERROR(__xludf.DUMMYFUNCTION("""COMPUTED_VALUE"""),"Space")</f>
        <v/>
      </c>
      <c r="C453" s="6">
        <f>IFERROR(__xludf.DUMMYFUNCTION("""COMPUTED_VALUE"""),"Conclusion")</f>
        <v/>
      </c>
      <c r="D453" s="7">
        <f>IFERROR(__xludf.DUMMYFUNCTION("""COMPUTED_VALUE"""),"&lt;p&gt;This is the Conclusion phase.&lt;/p&gt;")</f>
        <v/>
      </c>
      <c r="E453" s="7">
        <f>IFERROR(__xludf.DUMMYFUNCTION("""COMPUTED_VALUE"""),"No artifact embedded")</f>
        <v/>
      </c>
      <c r="F453" s="7" t="n"/>
      <c r="G453" s="8" t="n">
        <v>0</v>
      </c>
      <c r="H453" s="8" t="n">
        <v>0</v>
      </c>
      <c r="I453" s="8" t="n">
        <v>0</v>
      </c>
      <c r="J453" s="8" t="n">
        <v>0</v>
      </c>
      <c r="K453" s="9" t="n">
        <v>0</v>
      </c>
      <c r="L453" s="9" t="n">
        <v>0</v>
      </c>
      <c r="M453" s="9" t="n">
        <v>0</v>
      </c>
      <c r="N453" s="9" t="n">
        <v>0</v>
      </c>
      <c r="O453" s="10" t="n">
        <v>0</v>
      </c>
      <c r="P453" s="10" t="n">
        <v>0</v>
      </c>
      <c r="Q453" s="10" t="n">
        <v>0</v>
      </c>
      <c r="R453" s="10" t="n">
        <v>0</v>
      </c>
      <c r="S453" s="10" t="n">
        <v>0</v>
      </c>
    </row>
    <row r="454" ht="37" customHeight="1">
      <c r="A454" s="6">
        <f>IFERROR(__xludf.DUMMYFUNCTION("""COMPUTED_VALUE"""),"Scenario: Basic scenario")</f>
        <v/>
      </c>
      <c r="B454" s="6">
        <f>IFERROR(__xludf.DUMMYFUNCTION("""COMPUTED_VALUE"""),"Space")</f>
        <v/>
      </c>
      <c r="C454" s="6">
        <f>IFERROR(__xludf.DUMMYFUNCTION("""COMPUTED_VALUE"""),"Discussion")</f>
        <v/>
      </c>
      <c r="D454" s="7">
        <f>IFERROR(__xludf.DUMMYFUNCTION("""COMPUTED_VALUE"""),"&lt;p&gt;This is the Discussion phase.&lt;/p&gt;")</f>
        <v/>
      </c>
      <c r="E454" s="7">
        <f>IFERROR(__xludf.DUMMYFUNCTION("""COMPUTED_VALUE"""),"No artifact embedded")</f>
        <v/>
      </c>
      <c r="F454" s="7" t="n"/>
      <c r="G454" s="8" t="n">
        <v>0</v>
      </c>
      <c r="H454" s="8" t="n">
        <v>0</v>
      </c>
      <c r="I454" s="8" t="n">
        <v>0</v>
      </c>
      <c r="J454" s="8" t="n">
        <v>0</v>
      </c>
      <c r="K454" s="9" t="n">
        <v>0</v>
      </c>
      <c r="L454" s="9" t="n">
        <v>0</v>
      </c>
      <c r="M454" s="9" t="n">
        <v>0</v>
      </c>
      <c r="N454" s="9" t="n">
        <v>0</v>
      </c>
      <c r="O454" s="10" t="n">
        <v>0</v>
      </c>
      <c r="P454" s="10" t="n">
        <v>0</v>
      </c>
      <c r="Q454" s="10" t="n">
        <v>0</v>
      </c>
      <c r="R454" s="10" t="n">
        <v>0</v>
      </c>
      <c r="S454" s="10" t="n">
        <v>0</v>
      </c>
    </row>
    <row r="455" ht="37" customHeight="1">
      <c r="A455" s="6">
        <f>IFERROR(__xludf.DUMMYFUNCTION("""COMPUTED_VALUE"""),"double quotes")</f>
        <v/>
      </c>
      <c r="B455" s="6">
        <f>IFERROR(__xludf.DUMMYFUNCTION("""COMPUTED_VALUE"""),"Space")</f>
        <v/>
      </c>
      <c r="C455" s="6">
        <f>IFERROR(__xludf.DUMMYFUNCTION("""COMPUTED_VALUE"""),"Orientation")</f>
        <v/>
      </c>
      <c r="D455" s="7">
        <f>IFERROR(__xludf.DUMMYFUNCTION("""COMPUTED_VALUE"""),"&lt;p&gt;This is the Orientation phase.&lt;/p&gt;")</f>
        <v/>
      </c>
      <c r="E455" s="7">
        <f>IFERROR(__xludf.DUMMYFUNCTION("""COMPUTED_VALUE"""),"No artifact embedded")</f>
        <v/>
      </c>
      <c r="F455" s="7" t="n"/>
      <c r="G455" s="8" t="n">
        <v>0</v>
      </c>
      <c r="H455" s="8" t="n">
        <v>0</v>
      </c>
      <c r="I455" s="8" t="n">
        <v>0</v>
      </c>
      <c r="J455" s="8" t="n">
        <v>0</v>
      </c>
      <c r="K455" s="9" t="n">
        <v>0</v>
      </c>
      <c r="L455" s="9" t="n">
        <v>0</v>
      </c>
      <c r="M455" s="9" t="n">
        <v>0</v>
      </c>
      <c r="N455" s="9" t="n">
        <v>0</v>
      </c>
      <c r="O455" s="10" t="n">
        <v>0</v>
      </c>
      <c r="P455" s="10" t="n">
        <v>0</v>
      </c>
      <c r="Q455" s="10" t="n">
        <v>0</v>
      </c>
      <c r="R455" s="10" t="n">
        <v>0</v>
      </c>
      <c r="S455" s="10" t="n">
        <v>0</v>
      </c>
    </row>
    <row r="456" ht="49" customHeight="1">
      <c r="A456" s="6">
        <f>IFERROR(__xludf.DUMMYFUNCTION("""COMPUTED_VALUE"""),"double quotes")</f>
        <v/>
      </c>
      <c r="B456" s="6">
        <f>IFERROR(__xludf.DUMMYFUNCTION("""COMPUTED_VALUE"""),"Application")</f>
        <v/>
      </c>
      <c r="C456" s="6">
        <f>IFERROR(__xludf.DUMMYFUNCTION("""COMPUTED_VALUE"""),"res editor")</f>
        <v/>
      </c>
      <c r="D456" s="7">
        <f>IFERROR(__xludf.DUMMYFUNCTION("""COMPUTED_VALUE"""),"No task description")</f>
        <v/>
      </c>
      <c r="E456" s="7">
        <f>IFERROR(__xludf.DUMMYFUNCTION("""COMPUTED_VALUE"""),"Golabz app/lab: No description available for this application")</f>
        <v/>
      </c>
      <c r="F456" s="7" t="n"/>
      <c r="G456" s="8" t="n">
        <v>0</v>
      </c>
      <c r="H456" s="8" t="n">
        <v>0</v>
      </c>
      <c r="I456" s="8" t="n">
        <v>0</v>
      </c>
      <c r="J456" s="8" t="n">
        <v>0</v>
      </c>
      <c r="K456" s="9" t="n">
        <v>0</v>
      </c>
      <c r="L456" s="9" t="n">
        <v>0</v>
      </c>
      <c r="M456" s="9" t="n">
        <v>0</v>
      </c>
      <c r="N456" s="9" t="n">
        <v>0</v>
      </c>
      <c r="O456" s="10" t="n">
        <v>0</v>
      </c>
      <c r="P456" s="10" t="n">
        <v>0</v>
      </c>
      <c r="Q456" s="10" t="n">
        <v>0</v>
      </c>
      <c r="R456" s="10" t="n">
        <v>0</v>
      </c>
      <c r="S456" s="10" t="n">
        <v>0</v>
      </c>
    </row>
    <row r="457" ht="37" customHeight="1">
      <c r="A457" s="6">
        <f>IFERROR(__xludf.DUMMYFUNCTION("""COMPUTED_VALUE"""),"double quotes")</f>
        <v/>
      </c>
      <c r="B457" s="6">
        <f>IFERROR(__xludf.DUMMYFUNCTION("""COMPUTED_VALUE"""),"Space")</f>
        <v/>
      </c>
      <c r="C457" s="6">
        <f>IFERROR(__xludf.DUMMYFUNCTION("""COMPUTED_VALUE"""),"Conceptualisation")</f>
        <v/>
      </c>
      <c r="D457" s="7">
        <f>IFERROR(__xludf.DUMMYFUNCTION("""COMPUTED_VALUE"""),"&lt;p&gt;This is the Conceptualisation phase.&lt;/p&gt;")</f>
        <v/>
      </c>
      <c r="E457" s="7">
        <f>IFERROR(__xludf.DUMMYFUNCTION("""COMPUTED_VALUE"""),"No artifact embedded")</f>
        <v/>
      </c>
      <c r="F457" s="7" t="n"/>
      <c r="G457" s="8" t="n">
        <v>0</v>
      </c>
      <c r="H457" s="8" t="n">
        <v>0</v>
      </c>
      <c r="I457" s="8" t="n">
        <v>0</v>
      </c>
      <c r="J457" s="8" t="n">
        <v>0</v>
      </c>
      <c r="K457" s="9" t="n">
        <v>0</v>
      </c>
      <c r="L457" s="9" t="n">
        <v>0</v>
      </c>
      <c r="M457" s="9" t="n">
        <v>0</v>
      </c>
      <c r="N457" s="9" t="n">
        <v>0</v>
      </c>
      <c r="O457" s="10" t="n">
        <v>0</v>
      </c>
      <c r="P457" s="10" t="n">
        <v>0</v>
      </c>
      <c r="Q457" s="10" t="n">
        <v>0</v>
      </c>
      <c r="R457" s="10" t="n">
        <v>0</v>
      </c>
      <c r="S457" s="10" t="n">
        <v>0</v>
      </c>
    </row>
    <row r="458" ht="409.5" customHeight="1">
      <c r="A458" s="6">
        <f>IFERROR(__xludf.DUMMYFUNCTION("""COMPUTED_VALUE"""),"double quotes")</f>
        <v/>
      </c>
      <c r="B458" s="6">
        <f>IFERROR(__xludf.DUMMYFUNCTION("""COMPUTED_VALUE"""),"Application")</f>
        <v/>
      </c>
      <c r="C458" s="6">
        <f>IFERROR(__xludf.DUMMYFUNCTION("""COMPUTED_VALUE"""),"report")</f>
        <v/>
      </c>
      <c r="D458" s="7">
        <f>IFERROR(__xludf.DUMMYFUNCTION("""COMPUTED_VALUE"""),"No task description")</f>
        <v/>
      </c>
      <c r="E458"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458" s="7" t="n"/>
      <c r="G458" s="8" t="n">
        <v>0</v>
      </c>
      <c r="H458" s="8" t="n">
        <v>0</v>
      </c>
      <c r="I458" s="8" t="n">
        <v>0</v>
      </c>
      <c r="J458" s="8" t="n">
        <v>0</v>
      </c>
      <c r="K458" s="9" t="n">
        <v>0</v>
      </c>
      <c r="L458" s="9" t="n">
        <v>0</v>
      </c>
      <c r="M458" s="9" t="n">
        <v>0</v>
      </c>
      <c r="N458" s="9" t="n">
        <v>0</v>
      </c>
      <c r="O458" s="10" t="n">
        <v>0</v>
      </c>
      <c r="P458" s="10" t="n">
        <v>0</v>
      </c>
      <c r="Q458" s="10" t="n">
        <v>0</v>
      </c>
      <c r="R458" s="10" t="n">
        <v>0</v>
      </c>
      <c r="S458" s="10" t="n">
        <v>0</v>
      </c>
    </row>
    <row r="459" ht="37" customHeight="1">
      <c r="A459" s="6">
        <f>IFERROR(__xludf.DUMMYFUNCTION("""COMPUTED_VALUE"""),"double quotes")</f>
        <v/>
      </c>
      <c r="B459" s="6">
        <f>IFERROR(__xludf.DUMMYFUNCTION("""COMPUTED_VALUE"""),"Space")</f>
        <v/>
      </c>
      <c r="C459" s="6">
        <f>IFERROR(__xludf.DUMMYFUNCTION("""COMPUTED_VALUE"""),"Investigation")</f>
        <v/>
      </c>
      <c r="D459" s="7">
        <f>IFERROR(__xludf.DUMMYFUNCTION("""COMPUTED_VALUE"""),"&lt;p&gt;This is the Investigation phase.&lt;/p&gt;")</f>
        <v/>
      </c>
      <c r="E459" s="7">
        <f>IFERROR(__xludf.DUMMYFUNCTION("""COMPUTED_VALUE"""),"No artifact embedded")</f>
        <v/>
      </c>
      <c r="F459" s="7" t="n"/>
      <c r="G459" s="8" t="n">
        <v>0</v>
      </c>
      <c r="H459" s="8" t="n">
        <v>0</v>
      </c>
      <c r="I459" s="8" t="n">
        <v>0</v>
      </c>
      <c r="J459" s="8" t="n">
        <v>0</v>
      </c>
      <c r="K459" s="9" t="n">
        <v>0</v>
      </c>
      <c r="L459" s="9" t="n">
        <v>0</v>
      </c>
      <c r="M459" s="9" t="n">
        <v>0</v>
      </c>
      <c r="N459" s="9" t="n">
        <v>0</v>
      </c>
      <c r="O459" s="10" t="n">
        <v>0</v>
      </c>
      <c r="P459" s="10" t="n">
        <v>0</v>
      </c>
      <c r="Q459" s="10" t="n">
        <v>0</v>
      </c>
      <c r="R459" s="10" t="n">
        <v>0</v>
      </c>
      <c r="S459" s="10" t="n">
        <v>0</v>
      </c>
    </row>
    <row r="460" ht="37" customHeight="1">
      <c r="A460" s="6">
        <f>IFERROR(__xludf.DUMMYFUNCTION("""COMPUTED_VALUE"""),"double quotes")</f>
        <v/>
      </c>
      <c r="B460" s="6">
        <f>IFERROR(__xludf.DUMMYFUNCTION("""COMPUTED_VALUE"""),"Space")</f>
        <v/>
      </c>
      <c r="C460" s="6">
        <f>IFERROR(__xludf.DUMMYFUNCTION("""COMPUTED_VALUE"""),"Conclusion")</f>
        <v/>
      </c>
      <c r="D460" s="7">
        <f>IFERROR(__xludf.DUMMYFUNCTION("""COMPUTED_VALUE"""),"&lt;p&gt;This is the Conclusion phase.&lt;/p&gt;")</f>
        <v/>
      </c>
      <c r="E460" s="7">
        <f>IFERROR(__xludf.DUMMYFUNCTION("""COMPUTED_VALUE"""),"No artifact embedded")</f>
        <v/>
      </c>
      <c r="F460" s="7" t="n"/>
      <c r="G460" s="8" t="n">
        <v>0</v>
      </c>
      <c r="H460" s="8" t="n">
        <v>0</v>
      </c>
      <c r="I460" s="8" t="n">
        <v>0</v>
      </c>
      <c r="J460" s="8" t="n">
        <v>0</v>
      </c>
      <c r="K460" s="9" t="n">
        <v>0</v>
      </c>
      <c r="L460" s="9" t="n">
        <v>0</v>
      </c>
      <c r="M460" s="9" t="n">
        <v>0</v>
      </c>
      <c r="N460" s="9" t="n">
        <v>0</v>
      </c>
      <c r="O460" s="10" t="n">
        <v>0</v>
      </c>
      <c r="P460" s="10" t="n">
        <v>0</v>
      </c>
      <c r="Q460" s="10" t="n">
        <v>0</v>
      </c>
      <c r="R460" s="10" t="n">
        <v>0</v>
      </c>
      <c r="S460" s="10" t="n">
        <v>0</v>
      </c>
    </row>
    <row r="461" ht="37" customHeight="1">
      <c r="A461" s="6">
        <f>IFERROR(__xludf.DUMMYFUNCTION("""COMPUTED_VALUE"""),"˝ Otkrivanje ˝ Arhimedovog zakona (1)")</f>
        <v/>
      </c>
      <c r="B461" s="6">
        <f>IFERROR(__xludf.DUMMYFUNCTION("""COMPUTED_VALUE"""),"Space")</f>
        <v/>
      </c>
      <c r="C461" s="6">
        <f>IFERROR(__xludf.DUMMYFUNCTION("""COMPUTED_VALUE"""),"Orientation")</f>
        <v/>
      </c>
      <c r="D461" s="7">
        <f>IFERROR(__xludf.DUMMYFUNCTION("""COMPUTED_VALUE"""),"&lt;p&gt;This is the Orientation phase.&lt;/p&gt;")</f>
        <v/>
      </c>
      <c r="E461" s="7">
        <f>IFERROR(__xludf.DUMMYFUNCTION("""COMPUTED_VALUE"""),"No artifact embedded")</f>
        <v/>
      </c>
      <c r="F461" s="7" t="n"/>
      <c r="G461" s="8" t="n">
        <v>0</v>
      </c>
      <c r="H461" s="8" t="n">
        <v>0</v>
      </c>
      <c r="I461" s="8" t="n">
        <v>0</v>
      </c>
      <c r="J461" s="8" t="n">
        <v>0</v>
      </c>
      <c r="K461" s="9" t="n">
        <v>0</v>
      </c>
      <c r="L461" s="9" t="n">
        <v>0</v>
      </c>
      <c r="M461" s="9" t="n">
        <v>0</v>
      </c>
      <c r="N461" s="9" t="n">
        <v>0</v>
      </c>
      <c r="O461" s="10" t="n">
        <v>0</v>
      </c>
      <c r="P461" s="10" t="n">
        <v>0</v>
      </c>
      <c r="Q461" s="10" t="n">
        <v>0</v>
      </c>
      <c r="R461" s="10" t="n">
        <v>0</v>
      </c>
      <c r="S461" s="10" t="n">
        <v>0</v>
      </c>
    </row>
    <row r="462" ht="285" customHeight="1">
      <c r="A462" s="6">
        <f>IFERROR(__xludf.DUMMYFUNCTION("""COMPUTED_VALUE"""),"˝ Otkrivanje ˝ Arhimedovog zakona (1)")</f>
        <v/>
      </c>
      <c r="B462" s="6">
        <f>IFERROR(__xludf.DUMMYFUNCTION("""COMPUTED_VALUE"""),"Resource")</f>
        <v/>
      </c>
      <c r="C462" s="6">
        <f>IFERROR(__xludf.DUMMYFUNCTION("""COMPUTED_VALUE"""),"The Golden Crown (Introduction)")</f>
        <v/>
      </c>
      <c r="D462" s="7">
        <f>IFERROR(__xludf.DUMMYFUNCTION("""COMPUTED_VALUE"""),"In the first century BC the Roman architect Vitruvius related a story of how Archimedes uncovered a fraud in the manufacture of a golden crown commissioned by Hiero II, the king of Syracuse. The crown ( corona in Vitruvius's Latin) would have been in the "&amp;"form of a wreath, such as one of the three pictured from grave sites in Macedonia and the Dardanelles.")</f>
        <v/>
      </c>
      <c r="E462" s="7">
        <f>IFERROR(__xludf.DUMMYFUNCTION("""COMPUTED_VALUE"""),"Artifact from math.nyu.edu: New York University's mathematics department site, offering resources like explorations of Archimedes' principles.")</f>
        <v/>
      </c>
      <c r="F462" s="7" t="n"/>
      <c r="G462" s="8" t="n">
        <v>1</v>
      </c>
      <c r="H462" s="8" t="n">
        <v>0</v>
      </c>
      <c r="I462" s="8" t="n">
        <v>0</v>
      </c>
      <c r="J462" s="8" t="n">
        <v>0</v>
      </c>
      <c r="K462" s="9" t="n">
        <v>1</v>
      </c>
      <c r="L462" s="9" t="n">
        <v>0</v>
      </c>
      <c r="M462" s="9" t="n">
        <v>0</v>
      </c>
      <c r="N462" s="9" t="n">
        <v>0</v>
      </c>
      <c r="O462" s="10" t="n">
        <v>1</v>
      </c>
      <c r="P462" s="10" t="n">
        <v>0</v>
      </c>
      <c r="Q462" s="10" t="n">
        <v>0</v>
      </c>
      <c r="R462" s="10" t="n">
        <v>0</v>
      </c>
      <c r="S462" s="10" t="n">
        <v>0</v>
      </c>
    </row>
    <row r="463" ht="37" customHeight="1">
      <c r="A463" s="6">
        <f>IFERROR(__xludf.DUMMYFUNCTION("""COMPUTED_VALUE"""),"˝ Otkrivanje ˝ Arhimedovog zakona (1)")</f>
        <v/>
      </c>
      <c r="B463" s="6">
        <f>IFERROR(__xludf.DUMMYFUNCTION("""COMPUTED_VALUE"""),"Space")</f>
        <v/>
      </c>
      <c r="C463" s="6">
        <f>IFERROR(__xludf.DUMMYFUNCTION("""COMPUTED_VALUE"""),"Conceptualisation")</f>
        <v/>
      </c>
      <c r="D463" s="7">
        <f>IFERROR(__xludf.DUMMYFUNCTION("""COMPUTED_VALUE"""),"&lt;p&gt;This is the Conceptualisation phase.&lt;/p&gt;")</f>
        <v/>
      </c>
      <c r="E463" s="7">
        <f>IFERROR(__xludf.DUMMYFUNCTION("""COMPUTED_VALUE"""),"No artifact embedded")</f>
        <v/>
      </c>
      <c r="F463" s="7" t="n"/>
      <c r="G463" s="8" t="n">
        <v>0</v>
      </c>
      <c r="H463" s="8" t="n">
        <v>0</v>
      </c>
      <c r="I463" s="8" t="n">
        <v>0</v>
      </c>
      <c r="J463" s="8" t="n">
        <v>0</v>
      </c>
      <c r="K463" s="9" t="n">
        <v>0</v>
      </c>
      <c r="L463" s="9" t="n">
        <v>0</v>
      </c>
      <c r="M463" s="9" t="n">
        <v>0</v>
      </c>
      <c r="N463" s="9" t="n">
        <v>0</v>
      </c>
      <c r="O463" s="10" t="n">
        <v>0</v>
      </c>
      <c r="P463" s="10" t="n">
        <v>0</v>
      </c>
      <c r="Q463" s="10" t="n">
        <v>0</v>
      </c>
      <c r="R463" s="10" t="n">
        <v>0</v>
      </c>
      <c r="S463" s="10" t="n">
        <v>0</v>
      </c>
    </row>
    <row r="464" ht="97" customHeight="1">
      <c r="A464" s="6">
        <f>IFERROR(__xludf.DUMMYFUNCTION("""COMPUTED_VALUE"""),"˝ Otkrivanje ˝ Arhimedovog zakona (1)")</f>
        <v/>
      </c>
      <c r="B464" s="6">
        <f>IFERROR(__xludf.DUMMYFUNCTION("""COMPUTED_VALUE"""),"Resource")</f>
        <v/>
      </c>
      <c r="C464" s="6">
        <f>IFERROR(__xludf.DUMMYFUNCTION("""COMPUTED_VALUE"""),"dissplacemet[1].gif")</f>
        <v/>
      </c>
      <c r="D464" s="7">
        <f>IFERROR(__xludf.DUMMYFUNCTION("""COMPUTED_VALUE"""),"No task description")</f>
        <v/>
      </c>
      <c r="E464" s="7">
        <f>IFERROR(__xludf.DUMMYFUNCTION("""COMPUTED_VALUE"""),"image/gif – An animated or static graphic using the GIF format, often seen in memes and web animations.")</f>
        <v/>
      </c>
      <c r="F464" s="7" t="n"/>
      <c r="G464" s="8" t="n">
        <v>0</v>
      </c>
      <c r="H464" s="8" t="n">
        <v>0</v>
      </c>
      <c r="I464" s="8" t="n">
        <v>0</v>
      </c>
      <c r="J464" s="8" t="n">
        <v>0</v>
      </c>
      <c r="K464" s="9" t="n">
        <v>0</v>
      </c>
      <c r="L464" s="9" t="n">
        <v>0</v>
      </c>
      <c r="M464" s="9" t="n">
        <v>0</v>
      </c>
      <c r="N464" s="9" t="n">
        <v>0</v>
      </c>
      <c r="O464" s="10" t="n">
        <v>0</v>
      </c>
      <c r="P464" s="10" t="n">
        <v>0</v>
      </c>
      <c r="Q464" s="10" t="n">
        <v>0</v>
      </c>
      <c r="R464" s="10" t="n">
        <v>0</v>
      </c>
      <c r="S464" s="10" t="n">
        <v>0</v>
      </c>
    </row>
    <row r="465" ht="409.5" customHeight="1">
      <c r="A465" s="6">
        <f>IFERROR(__xludf.DUMMYFUNCTION("""COMPUTED_VALUE"""),"˝ Otkrivanje ˝ Arhimedovog zakona (1)")</f>
        <v/>
      </c>
      <c r="B465" s="6">
        <f>IFERROR(__xludf.DUMMYFUNCTION("""COMPUTED_VALUE"""),"Application")</f>
        <v/>
      </c>
      <c r="C465" s="6">
        <f>IFERROR(__xludf.DUMMYFUNCTION("""COMPUTED_VALUE"""),"Experiment Design Tool")</f>
        <v/>
      </c>
      <c r="D465" s="7">
        <f>IFERROR(__xludf.DUMMYFUNCTION("""COMPUTED_VALUE"""),"No task description")</f>
        <v/>
      </c>
      <c r="E465"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5" s="7" t="n"/>
      <c r="G465" s="8" t="n">
        <v>0</v>
      </c>
      <c r="H465" s="8" t="n">
        <v>0</v>
      </c>
      <c r="I465" s="8" t="n">
        <v>0</v>
      </c>
      <c r="J465" s="8" t="n">
        <v>0</v>
      </c>
      <c r="K465" s="9" t="n">
        <v>0</v>
      </c>
      <c r="L465" s="9" t="n">
        <v>0</v>
      </c>
      <c r="M465" s="9" t="n">
        <v>0</v>
      </c>
      <c r="N465" s="9" t="n">
        <v>0</v>
      </c>
      <c r="O465" s="10" t="n">
        <v>0</v>
      </c>
      <c r="P465" s="10" t="n">
        <v>0</v>
      </c>
      <c r="Q465" s="10" t="n">
        <v>0</v>
      </c>
      <c r="R465" s="10" t="n">
        <v>0</v>
      </c>
      <c r="S465" s="10" t="n">
        <v>0</v>
      </c>
    </row>
    <row r="466" ht="37" customHeight="1">
      <c r="A466" s="6">
        <f>IFERROR(__xludf.DUMMYFUNCTION("""COMPUTED_VALUE"""),"˝ Otkrivanje ˝ Arhimedovog zakona (1)")</f>
        <v/>
      </c>
      <c r="B466" s="6">
        <f>IFERROR(__xludf.DUMMYFUNCTION("""COMPUTED_VALUE"""),"Space")</f>
        <v/>
      </c>
      <c r="C466" s="6">
        <f>IFERROR(__xludf.DUMMYFUNCTION("""COMPUTED_VALUE"""),"Investigation")</f>
        <v/>
      </c>
      <c r="D466" s="7">
        <f>IFERROR(__xludf.DUMMYFUNCTION("""COMPUTED_VALUE"""),"&lt;p&gt;This is the Investigation phase.&lt;/p&gt;")</f>
        <v/>
      </c>
      <c r="E466" s="7">
        <f>IFERROR(__xludf.DUMMYFUNCTION("""COMPUTED_VALUE"""),"No artifact embedded")</f>
        <v/>
      </c>
      <c r="F466" s="7" t="n"/>
      <c r="G466" s="8" t="n">
        <v>0</v>
      </c>
      <c r="H466" s="8" t="n">
        <v>0</v>
      </c>
      <c r="I466" s="8" t="n">
        <v>0</v>
      </c>
      <c r="J466" s="8" t="n">
        <v>0</v>
      </c>
      <c r="K466" s="9" t="n">
        <v>0</v>
      </c>
      <c r="L466" s="9" t="n">
        <v>0</v>
      </c>
      <c r="M466" s="9" t="n">
        <v>0</v>
      </c>
      <c r="N466" s="9" t="n">
        <v>0</v>
      </c>
      <c r="O466" s="10" t="n">
        <v>0</v>
      </c>
      <c r="P466" s="10" t="n">
        <v>0</v>
      </c>
      <c r="Q466" s="10" t="n">
        <v>0</v>
      </c>
      <c r="R466" s="10" t="n">
        <v>0</v>
      </c>
      <c r="S466" s="10" t="n">
        <v>0</v>
      </c>
    </row>
    <row r="467" ht="373" customHeight="1">
      <c r="A467" s="6">
        <f>IFERROR(__xludf.DUMMYFUNCTION("""COMPUTED_VALUE"""),"˝ Otkrivanje ˝ Arhimedovog zakona (1)")</f>
        <v/>
      </c>
      <c r="B467" s="6">
        <f>IFERROR(__xludf.DUMMYFUNCTION("""COMPUTED_VALUE"""),"Application")</f>
        <v/>
      </c>
      <c r="C467" s="6">
        <f>IFERROR(__xludf.DUMMYFUNCTION("""COMPUTED_VALUE"""),"Splash app")</f>
        <v/>
      </c>
      <c r="D467" s="7">
        <f>IFERROR(__xludf.DUMMYFUNCTION("""COMPUTED_VALUE"""),"No task description")</f>
        <v/>
      </c>
      <c r="E467" s="7">
        <f>IFERROR(__xludf.DUMMYFUNCTION("""COMPUTED_VALUE"""),"Golabz app/lab: ""&lt;p&gt;In Splash students can create objects from object properties like mass, volume, and density, and drop these objects in a tube filled with a fluid. In some phases students can choose the density of the fluid themselves, allowing them t"&amp;"o discover the interaction between object properties and fluid density. &amp;nbsp;In other phases students can measure the amount of fluid displaced by the object and discover about Archimedes’ Principle.&lt;/p&gt;\r\n""")</f>
        <v/>
      </c>
      <c r="F467" s="7" t="n"/>
      <c r="G467" s="8" t="n">
        <v>0</v>
      </c>
      <c r="H467" s="8" t="n">
        <v>0</v>
      </c>
      <c r="I467" s="8" t="n">
        <v>0</v>
      </c>
      <c r="J467" s="8" t="n">
        <v>0</v>
      </c>
      <c r="K467" s="9" t="n">
        <v>0</v>
      </c>
      <c r="L467" s="9" t="n">
        <v>0</v>
      </c>
      <c r="M467" s="9" t="n">
        <v>0</v>
      </c>
      <c r="N467" s="9" t="n">
        <v>0</v>
      </c>
      <c r="O467" s="10" t="n">
        <v>0</v>
      </c>
      <c r="P467" s="10" t="n">
        <v>0</v>
      </c>
      <c r="Q467" s="10" t="n">
        <v>0</v>
      </c>
      <c r="R467" s="10" t="n">
        <v>0</v>
      </c>
      <c r="S467" s="10" t="n">
        <v>0</v>
      </c>
    </row>
    <row r="468" ht="409.5" customHeight="1">
      <c r="A468" s="6">
        <f>IFERROR(__xludf.DUMMYFUNCTION("""COMPUTED_VALUE"""),"˝ Otkrivanje ˝ Arhimedovog zakona (1)")</f>
        <v/>
      </c>
      <c r="B468" s="6">
        <f>IFERROR(__xludf.DUMMYFUNCTION("""COMPUTED_VALUE"""),"Application")</f>
        <v/>
      </c>
      <c r="C468" s="6">
        <f>IFERROR(__xludf.DUMMYFUNCTION("""COMPUTED_VALUE"""),"Table tool")</f>
        <v/>
      </c>
      <c r="D468" s="7">
        <f>IFERROR(__xludf.DUMMYFUNCTION("""COMPUTED_VALUE"""),"No task description")</f>
        <v/>
      </c>
      <c r="E46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68" s="7" t="n"/>
      <c r="G468" s="8" t="n">
        <v>0</v>
      </c>
      <c r="H468" s="8" t="n">
        <v>0</v>
      </c>
      <c r="I468" s="8" t="n">
        <v>0</v>
      </c>
      <c r="J468" s="8" t="n">
        <v>0</v>
      </c>
      <c r="K468" s="9" t="n">
        <v>0</v>
      </c>
      <c r="L468" s="9" t="n">
        <v>0</v>
      </c>
      <c r="M468" s="9" t="n">
        <v>0</v>
      </c>
      <c r="N468" s="9" t="n">
        <v>0</v>
      </c>
      <c r="O468" s="10" t="n">
        <v>0</v>
      </c>
      <c r="P468" s="10" t="n">
        <v>0</v>
      </c>
      <c r="Q468" s="10" t="n">
        <v>0</v>
      </c>
      <c r="R468" s="10" t="n">
        <v>0</v>
      </c>
      <c r="S468" s="10" t="n">
        <v>0</v>
      </c>
    </row>
    <row r="469" ht="409.5" customHeight="1">
      <c r="A469" s="6">
        <f>IFERROR(__xludf.DUMMYFUNCTION("""COMPUTED_VALUE"""),"˝ Otkrivanje ˝ Arhimedovog zakona (1)")</f>
        <v/>
      </c>
      <c r="B469" s="6">
        <f>IFERROR(__xludf.DUMMYFUNCTION("""COMPUTED_VALUE"""),"Application")</f>
        <v/>
      </c>
      <c r="C469" s="6">
        <f>IFERROR(__xludf.DUMMYFUNCTION("""COMPUTED_VALUE"""),"Experiment Design Tool")</f>
        <v/>
      </c>
      <c r="D469" s="7">
        <f>IFERROR(__xludf.DUMMYFUNCTION("""COMPUTED_VALUE"""),"No task description")</f>
        <v/>
      </c>
      <c r="E46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9" s="7" t="n"/>
      <c r="G469" s="8" t="n">
        <v>0</v>
      </c>
      <c r="H469" s="8" t="n">
        <v>0</v>
      </c>
      <c r="I469" s="8" t="n">
        <v>0</v>
      </c>
      <c r="J469" s="8" t="n">
        <v>0</v>
      </c>
      <c r="K469" s="9" t="n">
        <v>0</v>
      </c>
      <c r="L469" s="9" t="n">
        <v>0</v>
      </c>
      <c r="M469" s="9" t="n">
        <v>0</v>
      </c>
      <c r="N469" s="9" t="n">
        <v>0</v>
      </c>
      <c r="O469" s="10" t="n">
        <v>0</v>
      </c>
      <c r="P469" s="10" t="n">
        <v>0</v>
      </c>
      <c r="Q469" s="10" t="n">
        <v>0</v>
      </c>
      <c r="R469" s="10" t="n">
        <v>0</v>
      </c>
      <c r="S469" s="10" t="n">
        <v>0</v>
      </c>
    </row>
    <row r="470" ht="49" customHeight="1">
      <c r="A470" s="6">
        <f>IFERROR(__xludf.DUMMYFUNCTION("""COMPUTED_VALUE"""),"˝ Otkrivanje ˝ Arhimedovog zakona (1)")</f>
        <v/>
      </c>
      <c r="B470" s="6">
        <f>IFERROR(__xludf.DUMMYFUNCTION("""COMPUTED_VALUE"""),"Application")</f>
        <v/>
      </c>
      <c r="C470" s="6">
        <f>IFERROR(__xludf.DUMMYFUNCTION("""COMPUTED_VALUE"""),"Laboratory")</f>
        <v/>
      </c>
      <c r="D470" s="7">
        <f>IFERROR(__xludf.DUMMYFUNCTION("""COMPUTED_VALUE"""),"No task description")</f>
        <v/>
      </c>
      <c r="E470" s="7">
        <f>IFERROR(__xludf.DUMMYFUNCTION("""COMPUTED_VALUE"""),"Golabz app/lab: No description available for this online lab")</f>
        <v/>
      </c>
      <c r="F470" s="7" t="n"/>
      <c r="G470" s="8" t="n">
        <v>0</v>
      </c>
      <c r="H470" s="8" t="n">
        <v>0</v>
      </c>
      <c r="I470" s="8" t="n">
        <v>0</v>
      </c>
      <c r="J470" s="8" t="n">
        <v>0</v>
      </c>
      <c r="K470" s="9" t="n">
        <v>0</v>
      </c>
      <c r="L470" s="9" t="n">
        <v>0</v>
      </c>
      <c r="M470" s="9" t="n">
        <v>0</v>
      </c>
      <c r="N470" s="9" t="n">
        <v>0</v>
      </c>
      <c r="O470" s="10" t="n">
        <v>0</v>
      </c>
      <c r="P470" s="10" t="n">
        <v>0</v>
      </c>
      <c r="Q470" s="10" t="n">
        <v>0</v>
      </c>
      <c r="R470" s="10" t="n">
        <v>0</v>
      </c>
      <c r="S470" s="10" t="n">
        <v>0</v>
      </c>
    </row>
    <row r="471" ht="37" customHeight="1">
      <c r="A471" s="6">
        <f>IFERROR(__xludf.DUMMYFUNCTION("""COMPUTED_VALUE"""),"˝ Otkrivanje ˝ Arhimedovog zakona (1)")</f>
        <v/>
      </c>
      <c r="B471" s="6">
        <f>IFERROR(__xludf.DUMMYFUNCTION("""COMPUTED_VALUE"""),"Space")</f>
        <v/>
      </c>
      <c r="C471" s="6">
        <f>IFERROR(__xludf.DUMMYFUNCTION("""COMPUTED_VALUE"""),"Conclusion")</f>
        <v/>
      </c>
      <c r="D471" s="7">
        <f>IFERROR(__xludf.DUMMYFUNCTION("""COMPUTED_VALUE"""),"&lt;p&gt;This is the Conclusion phase.&lt;/p&gt;")</f>
        <v/>
      </c>
      <c r="E471" s="7">
        <f>IFERROR(__xludf.DUMMYFUNCTION("""COMPUTED_VALUE"""),"No artifact embedded")</f>
        <v/>
      </c>
      <c r="F471" s="7" t="n"/>
      <c r="G471" s="8" t="n">
        <v>0</v>
      </c>
      <c r="H471" s="8" t="n">
        <v>0</v>
      </c>
      <c r="I471" s="8" t="n">
        <v>0</v>
      </c>
      <c r="J471" s="8" t="n">
        <v>0</v>
      </c>
      <c r="K471" s="9" t="n">
        <v>0</v>
      </c>
      <c r="L471" s="9" t="n">
        <v>0</v>
      </c>
      <c r="M471" s="9" t="n">
        <v>0</v>
      </c>
      <c r="N471" s="9" t="n">
        <v>0</v>
      </c>
      <c r="O471" s="10" t="n">
        <v>0</v>
      </c>
      <c r="P471" s="10" t="n">
        <v>0</v>
      </c>
      <c r="Q471" s="10" t="n">
        <v>0</v>
      </c>
      <c r="R471" s="10" t="n">
        <v>0</v>
      </c>
      <c r="S471" s="10" t="n">
        <v>0</v>
      </c>
    </row>
    <row r="472" ht="37" customHeight="1">
      <c r="A472" s="6">
        <f>IFERROR(__xludf.DUMMYFUNCTION("""COMPUTED_VALUE"""),"˝ Otkrivanje ˝ Arhimedovog zakona (1)")</f>
        <v/>
      </c>
      <c r="B472" s="6">
        <f>IFERROR(__xludf.DUMMYFUNCTION("""COMPUTED_VALUE"""),"Space")</f>
        <v/>
      </c>
      <c r="C472" s="6">
        <f>IFERROR(__xludf.DUMMYFUNCTION("""COMPUTED_VALUE"""),"Discussion")</f>
        <v/>
      </c>
      <c r="D472" s="7">
        <f>IFERROR(__xludf.DUMMYFUNCTION("""COMPUTED_VALUE"""),"&lt;p&gt;This is the Discussion phase.&lt;/p&gt;")</f>
        <v/>
      </c>
      <c r="E472" s="7">
        <f>IFERROR(__xludf.DUMMYFUNCTION("""COMPUTED_VALUE"""),"No artifact embedded")</f>
        <v/>
      </c>
      <c r="F472" s="7" t="n"/>
      <c r="G472" s="8" t="n">
        <v>0</v>
      </c>
      <c r="H472" s="8" t="n">
        <v>0</v>
      </c>
      <c r="I472" s="8" t="n">
        <v>0</v>
      </c>
      <c r="J472" s="8" t="n">
        <v>0</v>
      </c>
      <c r="K472" s="9" t="n">
        <v>0</v>
      </c>
      <c r="L472" s="9" t="n">
        <v>0</v>
      </c>
      <c r="M472" s="9" t="n">
        <v>0</v>
      </c>
      <c r="N472" s="9" t="n">
        <v>0</v>
      </c>
      <c r="O472" s="10" t="n">
        <v>0</v>
      </c>
      <c r="P472" s="10" t="n">
        <v>0</v>
      </c>
      <c r="Q472" s="10" t="n">
        <v>0</v>
      </c>
      <c r="R472" s="10" t="n">
        <v>0</v>
      </c>
      <c r="S472" s="10" t="n">
        <v>0</v>
      </c>
    </row>
    <row r="473" ht="25" customHeight="1">
      <c r="A473" s="6">
        <f>IFERROR(__xludf.DUMMYFUNCTION("""COMPUTED_VALUE"""),"Tsedey")</f>
        <v/>
      </c>
      <c r="B473" s="6">
        <f>IFERROR(__xludf.DUMMYFUNCTION("""COMPUTED_VALUE"""),"Space")</f>
        <v/>
      </c>
      <c r="C473" s="6">
        <f>IFERROR(__xludf.DUMMYFUNCTION("""COMPUTED_VALUE"""),"Orientation")</f>
        <v/>
      </c>
      <c r="D473" s="7">
        <f>IFERROR(__xludf.DUMMYFUNCTION("""COMPUTED_VALUE"""),"No task description")</f>
        <v/>
      </c>
      <c r="E473" s="7">
        <f>IFERROR(__xludf.DUMMYFUNCTION("""COMPUTED_VALUE"""),"No artifact embedded")</f>
        <v/>
      </c>
      <c r="F473" s="7" t="n"/>
      <c r="G473" s="8" t="n">
        <v>0</v>
      </c>
      <c r="H473" s="8" t="n">
        <v>0</v>
      </c>
      <c r="I473" s="8" t="n">
        <v>0</v>
      </c>
      <c r="J473" s="8" t="n">
        <v>0</v>
      </c>
      <c r="K473" s="9" t="n">
        <v>0</v>
      </c>
      <c r="L473" s="9" t="n">
        <v>0</v>
      </c>
      <c r="M473" s="9" t="n">
        <v>0</v>
      </c>
      <c r="N473" s="9" t="n">
        <v>0</v>
      </c>
      <c r="O473" s="10" t="n">
        <v>0</v>
      </c>
      <c r="P473" s="10" t="n">
        <v>0</v>
      </c>
      <c r="Q473" s="10" t="n">
        <v>0</v>
      </c>
      <c r="R473" s="10" t="n">
        <v>0</v>
      </c>
      <c r="S473" s="10" t="n">
        <v>0</v>
      </c>
    </row>
    <row r="474" ht="37" customHeight="1">
      <c r="A474" s="6">
        <f>IFERROR(__xludf.DUMMYFUNCTION("""COMPUTED_VALUE"""),"Tsedey")</f>
        <v/>
      </c>
      <c r="B474" s="6">
        <f>IFERROR(__xludf.DUMMYFUNCTION("""COMPUTED_VALUE"""),"Resource")</f>
        <v/>
      </c>
      <c r="C474" s="6">
        <f>IFERROR(__xludf.DUMMYFUNCTION("""COMPUTED_VALUE"""),"Text.graasp")</f>
        <v/>
      </c>
      <c r="D474" s="7">
        <f>IFERROR(__xludf.DUMMYFUNCTION("""COMPUTED_VALUE"""),"&lt;p&gt;best game on this app easy enough &lt;/p&gt;")</f>
        <v/>
      </c>
      <c r="E474" s="7">
        <f>IFERROR(__xludf.DUMMYFUNCTION("""COMPUTED_VALUE"""),"No artifact embedded")</f>
        <v/>
      </c>
      <c r="F474" s="7" t="n"/>
      <c r="G474" s="8" t="n">
        <v>0</v>
      </c>
      <c r="H474" s="8" t="n">
        <v>0</v>
      </c>
      <c r="I474" s="8" t="n">
        <v>0</v>
      </c>
      <c r="J474" s="8" t="n">
        <v>0</v>
      </c>
      <c r="K474" s="9" t="n">
        <v>0</v>
      </c>
      <c r="L474" s="9" t="n">
        <v>0</v>
      </c>
      <c r="M474" s="9" t="n">
        <v>0</v>
      </c>
      <c r="N474" s="9" t="n">
        <v>0</v>
      </c>
      <c r="O474" s="10" t="n">
        <v>0</v>
      </c>
      <c r="P474" s="10" t="n">
        <v>0</v>
      </c>
      <c r="Q474" s="10" t="n">
        <v>0</v>
      </c>
      <c r="R474" s="10" t="n">
        <v>0</v>
      </c>
      <c r="S474" s="10" t="n">
        <v>0</v>
      </c>
    </row>
    <row r="475" ht="409.5" customHeight="1">
      <c r="A475" s="6">
        <f>IFERROR(__xludf.DUMMYFUNCTION("""COMPUTED_VALUE"""),"Tsedey")</f>
        <v/>
      </c>
      <c r="B475" s="6">
        <f>IFERROR(__xludf.DUMMYFUNCTION("""COMPUTED_VALUE"""),"Resource")</f>
        <v/>
      </c>
      <c r="C475" s="6">
        <f>IFERROR(__xludf.DUMMYFUNCTION("""COMPUTED_VALUE"""),"I Bought My DREAM CAR and it's AMAZING!!!")</f>
        <v/>
      </c>
      <c r="D475" s="7">
        <f>IFERROR(__xludf.DUMMYFUNCTION("""COMPUTED_VALUE"""),"I finally did it, I bought my dream car an AM General Hummer H1! Not only did I buy it, but in this video I take it off road, ford through flooded roads, and drive over cars and crush them. After years of hard work, dedication and passion, I was able to s"&amp;"ave up enough to buy a car, well technically a truck, that I have wanted since I was a kid. This video is super special to me and I hope you enjoy it! Also, there is a kinda-sorta ChrisFix face reveal in this video...  Where I found my dream car: https://"&amp;"www.AutoTempest.com  Surprising my Mom with her Dream Car: https://youtu.be/Quvby2Me5CM Buying a $300 Car: https://youtu.be/7VX090Fi63E  Adhesion Promoter Paint: https://amzn.to/2Hn0o8k Matte Black Paint: https://amzn.to/2ZlzCU1 Measuring wheel (for the b"&amp;"rake test): https://amzn.to/2ziUKQa Round Xenon Headlights: https://amzn.to/2L43Sxr Fluid Pump: https://amzn.to/322laSm  For the helicopter and tank footage: The appearance of U.S. Department of Defense (DoD) visual information does not imply or constitut"&amp;"e DoD endorsement.  → Become a ChrisFix Subscriber: http://www.youtube.com/subscription_center?add_user=paintballoo7 → Instagram: https://www.instagram.com/chrisfixit → Facebook: https://www.facebook.com/chrisfix8 → Website: http://www.ChrisFixed.com → My"&amp;" Channel Home Page: https://www.youtube.com/ChrisFix  **If the video was helpful, remember to give it a ""thumbs up"" and consider subscribing.**  Disclaimer: Due to factors beyond the control of ChrisFix, I cannot guarantee against improper use or unauth"&amp;"orized modifications of this information. ChrisFix assumes no liability for property damage or injury incurred as a result of any of the information contained in this video. Use this information at your own risk. ChrisFix recommends safe practices when wo"&amp;"rking on vehicles and or with tools seen or implied in this video. Due to factors beyond the control of ChrisFix, no information contained in this video shall create any expressed or implied warranty or guarantee of any particular result. Any injury, dama"&amp;"ge, or loss that may result from improper use of these tools, equipment, or from the information contained in this video is the sole responsibility of the user and not ChrisFix.")</f>
        <v/>
      </c>
      <c r="E475" s="7">
        <f>IFERROR(__xludf.DUMMYFUNCTION("""COMPUTED_VALUE"""),"youtu.be: A shortened URL service for YouTube, leading to various videos on the platform.")</f>
        <v/>
      </c>
      <c r="F475" s="7" t="n"/>
      <c r="G475" s="8" t="n">
        <v>1</v>
      </c>
      <c r="H475" s="8" t="n">
        <v>0</v>
      </c>
      <c r="I475" s="8" t="n">
        <v>0</v>
      </c>
      <c r="J475" s="8" t="n">
        <v>0</v>
      </c>
      <c r="K475" s="9" t="n">
        <v>1</v>
      </c>
      <c r="L475" s="9" t="n">
        <v>0</v>
      </c>
      <c r="M475" s="9" t="n">
        <v>0</v>
      </c>
      <c r="N475" s="9" t="n">
        <v>0</v>
      </c>
      <c r="O475" s="10" t="n">
        <v>1</v>
      </c>
      <c r="P475" s="10" t="n">
        <v>0</v>
      </c>
      <c r="Q475" s="10" t="n">
        <v>0</v>
      </c>
      <c r="R475" s="10" t="n">
        <v>0</v>
      </c>
      <c r="S475" s="10" t="n">
        <v>0</v>
      </c>
    </row>
    <row r="476" ht="409.5" customHeight="1">
      <c r="A476" s="6">
        <f>IFERROR(__xludf.DUMMYFUNCTION("""COMPUTED_VALUE"""),"Tsedey")</f>
        <v/>
      </c>
      <c r="B476" s="6">
        <f>IFERROR(__xludf.DUMMYFUNCTION("""COMPUTED_VALUE"""),"Application")</f>
        <v/>
      </c>
      <c r="C476" s="6">
        <f>IFERROR(__xludf.DUMMYFUNCTION("""COMPUTED_VALUE"""),"Concept Mapper")</f>
        <v/>
      </c>
      <c r="D476" s="7">
        <f>IFERROR(__xludf.DUMMYFUNCTION("""COMPUTED_VALUE"""),"No task description")</f>
        <v/>
      </c>
      <c r="E476"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76" s="7" t="n"/>
      <c r="G476" s="8" t="n">
        <v>0</v>
      </c>
      <c r="H476" s="8" t="n">
        <v>0</v>
      </c>
      <c r="I476" s="8" t="n">
        <v>0</v>
      </c>
      <c r="J476" s="8" t="n">
        <v>0</v>
      </c>
      <c r="K476" s="9" t="n">
        <v>0</v>
      </c>
      <c r="L476" s="9" t="n">
        <v>0</v>
      </c>
      <c r="M476" s="9" t="n">
        <v>0</v>
      </c>
      <c r="N476" s="9" t="n">
        <v>0</v>
      </c>
      <c r="O476" s="10" t="n">
        <v>0</v>
      </c>
      <c r="P476" s="10" t="n">
        <v>0</v>
      </c>
      <c r="Q476" s="10" t="n">
        <v>0</v>
      </c>
      <c r="R476" s="10" t="n">
        <v>0</v>
      </c>
      <c r="S476" s="10" t="n">
        <v>0</v>
      </c>
    </row>
    <row r="477" ht="49" customHeight="1">
      <c r="A477" s="6">
        <f>IFERROR(__xludf.DUMMYFUNCTION("""COMPUTED_VALUE"""),"Tsedey")</f>
        <v/>
      </c>
      <c r="B477" s="6">
        <f>IFERROR(__xludf.DUMMYFUNCTION("""COMPUTED_VALUE"""),"Application")</f>
        <v/>
      </c>
      <c r="C477" s="6">
        <f>IFERROR(__xludf.DUMMYFUNCTION("""COMPUTED_VALUE"""),"Input")</f>
        <v/>
      </c>
      <c r="D477" s="7">
        <f>IFERROR(__xludf.DUMMYFUNCTION("""COMPUTED_VALUE"""),"No task description")</f>
        <v/>
      </c>
      <c r="E477" s="7">
        <f>IFERROR(__xludf.DUMMYFUNCTION("""COMPUTED_VALUE"""),"Golabz app/lab: No description available for this online app")</f>
        <v/>
      </c>
      <c r="F477" s="7" t="n"/>
      <c r="G477" s="8" t="n">
        <v>0</v>
      </c>
      <c r="H477" s="8" t="n">
        <v>0</v>
      </c>
      <c r="I477" s="8" t="n">
        <v>0</v>
      </c>
      <c r="J477" s="8" t="n">
        <v>0</v>
      </c>
      <c r="K477" s="9" t="n">
        <v>0</v>
      </c>
      <c r="L477" s="9" t="n">
        <v>0</v>
      </c>
      <c r="M477" s="9" t="n">
        <v>0</v>
      </c>
      <c r="N477" s="9" t="n">
        <v>0</v>
      </c>
      <c r="O477" s="10" t="n">
        <v>0</v>
      </c>
      <c r="P477" s="10" t="n">
        <v>0</v>
      </c>
      <c r="Q477" s="10" t="n">
        <v>0</v>
      </c>
      <c r="R477" s="10" t="n">
        <v>0</v>
      </c>
      <c r="S477" s="10" t="n">
        <v>0</v>
      </c>
    </row>
    <row r="478" ht="25" customHeight="1">
      <c r="A478" s="6">
        <f>IFERROR(__xludf.DUMMYFUNCTION("""COMPUTED_VALUE"""),"Tsedey")</f>
        <v/>
      </c>
      <c r="B478" s="6">
        <f>IFERROR(__xludf.DUMMYFUNCTION("""COMPUTED_VALUE"""),"Space")</f>
        <v/>
      </c>
      <c r="C478" s="6">
        <f>IFERROR(__xludf.DUMMYFUNCTION("""COMPUTED_VALUE"""),"Conceptualisation")</f>
        <v/>
      </c>
      <c r="D478" s="7">
        <f>IFERROR(__xludf.DUMMYFUNCTION("""COMPUTED_VALUE"""),"No task description")</f>
        <v/>
      </c>
      <c r="E478" s="7">
        <f>IFERROR(__xludf.DUMMYFUNCTION("""COMPUTED_VALUE"""),"No artifact embedded")</f>
        <v/>
      </c>
      <c r="F478" s="7" t="n"/>
      <c r="G478" s="8" t="n">
        <v>0</v>
      </c>
      <c r="H478" s="8" t="n">
        <v>0</v>
      </c>
      <c r="I478" s="8" t="n">
        <v>0</v>
      </c>
      <c r="J478" s="8" t="n">
        <v>0</v>
      </c>
      <c r="K478" s="9" t="n">
        <v>0</v>
      </c>
      <c r="L478" s="9" t="n">
        <v>0</v>
      </c>
      <c r="M478" s="9" t="n">
        <v>0</v>
      </c>
      <c r="N478" s="9" t="n">
        <v>0</v>
      </c>
      <c r="O478" s="10" t="n">
        <v>0</v>
      </c>
      <c r="P478" s="10" t="n">
        <v>0</v>
      </c>
      <c r="Q478" s="10" t="n">
        <v>0</v>
      </c>
      <c r="R478" s="10" t="n">
        <v>0</v>
      </c>
      <c r="S478" s="10" t="n">
        <v>0</v>
      </c>
    </row>
    <row r="479" ht="25" customHeight="1">
      <c r="A479" s="6">
        <f>IFERROR(__xludf.DUMMYFUNCTION("""COMPUTED_VALUE"""),"Tsedey")</f>
        <v/>
      </c>
      <c r="B479" s="6">
        <f>IFERROR(__xludf.DUMMYFUNCTION("""COMPUTED_VALUE"""),"Space")</f>
        <v/>
      </c>
      <c r="C479" s="6">
        <f>IFERROR(__xludf.DUMMYFUNCTION("""COMPUTED_VALUE"""),"Investigation")</f>
        <v/>
      </c>
      <c r="D479" s="7">
        <f>IFERROR(__xludf.DUMMYFUNCTION("""COMPUTED_VALUE"""),"No task description")</f>
        <v/>
      </c>
      <c r="E479" s="7">
        <f>IFERROR(__xludf.DUMMYFUNCTION("""COMPUTED_VALUE"""),"No artifact embedded")</f>
        <v/>
      </c>
      <c r="F479" s="7" t="n"/>
      <c r="G479" s="8" t="n">
        <v>0</v>
      </c>
      <c r="H479" s="8" t="n">
        <v>0</v>
      </c>
      <c r="I479" s="8" t="n">
        <v>0</v>
      </c>
      <c r="J479" s="8" t="n">
        <v>0</v>
      </c>
      <c r="K479" s="9" t="n">
        <v>0</v>
      </c>
      <c r="L479" s="9" t="n">
        <v>0</v>
      </c>
      <c r="M479" s="9" t="n">
        <v>0</v>
      </c>
      <c r="N479" s="9" t="n">
        <v>0</v>
      </c>
      <c r="O479" s="10" t="n">
        <v>0</v>
      </c>
      <c r="P479" s="10" t="n">
        <v>0</v>
      </c>
      <c r="Q479" s="10" t="n">
        <v>0</v>
      </c>
      <c r="R479" s="10" t="n">
        <v>0</v>
      </c>
      <c r="S479" s="10" t="n">
        <v>0</v>
      </c>
    </row>
    <row r="480" ht="25" customHeight="1">
      <c r="A480" s="6">
        <f>IFERROR(__xludf.DUMMYFUNCTION("""COMPUTED_VALUE"""),"Tsedey")</f>
        <v/>
      </c>
      <c r="B480" s="6">
        <f>IFERROR(__xludf.DUMMYFUNCTION("""COMPUTED_VALUE"""),"Space")</f>
        <v/>
      </c>
      <c r="C480" s="6">
        <f>IFERROR(__xludf.DUMMYFUNCTION("""COMPUTED_VALUE"""),"Conclusion")</f>
        <v/>
      </c>
      <c r="D480" s="7">
        <f>IFERROR(__xludf.DUMMYFUNCTION("""COMPUTED_VALUE"""),"No task description")</f>
        <v/>
      </c>
      <c r="E480" s="7">
        <f>IFERROR(__xludf.DUMMYFUNCTION("""COMPUTED_VALUE"""),"No artifact embedded")</f>
        <v/>
      </c>
      <c r="F480" s="7" t="n"/>
      <c r="G480" s="8" t="n">
        <v>0</v>
      </c>
      <c r="H480" s="8" t="n">
        <v>0</v>
      </c>
      <c r="I480" s="8" t="n">
        <v>0</v>
      </c>
      <c r="J480" s="8" t="n">
        <v>0</v>
      </c>
      <c r="K480" s="9" t="n">
        <v>0</v>
      </c>
      <c r="L480" s="9" t="n">
        <v>0</v>
      </c>
      <c r="M480" s="9" t="n">
        <v>0</v>
      </c>
      <c r="N480" s="9" t="n">
        <v>0</v>
      </c>
      <c r="O480" s="10" t="n">
        <v>0</v>
      </c>
      <c r="P480" s="10" t="n">
        <v>0</v>
      </c>
      <c r="Q480" s="10" t="n">
        <v>0</v>
      </c>
      <c r="R480" s="10" t="n">
        <v>0</v>
      </c>
      <c r="S480" s="10" t="n">
        <v>0</v>
      </c>
    </row>
    <row r="481" ht="25" customHeight="1">
      <c r="A481" s="6">
        <f>IFERROR(__xludf.DUMMYFUNCTION("""COMPUTED_VALUE"""),"Tsedey")</f>
        <v/>
      </c>
      <c r="B481" s="6">
        <f>IFERROR(__xludf.DUMMYFUNCTION("""COMPUTED_VALUE"""),"Space")</f>
        <v/>
      </c>
      <c r="C481" s="6">
        <f>IFERROR(__xludf.DUMMYFUNCTION("""COMPUTED_VALUE"""),"Discussion")</f>
        <v/>
      </c>
      <c r="D481" s="7">
        <f>IFERROR(__xludf.DUMMYFUNCTION("""COMPUTED_VALUE"""),"No task description")</f>
        <v/>
      </c>
      <c r="E481" s="7">
        <f>IFERROR(__xludf.DUMMYFUNCTION("""COMPUTED_VALUE"""),"No artifact embedded")</f>
        <v/>
      </c>
      <c r="F481" s="7" t="n"/>
      <c r="G481" s="8" t="n">
        <v>0</v>
      </c>
      <c r="H481" s="8" t="n">
        <v>0</v>
      </c>
      <c r="I481" s="8" t="n">
        <v>0</v>
      </c>
      <c r="J481" s="8" t="n">
        <v>0</v>
      </c>
      <c r="K481" s="9" t="n">
        <v>0</v>
      </c>
      <c r="L481" s="9" t="n">
        <v>0</v>
      </c>
      <c r="M481" s="9" t="n">
        <v>0</v>
      </c>
      <c r="N481" s="9" t="n">
        <v>0</v>
      </c>
      <c r="O481" s="10" t="n">
        <v>0</v>
      </c>
      <c r="P481" s="10" t="n">
        <v>0</v>
      </c>
      <c r="Q481" s="10" t="n">
        <v>0</v>
      </c>
      <c r="R481" s="10" t="n">
        <v>0</v>
      </c>
      <c r="S481" s="10" t="n">
        <v>0</v>
      </c>
    </row>
    <row r="482" ht="37" customHeight="1">
      <c r="A482" s="6">
        <f>IFERROR(__xludf.DUMMYFUNCTION("""COMPUTED_VALUE"""),"Teste")</f>
        <v/>
      </c>
      <c r="B482" s="6">
        <f>IFERROR(__xludf.DUMMYFUNCTION("""COMPUTED_VALUE"""),"Space")</f>
        <v/>
      </c>
      <c r="C482" s="6">
        <f>IFERROR(__xludf.DUMMYFUNCTION("""COMPUTED_VALUE"""),"Orientation")</f>
        <v/>
      </c>
      <c r="D482" s="7">
        <f>IFERROR(__xludf.DUMMYFUNCTION("""COMPUTED_VALUE"""),"&lt;p&gt;This is the Orientation phase.&lt;/p&gt;")</f>
        <v/>
      </c>
      <c r="E482" s="7">
        <f>IFERROR(__xludf.DUMMYFUNCTION("""COMPUTED_VALUE"""),"No artifact embedded")</f>
        <v/>
      </c>
      <c r="F482" s="7" t="n"/>
      <c r="G482" s="8" t="n">
        <v>0</v>
      </c>
      <c r="H482" s="8" t="n">
        <v>0</v>
      </c>
      <c r="I482" s="8" t="n">
        <v>0</v>
      </c>
      <c r="J482" s="8" t="n">
        <v>0</v>
      </c>
      <c r="K482" s="9" t="n">
        <v>0</v>
      </c>
      <c r="L482" s="9" t="n">
        <v>0</v>
      </c>
      <c r="M482" s="9" t="n">
        <v>0</v>
      </c>
      <c r="N482" s="9" t="n">
        <v>0</v>
      </c>
      <c r="O482" s="10" t="n">
        <v>0</v>
      </c>
      <c r="P482" s="10" t="n">
        <v>0</v>
      </c>
      <c r="Q482" s="10" t="n">
        <v>0</v>
      </c>
      <c r="R482" s="10" t="n">
        <v>0</v>
      </c>
      <c r="S482" s="10" t="n">
        <v>0</v>
      </c>
    </row>
    <row r="483" ht="37" customHeight="1">
      <c r="A483" s="6">
        <f>IFERROR(__xludf.DUMMYFUNCTION("""COMPUTED_VALUE"""),"Teste")</f>
        <v/>
      </c>
      <c r="B483" s="6">
        <f>IFERROR(__xludf.DUMMYFUNCTION("""COMPUTED_VALUE"""),"Space")</f>
        <v/>
      </c>
      <c r="C483" s="6">
        <f>IFERROR(__xludf.DUMMYFUNCTION("""COMPUTED_VALUE"""),"Conceptualisation")</f>
        <v/>
      </c>
      <c r="D483" s="7">
        <f>IFERROR(__xludf.DUMMYFUNCTION("""COMPUTED_VALUE"""),"&lt;p&gt;This is the Conceptualisation phase.&lt;/p&gt;")</f>
        <v/>
      </c>
      <c r="E483" s="7">
        <f>IFERROR(__xludf.DUMMYFUNCTION("""COMPUTED_VALUE"""),"No artifact embedded")</f>
        <v/>
      </c>
      <c r="F483" s="7" t="n"/>
      <c r="G483" s="8" t="n">
        <v>0</v>
      </c>
      <c r="H483" s="8" t="n">
        <v>0</v>
      </c>
      <c r="I483" s="8" t="n">
        <v>0</v>
      </c>
      <c r="J483" s="8" t="n">
        <v>0</v>
      </c>
      <c r="K483" s="9" t="n">
        <v>0</v>
      </c>
      <c r="L483" s="9" t="n">
        <v>0</v>
      </c>
      <c r="M483" s="9" t="n">
        <v>0</v>
      </c>
      <c r="N483" s="9" t="n">
        <v>0</v>
      </c>
      <c r="O483" s="10" t="n">
        <v>0</v>
      </c>
      <c r="P483" s="10" t="n">
        <v>0</v>
      </c>
      <c r="Q483" s="10" t="n">
        <v>0</v>
      </c>
      <c r="R483" s="10" t="n">
        <v>0</v>
      </c>
      <c r="S483" s="10" t="n">
        <v>0</v>
      </c>
    </row>
    <row r="484" ht="37" customHeight="1">
      <c r="A484" s="6">
        <f>IFERROR(__xludf.DUMMYFUNCTION("""COMPUTED_VALUE"""),"Teste")</f>
        <v/>
      </c>
      <c r="B484" s="6">
        <f>IFERROR(__xludf.DUMMYFUNCTION("""COMPUTED_VALUE"""),"Space")</f>
        <v/>
      </c>
      <c r="C484" s="6">
        <f>IFERROR(__xludf.DUMMYFUNCTION("""COMPUTED_VALUE"""),"Investigation")</f>
        <v/>
      </c>
      <c r="D484" s="7">
        <f>IFERROR(__xludf.DUMMYFUNCTION("""COMPUTED_VALUE"""),"&lt;p&gt;This is the Investigation phase.&lt;/p&gt;")</f>
        <v/>
      </c>
      <c r="E484" s="7">
        <f>IFERROR(__xludf.DUMMYFUNCTION("""COMPUTED_VALUE"""),"No artifact embedded")</f>
        <v/>
      </c>
      <c r="F484" s="7" t="n"/>
      <c r="G484" s="8" t="n">
        <v>0</v>
      </c>
      <c r="H484" s="8" t="n">
        <v>0</v>
      </c>
      <c r="I484" s="8" t="n">
        <v>0</v>
      </c>
      <c r="J484" s="8" t="n">
        <v>0</v>
      </c>
      <c r="K484" s="9" t="n">
        <v>0</v>
      </c>
      <c r="L484" s="9" t="n">
        <v>0</v>
      </c>
      <c r="M484" s="9" t="n">
        <v>0</v>
      </c>
      <c r="N484" s="9" t="n">
        <v>0</v>
      </c>
      <c r="O484" s="10" t="n">
        <v>0</v>
      </c>
      <c r="P484" s="10" t="n">
        <v>0</v>
      </c>
      <c r="Q484" s="10" t="n">
        <v>0</v>
      </c>
      <c r="R484" s="10" t="n">
        <v>0</v>
      </c>
      <c r="S484" s="10" t="n">
        <v>0</v>
      </c>
    </row>
    <row r="485" ht="340" customHeight="1">
      <c r="A485" s="6">
        <f>IFERROR(__xludf.DUMMYFUNCTION("""COMPUTED_VALUE"""),"Teste")</f>
        <v/>
      </c>
      <c r="B485" s="6">
        <f>IFERROR(__xludf.DUMMYFUNCTION("""COMPUTED_VALUE"""),"Application")</f>
        <v/>
      </c>
      <c r="C485" s="6">
        <f>IFERROR(__xludf.DUMMYFUNCTION("""COMPUTED_VALUE"""),"John Travoltage source")</f>
        <v/>
      </c>
      <c r="D485" s="7">
        <f>IFERROR(__xludf.DUMMYFUNCTION("""COMPUTED_VALUE"""),"No task description")</f>
        <v/>
      </c>
      <c r="E485" s="7">
        <f>IFERROR(__xludf.DUMMYFUNCTION("""COMPUTED_VALUE"""),"Golabz app/lab: ""&lt;p&gt;Make sparks fly with John Travoltage. Wiggle Johnnie&amp;#39;s foot and he picks up charges from the carpet. Bring his hand close to the door knob and get rid of the excess charge.&lt;/p&gt;&lt;p&gt;&lt;strong&gt;Sample Learning Goals&lt;/strong&gt;&lt;/p&gt;&lt;ul&gt;&lt;li&gt;D"&amp;"escribe and draw models for common static electricity concepts (transfer of charge, attraction, repulsion, and grounding).&lt;/li&gt;&lt;/ul&gt;""")</f>
        <v/>
      </c>
      <c r="F485" s="7" t="n"/>
      <c r="G485" s="8" t="n">
        <v>0</v>
      </c>
      <c r="H485" s="8" t="n">
        <v>0</v>
      </c>
      <c r="I485" s="8" t="n">
        <v>0</v>
      </c>
      <c r="J485" s="8" t="n">
        <v>0</v>
      </c>
      <c r="K485" s="9" t="n">
        <v>0</v>
      </c>
      <c r="L485" s="9" t="n">
        <v>0</v>
      </c>
      <c r="M485" s="9" t="n">
        <v>0</v>
      </c>
      <c r="N485" s="9" t="n">
        <v>0</v>
      </c>
      <c r="O485" s="10" t="n">
        <v>0</v>
      </c>
      <c r="P485" s="10" t="n">
        <v>0</v>
      </c>
      <c r="Q485" s="10" t="n">
        <v>0</v>
      </c>
      <c r="R485" s="10" t="n">
        <v>0</v>
      </c>
      <c r="S485" s="10" t="n">
        <v>0</v>
      </c>
    </row>
    <row r="486" ht="409.5" customHeight="1">
      <c r="A486" s="6">
        <f>IFERROR(__xludf.DUMMYFUNCTION("""COMPUTED_VALUE"""),"Teste")</f>
        <v/>
      </c>
      <c r="B486" s="6">
        <f>IFERROR(__xludf.DUMMYFUNCTION("""COMPUTED_VALUE"""),"Application")</f>
        <v/>
      </c>
      <c r="C486" s="6">
        <f>IFERROR(__xludf.DUMMYFUNCTION("""COMPUTED_VALUE"""),"Vector Addition")</f>
        <v/>
      </c>
      <c r="D486" s="7">
        <f>IFERROR(__xludf.DUMMYFUNCTION("""COMPUTED_VALUE"""),"No task description")</f>
        <v/>
      </c>
      <c r="E486" s="7">
        <f>IFERROR(__xludf.DUMMYFUNCTION("""COMPUTED_VALUE"""),"Golabz app/lab: ""&lt;p&gt;Explore vectors in 1D or 2D, and discover how vectors add together. Specify vectors in Cartesian or polar coordinates, and see the magnitude, angle, and components of each vector. Experiment with vector equations and compare vector su"&amp;"ms and differences.&lt;/p&gt;\r\n\r\n&lt;p&gt;Sample learning goals:&lt;/p&gt;\r\n\r\n&lt;ul&gt;\r\n\t&lt;li&gt;Describe a vector in your own words&lt;/li&gt;\r\n\t&lt;li&gt;Explain a method to add vectors&lt;/li&gt;\r\n\t&lt;li&gt;Compare and contrast the component styles&lt;/li&gt;\r\n\t&lt;li&gt;Decompose a vector in"&amp;"to components&lt;/li&gt;\r\n\t&lt;li&gt;Describe what happens to a vector when it is multiplied by a scalar&lt;/li&gt;\r\n\t&lt;li&gt;Arrange vectors graphically to represent vector addition or subtraction&lt;/li&gt;\r\n&lt;/ul&gt;\r\n""")</f>
        <v/>
      </c>
      <c r="F486" s="7" t="n"/>
      <c r="G486" s="8" t="n">
        <v>0</v>
      </c>
      <c r="H486" s="8" t="n">
        <v>0</v>
      </c>
      <c r="I486" s="8" t="n">
        <v>0</v>
      </c>
      <c r="J486" s="8" t="n">
        <v>0</v>
      </c>
      <c r="K486" s="9" t="n">
        <v>0</v>
      </c>
      <c r="L486" s="9" t="n">
        <v>0</v>
      </c>
      <c r="M486" s="9" t="n">
        <v>0</v>
      </c>
      <c r="N486" s="9" t="n">
        <v>0</v>
      </c>
      <c r="O486" s="10" t="n">
        <v>0</v>
      </c>
      <c r="P486" s="10" t="n">
        <v>0</v>
      </c>
      <c r="Q486" s="10" t="n">
        <v>0</v>
      </c>
      <c r="R486" s="10" t="n">
        <v>0</v>
      </c>
      <c r="S486" s="10" t="n">
        <v>0</v>
      </c>
    </row>
    <row r="487" ht="37" customHeight="1">
      <c r="A487" s="6">
        <f>IFERROR(__xludf.DUMMYFUNCTION("""COMPUTED_VALUE"""),"Teste")</f>
        <v/>
      </c>
      <c r="B487" s="6">
        <f>IFERROR(__xludf.DUMMYFUNCTION("""COMPUTED_VALUE"""),"Space")</f>
        <v/>
      </c>
      <c r="C487" s="6">
        <f>IFERROR(__xludf.DUMMYFUNCTION("""COMPUTED_VALUE"""),"Conclusion")</f>
        <v/>
      </c>
      <c r="D487" s="7">
        <f>IFERROR(__xludf.DUMMYFUNCTION("""COMPUTED_VALUE"""),"&lt;p&gt;This is the Conclusion phase.&lt;/p&gt;")</f>
        <v/>
      </c>
      <c r="E487" s="7">
        <f>IFERROR(__xludf.DUMMYFUNCTION("""COMPUTED_VALUE"""),"No artifact embedded")</f>
        <v/>
      </c>
      <c r="F487" s="7" t="n"/>
      <c r="G487" s="8" t="n">
        <v>0</v>
      </c>
      <c r="H487" s="8" t="n">
        <v>0</v>
      </c>
      <c r="I487" s="8" t="n">
        <v>0</v>
      </c>
      <c r="J487" s="8" t="n">
        <v>0</v>
      </c>
      <c r="K487" s="9" t="n">
        <v>0</v>
      </c>
      <c r="L487" s="9" t="n">
        <v>0</v>
      </c>
      <c r="M487" s="9" t="n">
        <v>0</v>
      </c>
      <c r="N487" s="9" t="n">
        <v>0</v>
      </c>
      <c r="O487" s="10" t="n">
        <v>0</v>
      </c>
      <c r="P487" s="10" t="n">
        <v>0</v>
      </c>
      <c r="Q487" s="10" t="n">
        <v>0</v>
      </c>
      <c r="R487" s="10" t="n">
        <v>0</v>
      </c>
      <c r="S487" s="10" t="n">
        <v>0</v>
      </c>
    </row>
    <row r="488" ht="37" customHeight="1">
      <c r="A488" s="6">
        <f>IFERROR(__xludf.DUMMYFUNCTION("""COMPUTED_VALUE"""),"Teste")</f>
        <v/>
      </c>
      <c r="B488" s="6">
        <f>IFERROR(__xludf.DUMMYFUNCTION("""COMPUTED_VALUE"""),"Space")</f>
        <v/>
      </c>
      <c r="C488" s="6">
        <f>IFERROR(__xludf.DUMMYFUNCTION("""COMPUTED_VALUE"""),"Discussion")</f>
        <v/>
      </c>
      <c r="D488" s="7">
        <f>IFERROR(__xludf.DUMMYFUNCTION("""COMPUTED_VALUE"""),"&lt;p&gt;This is the Discussion phase.&lt;/p&gt;")</f>
        <v/>
      </c>
      <c r="E488" s="7">
        <f>IFERROR(__xludf.DUMMYFUNCTION("""COMPUTED_VALUE"""),"No artifact embedded")</f>
        <v/>
      </c>
      <c r="F488" s="7" t="n"/>
      <c r="G488" s="8" t="n">
        <v>0</v>
      </c>
      <c r="H488" s="8" t="n">
        <v>0</v>
      </c>
      <c r="I488" s="8" t="n">
        <v>0</v>
      </c>
      <c r="J488" s="8" t="n">
        <v>0</v>
      </c>
      <c r="K488" s="9" t="n">
        <v>0</v>
      </c>
      <c r="L488" s="9" t="n">
        <v>0</v>
      </c>
      <c r="M488" s="9" t="n">
        <v>0</v>
      </c>
      <c r="N488" s="9" t="n">
        <v>0</v>
      </c>
      <c r="O488" s="10" t="n">
        <v>0</v>
      </c>
      <c r="P488" s="10" t="n">
        <v>0</v>
      </c>
      <c r="Q488" s="10" t="n">
        <v>0</v>
      </c>
      <c r="R488" s="10" t="n">
        <v>0</v>
      </c>
      <c r="S488" s="10" t="n">
        <v>0</v>
      </c>
    </row>
    <row r="489" ht="133" customHeight="1">
      <c r="A489" s="6">
        <f>IFERROR(__xludf.DUMMYFUNCTION("""COMPUTED_VALUE"""),"ROU - Școala Gimnazială nr. 9 „Nicolae Orghidan” Brașov")</f>
        <v/>
      </c>
      <c r="B489" s="6">
        <f>IFERROR(__xludf.DUMMYFUNCTION("""COMPUTED_VALUE"""),"Space")</f>
        <v/>
      </c>
      <c r="C489" s="6">
        <f>IFERROR(__xludf.DUMMYFUNCTION("""COMPUTED_VALUE"""),"Meet the team")</f>
        <v/>
      </c>
      <c r="D489" s="7">
        <f>IFERROR(__xludf.DUMMYFUNCTION("""COMPUTED_VALUE"""),"&lt;p&gt;This space was created for each member of the team to present itself. You can add pictures, quotes, or a simple sentence. Your creativity is welcome.&lt;/p&gt;")</f>
        <v/>
      </c>
      <c r="E489" s="7">
        <f>IFERROR(__xludf.DUMMYFUNCTION("""COMPUTED_VALUE"""),"No artifact embedded")</f>
        <v/>
      </c>
      <c r="F489" s="7" t="n"/>
      <c r="G489" s="8" t="n">
        <v>0</v>
      </c>
      <c r="H489" s="8" t="n">
        <v>0</v>
      </c>
      <c r="I489" s="8" t="n">
        <v>1</v>
      </c>
      <c r="J489" s="8" t="n">
        <v>0</v>
      </c>
      <c r="K489" s="9" t="n">
        <v>0</v>
      </c>
      <c r="L489" s="9" t="n">
        <v>1</v>
      </c>
      <c r="M489" s="9" t="n">
        <v>0</v>
      </c>
      <c r="N489" s="9" t="n">
        <v>0</v>
      </c>
      <c r="O489" s="10" t="n">
        <v>0</v>
      </c>
      <c r="P489" s="10" t="n">
        <v>0</v>
      </c>
      <c r="Q489" s="10" t="n">
        <v>0</v>
      </c>
      <c r="R489" s="10" t="n">
        <v>0</v>
      </c>
      <c r="S489" s="10" t="n">
        <v>0</v>
      </c>
    </row>
    <row r="490" ht="121" customHeight="1">
      <c r="A490" s="6">
        <f>IFERROR(__xludf.DUMMYFUNCTION("""COMPUTED_VALUE"""),"ROU - Școala Gimnazială nr. 9 „Nicolae Orghidan” Brașov")</f>
        <v/>
      </c>
      <c r="B490" s="6">
        <f>IFERROR(__xludf.DUMMYFUNCTION("""COMPUTED_VALUE"""),"Resource")</f>
        <v/>
      </c>
      <c r="C490" s="6">
        <f>IFERROR(__xludf.DUMMYFUNCTION("""COMPUTED_VALUE"""),"Școala Gimnazială Nr. 9 „Nicolae Orghidan” Brașov, România")</f>
        <v/>
      </c>
      <c r="D490" s="7">
        <f>IFERROR(__xludf.DUMMYFUNCTION("""COMPUTED_VALUE"""),"No task description")</f>
        <v/>
      </c>
      <c r="E490" s="7">
        <f>IFERROR(__xludf.DUMMYFUNCTION("""COMPUTED_VALUE"""),"slideshare.net: A platform for sharing presentations and documents, including educational materials from various institutions.")</f>
        <v/>
      </c>
      <c r="F490" s="7" t="n"/>
      <c r="G490" s="8" t="n">
        <v>0</v>
      </c>
      <c r="H490" s="8" t="n">
        <v>0</v>
      </c>
      <c r="I490" s="8" t="n">
        <v>1</v>
      </c>
      <c r="J490" s="8" t="n">
        <v>0</v>
      </c>
      <c r="K490" s="9" t="n">
        <v>0</v>
      </c>
      <c r="L490" s="9" t="n">
        <v>1</v>
      </c>
      <c r="M490" s="9" t="n">
        <v>0</v>
      </c>
      <c r="N490" s="9" t="n">
        <v>0</v>
      </c>
      <c r="O490" s="10" t="n">
        <v>0</v>
      </c>
      <c r="P490" s="10" t="n">
        <v>0</v>
      </c>
      <c r="Q490" s="10" t="n">
        <v>0</v>
      </c>
      <c r="R490" s="10" t="n">
        <v>0</v>
      </c>
      <c r="S490" s="10" t="n">
        <v>0</v>
      </c>
    </row>
    <row r="491" ht="133" customHeight="1">
      <c r="A491" s="6">
        <f>IFERROR(__xludf.DUMMYFUNCTION("""COMPUTED_VALUE"""),"ROU - Școala Gimnazială nr. 9 „Nicolae Orghidan” Brașov")</f>
        <v/>
      </c>
      <c r="B491" s="6">
        <f>IFERROR(__xludf.DUMMYFUNCTION("""COMPUTED_VALUE"""),"Space")</f>
        <v/>
      </c>
      <c r="C491" s="6">
        <f>IFERROR(__xludf.DUMMYFUNCTION("""COMPUTED_VALUE"""),"What motivates us in PLATON")</f>
        <v/>
      </c>
      <c r="D491" s="7">
        <f>IFERROR(__xludf.DUMMYFUNCTION("""COMPUTED_VALUE"""),"&lt;p&gt;Write here what motivates you in PLATON, what does it mean to you, how do you think it is contributing to your school’s development and/or identity.&lt;/p&gt;")</f>
        <v/>
      </c>
      <c r="E491" s="7">
        <f>IFERROR(__xludf.DUMMYFUNCTION("""COMPUTED_VALUE"""),"No artifact embedded")</f>
        <v/>
      </c>
      <c r="F491" s="7" t="n"/>
      <c r="G491" s="8" t="n">
        <v>0</v>
      </c>
      <c r="H491" s="8" t="n">
        <v>0</v>
      </c>
      <c r="I491" s="8" t="n">
        <v>1</v>
      </c>
      <c r="J491" s="8" t="n">
        <v>0</v>
      </c>
      <c r="K491" s="9" t="n">
        <v>0</v>
      </c>
      <c r="L491" s="9" t="n">
        <v>1</v>
      </c>
      <c r="M491" s="9" t="n">
        <v>0</v>
      </c>
      <c r="N491" s="9" t="n">
        <v>0</v>
      </c>
      <c r="O491" s="10" t="n">
        <v>1</v>
      </c>
      <c r="P491" s="10" t="n">
        <v>0</v>
      </c>
      <c r="Q491" s="10" t="n">
        <v>0</v>
      </c>
      <c r="R491" s="10" t="n">
        <v>0</v>
      </c>
      <c r="S491" s="10" t="n">
        <v>0</v>
      </c>
    </row>
    <row r="492" ht="217" customHeight="1">
      <c r="A492" s="6">
        <f>IFERROR(__xludf.DUMMYFUNCTION("""COMPUTED_VALUE"""),"ROU - Școala Gimnazială nr. 9 „Nicolae Orghidan” Brașov")</f>
        <v/>
      </c>
      <c r="B492" s="6">
        <f>IFERROR(__xludf.DUMMYFUNCTION("""COMPUTED_VALUE"""),"Space")</f>
        <v/>
      </c>
      <c r="C492" s="6">
        <f>IFERROR(__xludf.DUMMYFUNCTION("""COMPUTED_VALUE"""),"Our work")</f>
        <v/>
      </c>
      <c r="D492" s="7">
        <f>IFERROR(__xludf.DUMMYFUNCTION("""COMPUTED_VALUE"""),"&lt;p&gt;This is where you can add pictures, scans, texts, whatever record you have of the work you have been doing throughout the implementation of the project in your school. Please identify the date, the class and the name of the teacher in each input.&lt;/p&gt;")</f>
        <v/>
      </c>
      <c r="E492" s="7">
        <f>IFERROR(__xludf.DUMMYFUNCTION("""COMPUTED_VALUE"""),"No artifact embedded")</f>
        <v/>
      </c>
      <c r="F492" s="7" t="n"/>
      <c r="G492" s="8" t="n">
        <v>0</v>
      </c>
      <c r="H492" s="8" t="n">
        <v>0</v>
      </c>
      <c r="I492" s="8" t="n">
        <v>1</v>
      </c>
      <c r="J492" s="8" t="n">
        <v>0</v>
      </c>
      <c r="K492" s="9" t="n">
        <v>0</v>
      </c>
      <c r="L492" s="9" t="n">
        <v>1</v>
      </c>
      <c r="M492" s="9" t="n">
        <v>0</v>
      </c>
      <c r="N492" s="9" t="n">
        <v>0</v>
      </c>
      <c r="O492" s="10" t="n">
        <v>0</v>
      </c>
      <c r="P492" s="10" t="n">
        <v>0</v>
      </c>
      <c r="Q492" s="10" t="n">
        <v>0</v>
      </c>
      <c r="R492" s="10" t="n">
        <v>0</v>
      </c>
      <c r="S492" s="10" t="n">
        <v>1</v>
      </c>
    </row>
    <row r="493" ht="217" customHeight="1">
      <c r="A493" s="6">
        <f>IFERROR(__xludf.DUMMYFUNCTION("""COMPUTED_VALUE"""),"ROU - Școala Gimnazială nr. 9 „Nicolae Orghidan” Brașov")</f>
        <v/>
      </c>
      <c r="B493" s="6">
        <f>IFERROR(__xludf.DUMMYFUNCTION("""COMPUTED_VALUE"""),"Space")</f>
        <v/>
      </c>
      <c r="C493" s="6">
        <f>IFERROR(__xludf.DUMMYFUNCTION("""COMPUTED_VALUE"""),"Worth Sharing")</f>
        <v/>
      </c>
      <c r="D493" s="7">
        <f>IFERROR(__xludf.DUMMYFUNCTION("""COMPUTED_VALUE"""),"&lt;p&gt;Add here any ideas, experiences, videos, pictures, relevant to your work and/or to the project. Think that other teachers from your country or other countries can visit this space, if you allow it, looking for good ideas to implement in their practice."&amp;"&lt;/p&gt;")</f>
        <v/>
      </c>
      <c r="E493" s="7">
        <f>IFERROR(__xludf.DUMMYFUNCTION("""COMPUTED_VALUE"""),"No artifact embedded")</f>
        <v/>
      </c>
      <c r="F493" s="7" t="n"/>
      <c r="G493" s="8" t="n">
        <v>0</v>
      </c>
      <c r="H493" s="8" t="n">
        <v>0</v>
      </c>
      <c r="I493" s="8" t="n">
        <v>1</v>
      </c>
      <c r="J493" s="8" t="n">
        <v>0</v>
      </c>
      <c r="K493" s="9" t="n">
        <v>0</v>
      </c>
      <c r="L493" s="9" t="n">
        <v>1</v>
      </c>
      <c r="M493" s="9" t="n">
        <v>0</v>
      </c>
      <c r="N493" s="9" t="n">
        <v>0</v>
      </c>
      <c r="O493" s="10" t="n">
        <v>0</v>
      </c>
      <c r="P493" s="10" t="n">
        <v>0</v>
      </c>
      <c r="Q493" s="10" t="n">
        <v>0</v>
      </c>
      <c r="R493" s="10" t="n">
        <v>0</v>
      </c>
      <c r="S493" s="10" t="n">
        <v>1</v>
      </c>
    </row>
    <row r="494" ht="409.5" customHeight="1">
      <c r="A494" s="6">
        <f>IFERROR(__xludf.DUMMYFUNCTION("""COMPUTED_VALUE"""),"ROU - Școala Gimnazială nr. 9 „Nicolae Orghidan” Brașov")</f>
        <v/>
      </c>
      <c r="B494" s="6">
        <f>IFERROR(__xludf.DUMMYFUNCTION("""COMPUTED_VALUE"""),"Space")</f>
        <v/>
      </c>
      <c r="C494" s="6">
        <f>IFERROR(__xludf.DUMMYFUNCTION("""COMPUTED_VALUE"""),"Student's feedback")</f>
        <v/>
      </c>
      <c r="D494" s="7">
        <f>IFERROR(__xludf.DUMMYFUNCTION("""COMPUTED_VALUE"""),"&lt;p&gt;You can add here memorable quotes and pictures that you gathered during the implementation of the project. Alternatively, if you wish, you can create an individual portfolio with your students and add it here, either in the form of pictures, scans or y"&amp;"ou can create a space for your students clicking in the [+] below. If you decide to do so, each student must create a Graasp account and an e-mail should be sent to your national PLATON coordinator with all the names and e-mail contacts of the students to"&amp;" be given access to this platform.&lt;/p&gt;")</f>
        <v/>
      </c>
      <c r="E494" s="7">
        <f>IFERROR(__xludf.DUMMYFUNCTION("""COMPUTED_VALUE"""),"No artifact embedded")</f>
        <v/>
      </c>
      <c r="F494" s="7" t="n"/>
      <c r="G494" s="8" t="n">
        <v>0</v>
      </c>
      <c r="H494" s="8" t="n">
        <v>0</v>
      </c>
      <c r="I494" s="8" t="n">
        <v>0</v>
      </c>
      <c r="J494" s="8" t="n">
        <v>0</v>
      </c>
      <c r="K494" s="9" t="n">
        <v>0</v>
      </c>
      <c r="L494" s="9" t="n">
        <v>0</v>
      </c>
      <c r="M494" s="9" t="n">
        <v>0</v>
      </c>
      <c r="N494" s="9" t="n">
        <v>0</v>
      </c>
      <c r="O494" s="10" t="n">
        <v>0</v>
      </c>
      <c r="P494" s="10" t="n">
        <v>0</v>
      </c>
      <c r="Q494" s="10" t="n">
        <v>0</v>
      </c>
      <c r="R494" s="10" t="n">
        <v>0</v>
      </c>
      <c r="S494" s="10" t="n">
        <v>0</v>
      </c>
    </row>
    <row r="495" ht="157" customHeight="1">
      <c r="A495" s="6">
        <f>IFERROR(__xludf.DUMMYFUNCTION("""COMPUTED_VALUE"""),"ROU - Școala Gimnazială nr. 9 „Nicolae Orghidan” Brașov")</f>
        <v/>
      </c>
      <c r="B495" s="6">
        <f>IFERROR(__xludf.DUMMYFUNCTION("""COMPUTED_VALUE"""),"Application")</f>
        <v/>
      </c>
      <c r="C495" s="6">
        <f>IFERROR(__xludf.DUMMYFUNCTION("""COMPUTED_VALUE"""),"File Drop")</f>
        <v/>
      </c>
      <c r="D495" s="7">
        <f>IFERROR(__xludf.DUMMYFUNCTION("""COMPUTED_VALUE"""),"No task description")</f>
        <v/>
      </c>
      <c r="E495" s="7">
        <f>IFERROR(__xludf.DUMMYFUNCTION("""COMPUTED_VALUE"""),"Golabz app/lab: ""&lt;p&gt;This app allows students to upload files, e.g., assignment and reports, to the Inquiry learning Space. The app also allows teachers to download the uploaded files.&lt;/p&gt;\r\n""")</f>
        <v/>
      </c>
      <c r="F495" s="7" t="n"/>
      <c r="G495" s="8" t="n">
        <v>0</v>
      </c>
      <c r="H495" s="8" t="n">
        <v>0</v>
      </c>
      <c r="I495" s="8" t="n">
        <v>0</v>
      </c>
      <c r="J495" s="8" t="n">
        <v>0</v>
      </c>
      <c r="K495" s="9" t="n">
        <v>0</v>
      </c>
      <c r="L495" s="9" t="n">
        <v>0</v>
      </c>
      <c r="M495" s="9" t="n">
        <v>0</v>
      </c>
      <c r="N495" s="9" t="n">
        <v>0</v>
      </c>
      <c r="O495" s="10" t="n">
        <v>0</v>
      </c>
      <c r="P495" s="10" t="n">
        <v>0</v>
      </c>
      <c r="Q495" s="10" t="n">
        <v>0</v>
      </c>
      <c r="R495" s="10" t="n">
        <v>0</v>
      </c>
      <c r="S495" s="10" t="n">
        <v>0</v>
      </c>
    </row>
    <row r="496" ht="296" customHeight="1">
      <c r="A496" s="6">
        <f>IFERROR(__xludf.DUMMYFUNCTION("""COMPUTED_VALUE"""),"ROU - Școala Gimnazială nr. 9 „Nicolae Orghidan” Brașov")</f>
        <v/>
      </c>
      <c r="B496" s="6">
        <f>IFERROR(__xludf.DUMMYFUNCTION("""COMPUTED_VALUE"""),"Space")</f>
        <v/>
      </c>
      <c r="C496" s="6">
        <f>IFERROR(__xludf.DUMMYFUNCTION("""COMPUTED_VALUE"""),"Our team's feedback")</f>
        <v/>
      </c>
      <c r="D496" s="7">
        <f>IFERROR(__xludf.DUMMYFUNCTION("""COMPUTED_VALUE"""),"&lt;p&gt;Write here any recommendations and suggestions, as a team or individually, that you might have regarding PLATON methodology and resources. You are a pilot teacher for our project and this means that you are the first to test and implement it. Your opin"&amp;"ion is very valuable and will help us to refine and improve our work.&lt;/p&gt;")</f>
        <v/>
      </c>
      <c r="E496" s="7">
        <f>IFERROR(__xludf.DUMMYFUNCTION("""COMPUTED_VALUE"""),"No artifact embedded")</f>
        <v/>
      </c>
      <c r="F496" s="7" t="n"/>
      <c r="G496" s="8" t="n">
        <v>0</v>
      </c>
      <c r="H496" s="8" t="n">
        <v>0</v>
      </c>
      <c r="I496" s="8" t="n">
        <v>0</v>
      </c>
      <c r="J496" s="8" t="n">
        <v>0</v>
      </c>
      <c r="K496" s="9" t="n">
        <v>0</v>
      </c>
      <c r="L496" s="9" t="n">
        <v>0</v>
      </c>
      <c r="M496" s="9" t="n">
        <v>0</v>
      </c>
      <c r="N496" s="9" t="n">
        <v>0</v>
      </c>
      <c r="O496" s="10" t="n">
        <v>0</v>
      </c>
      <c r="P496" s="10" t="n">
        <v>0</v>
      </c>
      <c r="Q496" s="10" t="n">
        <v>0</v>
      </c>
      <c r="R496" s="10" t="n">
        <v>0</v>
      </c>
      <c r="S496" s="10" t="n">
        <v>0</v>
      </c>
    </row>
    <row r="497" ht="157" customHeight="1">
      <c r="A497" s="6">
        <f>IFERROR(__xludf.DUMMYFUNCTION("""COMPUTED_VALUE"""),"ROU - Școala Gimnazială nr. 9 „Nicolae Orghidan” Brașov")</f>
        <v/>
      </c>
      <c r="B497" s="6">
        <f>IFERROR(__xludf.DUMMYFUNCTION("""COMPUTED_VALUE"""),"Space")</f>
        <v/>
      </c>
      <c r="C497" s="6">
        <f>IFERROR(__xludf.DUMMYFUNCTION("""COMPUTED_VALUE"""),"Lessons learn't")</f>
        <v/>
      </c>
      <c r="D497" s="7">
        <f>IFERROR(__xludf.DUMMYFUNCTION("""COMPUTED_VALUE"""),"&lt;p&gt;From your work during the implementation what is it that stands out? What would you want to see in our final project compilation of work (roadmap)? Write here your reflections.&lt;/p&gt;")</f>
        <v/>
      </c>
      <c r="E497" s="7">
        <f>IFERROR(__xludf.DUMMYFUNCTION("""COMPUTED_VALUE"""),"No artifact embedded")</f>
        <v/>
      </c>
      <c r="F497" s="7" t="n"/>
      <c r="G497" s="8" t="n">
        <v>0</v>
      </c>
      <c r="H497" s="8" t="n">
        <v>0</v>
      </c>
      <c r="I497" s="8" t="n">
        <v>0</v>
      </c>
      <c r="J497" s="8" t="n">
        <v>0</v>
      </c>
      <c r="K497" s="9" t="n">
        <v>0</v>
      </c>
      <c r="L497" s="9" t="n">
        <v>0</v>
      </c>
      <c r="M497" s="9" t="n">
        <v>0</v>
      </c>
      <c r="N497" s="9" t="n">
        <v>0</v>
      </c>
      <c r="O497" s="10" t="n">
        <v>0</v>
      </c>
      <c r="P497" s="10" t="n">
        <v>0</v>
      </c>
      <c r="Q497" s="10" t="n">
        <v>0</v>
      </c>
      <c r="R497" s="10" t="n">
        <v>0</v>
      </c>
      <c r="S497" s="10" t="n">
        <v>0</v>
      </c>
    </row>
    <row r="498" ht="61" customHeight="1">
      <c r="A498" s="6">
        <f>IFERROR(__xludf.DUMMYFUNCTION("""COMPUTED_VALUE"""),"Robotic Arm")</f>
        <v/>
      </c>
      <c r="B498" s="6">
        <f>IFERROR(__xludf.DUMMYFUNCTION("""COMPUTED_VALUE"""),"Space")</f>
        <v/>
      </c>
      <c r="C498" s="6">
        <f>IFERROR(__xludf.DUMMYFUNCTION("""COMPUTED_VALUE"""),"Basic")</f>
        <v/>
      </c>
      <c r="D498" s="7">
        <f>IFERROR(__xludf.DUMMYFUNCTION("""COMPUTED_VALUE"""),"&lt;p&gt;YouTube  example used and programming RoboArm&lt;/p&gt;")</f>
        <v/>
      </c>
      <c r="E498" s="7">
        <f>IFERROR(__xludf.DUMMYFUNCTION("""COMPUTED_VALUE"""),"No artifact embedded")</f>
        <v/>
      </c>
      <c r="F498" s="7" t="n"/>
      <c r="G498" s="8" t="n">
        <v>0</v>
      </c>
      <c r="H498" s="8" t="n">
        <v>0</v>
      </c>
      <c r="I498" s="8" t="n">
        <v>0</v>
      </c>
      <c r="J498" s="8" t="n">
        <v>0</v>
      </c>
      <c r="K498" s="9" t="n">
        <v>0</v>
      </c>
      <c r="L498" s="9" t="n">
        <v>0</v>
      </c>
      <c r="M498" s="9" t="n">
        <v>0</v>
      </c>
      <c r="N498" s="9" t="n">
        <v>0</v>
      </c>
      <c r="O498" s="10" t="n">
        <v>0</v>
      </c>
      <c r="P498" s="10" t="n">
        <v>0</v>
      </c>
      <c r="Q498" s="10" t="n">
        <v>0</v>
      </c>
      <c r="R498" s="10" t="n">
        <v>0</v>
      </c>
      <c r="S498" s="10" t="n">
        <v>0</v>
      </c>
    </row>
    <row r="499" ht="121" customHeight="1">
      <c r="A499" s="6">
        <f>IFERROR(__xludf.DUMMYFUNCTION("""COMPUTED_VALUE"""),"Robotic Arm")</f>
        <v/>
      </c>
      <c r="B499" s="6">
        <f>IFERROR(__xludf.DUMMYFUNCTION("""COMPUTED_VALUE"""),"Resource")</f>
        <v/>
      </c>
      <c r="C499" s="6">
        <f>IFERROR(__xludf.DUMMYFUNCTION("""COMPUTED_VALUE"""),"ROBOARM")</f>
        <v/>
      </c>
      <c r="D499" s="7">
        <f>IFERROR(__xludf.DUMMYFUNCTION("""COMPUTED_VALUE"""),"No task description")</f>
        <v/>
      </c>
      <c r="E499" s="7">
        <f>IFERROR(__xludf.DUMMYFUNCTION("""COMPUTED_VALUE"""),"youtube.com: A widely known video-sharing platform where users can watch videos on a vast array of topics, including educational content.")</f>
        <v/>
      </c>
      <c r="F499" s="7" t="n"/>
      <c r="G499" s="8" t="n">
        <v>1</v>
      </c>
      <c r="H499" s="8" t="n">
        <v>0</v>
      </c>
      <c r="I499" s="8" t="n">
        <v>0</v>
      </c>
      <c r="J499" s="8" t="n">
        <v>0</v>
      </c>
      <c r="K499" s="9" t="n">
        <v>1</v>
      </c>
      <c r="L499" s="9" t="n">
        <v>0</v>
      </c>
      <c r="M499" s="9" t="n">
        <v>0</v>
      </c>
      <c r="N499" s="9" t="n">
        <v>0</v>
      </c>
      <c r="O499" s="10" t="n">
        <v>0</v>
      </c>
      <c r="P499" s="10" t="n">
        <v>0</v>
      </c>
      <c r="Q499" s="10" t="n">
        <v>0</v>
      </c>
      <c r="R499" s="10" t="n">
        <v>0</v>
      </c>
      <c r="S499" s="10" t="n">
        <v>0</v>
      </c>
    </row>
    <row r="500" ht="109" customHeight="1">
      <c r="A500" s="6">
        <f>IFERROR(__xludf.DUMMYFUNCTION("""COMPUTED_VALUE"""),"Robotic Arm")</f>
        <v/>
      </c>
      <c r="B500" s="6">
        <f>IFERROR(__xludf.DUMMYFUNCTION("""COMPUTED_VALUE"""),"Topic")</f>
        <v/>
      </c>
      <c r="C500" s="6">
        <f>IFERROR(__xludf.DUMMYFUNCTION("""COMPUTED_VALUE"""),"Interest theme")</f>
        <v/>
      </c>
      <c r="D500" s="7">
        <f>IFERROR(__xludf.DUMMYFUNCTION("""COMPUTED_VALUE"""),"No task description")</f>
        <v/>
      </c>
      <c r="E500" s="7">
        <f>IFERROR(__xludf.DUMMYFUNCTION("""COMPUTED_VALUE"""),"text/html – A webpage or web document that contains structured text, images, and links, designed for display in a web browser.")</f>
        <v/>
      </c>
      <c r="F500" s="7" t="n"/>
      <c r="G500" s="8" t="n">
        <v>0</v>
      </c>
      <c r="H500" s="8" t="n">
        <v>0</v>
      </c>
      <c r="I500" s="8" t="n">
        <v>0</v>
      </c>
      <c r="J500" s="8" t="n">
        <v>0</v>
      </c>
      <c r="K500" s="9" t="n">
        <v>0</v>
      </c>
      <c r="L500" s="9" t="n">
        <v>0</v>
      </c>
      <c r="M500" s="9" t="n">
        <v>0</v>
      </c>
      <c r="N500" s="9" t="n">
        <v>0</v>
      </c>
      <c r="O500" s="10" t="n">
        <v>0</v>
      </c>
      <c r="P500" s="10" t="n">
        <v>0</v>
      </c>
      <c r="Q500" s="10" t="n">
        <v>0</v>
      </c>
      <c r="R500" s="10" t="n">
        <v>0</v>
      </c>
      <c r="S500" s="10" t="n">
        <v>0</v>
      </c>
    </row>
    <row r="501" ht="37" customHeight="1">
      <c r="A501" s="6">
        <f>IFERROR(__xludf.DUMMYFUNCTION("""COMPUTED_VALUE"""),"Robotic Arm")</f>
        <v/>
      </c>
      <c r="B501" s="6">
        <f>IFERROR(__xludf.DUMMYFUNCTION("""COMPUTED_VALUE"""),"Space")</f>
        <v/>
      </c>
      <c r="C501" s="6">
        <f>IFERROR(__xludf.DUMMYFUNCTION("""COMPUTED_VALUE"""),"Start lecture")</f>
        <v/>
      </c>
      <c r="D501" s="7">
        <f>IFERROR(__xludf.DUMMYFUNCTION("""COMPUTED_VALUE"""),"&lt;p&gt;Types RoboArm&lt;/p&gt;&lt;p&gt;&lt;br&gt;&lt;/p&gt;")</f>
        <v/>
      </c>
      <c r="E501" s="7">
        <f>IFERROR(__xludf.DUMMYFUNCTION("""COMPUTED_VALUE"""),"No artifact embedded")</f>
        <v/>
      </c>
      <c r="F501" s="7" t="n"/>
      <c r="G501" s="8" t="n">
        <v>0</v>
      </c>
      <c r="H501" s="8" t="n">
        <v>0</v>
      </c>
      <c r="I501" s="8" t="n">
        <v>0</v>
      </c>
      <c r="J501" s="8" t="n">
        <v>0</v>
      </c>
      <c r="K501" s="9" t="n">
        <v>0</v>
      </c>
      <c r="L501" s="9" t="n">
        <v>0</v>
      </c>
      <c r="M501" s="9" t="n">
        <v>0</v>
      </c>
      <c r="N501" s="9" t="n">
        <v>0</v>
      </c>
      <c r="O501" s="10" t="n">
        <v>0</v>
      </c>
      <c r="P501" s="10" t="n">
        <v>0</v>
      </c>
      <c r="Q501" s="10" t="n">
        <v>0</v>
      </c>
      <c r="R501" s="10" t="n">
        <v>0</v>
      </c>
      <c r="S501" s="10" t="n">
        <v>0</v>
      </c>
    </row>
    <row r="502" ht="409.5" customHeight="1">
      <c r="A502" s="6">
        <f>IFERROR(__xludf.DUMMYFUNCTION("""COMPUTED_VALUE"""),"Robotic Arm")</f>
        <v/>
      </c>
      <c r="B502" s="6">
        <f>IFERROR(__xludf.DUMMYFUNCTION("""COMPUTED_VALUE"""),"Resource")</f>
        <v/>
      </c>
      <c r="C502" s="6">
        <f>IFERROR(__xludf.DUMMYFUNCTION("""COMPUTED_VALUE"""),"Robotic Arm Geometry")</f>
        <v/>
      </c>
      <c r="D502" s="7">
        <f>IFERROR(__xludf.DUMMYFUNCTION("""COMPUTED_VALUE"""),"In this video you learn more about the four main types of robotic arm geometry: rectangular, cylindrical, spherical and jointed spherical. This video explains each type of robotic arm and how they move.  More about this video:  technology simulation video"&amp;"s at http://www.engineertech.org.  Simulations provided free by Iowa Community Colleges. http://www.eicc.edu  This video was made by another YouTube user and made available for the use under the Creative Commons licence ""CC-BY"". Source channel: ""Engine"&amp;"ering Technology Simulation Learning Videos"" https://www.youtube.com/channel/UCxS0Ga0sAHX39LYkswiv63g")</f>
        <v/>
      </c>
      <c r="E502" s="7">
        <f>IFERROR(__xludf.DUMMYFUNCTION("""COMPUTED_VALUE"""),"youtube.com: A widely known video-sharing platform where users can watch videos on a vast array of topics, including educational content.")</f>
        <v/>
      </c>
      <c r="F502" s="7" t="n"/>
      <c r="G502" s="8" t="n">
        <v>1</v>
      </c>
      <c r="H502" s="8" t="n">
        <v>0</v>
      </c>
      <c r="I502" s="8" t="n">
        <v>0</v>
      </c>
      <c r="J502" s="8" t="n">
        <v>0</v>
      </c>
      <c r="K502" s="9" t="n">
        <v>1</v>
      </c>
      <c r="L502" s="9" t="n">
        <v>0</v>
      </c>
      <c r="M502" s="9" t="n">
        <v>0</v>
      </c>
      <c r="N502" s="9" t="n">
        <v>0</v>
      </c>
      <c r="O502" s="10" t="n">
        <v>1</v>
      </c>
      <c r="P502" s="10" t="n">
        <v>0</v>
      </c>
      <c r="Q502" s="10" t="n">
        <v>0</v>
      </c>
      <c r="R502" s="10" t="n">
        <v>0</v>
      </c>
      <c r="S502" s="10" t="n">
        <v>0</v>
      </c>
    </row>
    <row r="503" ht="109" customHeight="1">
      <c r="A503" s="6">
        <f>IFERROR(__xludf.DUMMYFUNCTION("""COMPUTED_VALUE"""),"Robotic Arm")</f>
        <v/>
      </c>
      <c r="B503" s="6">
        <f>IFERROR(__xludf.DUMMYFUNCTION("""COMPUTED_VALUE"""),"Topic")</f>
        <v/>
      </c>
      <c r="C503" s="6">
        <f>IFERROR(__xludf.DUMMYFUNCTION("""COMPUTED_VALUE"""),"Lecture questions")</f>
        <v/>
      </c>
      <c r="D503" s="7">
        <f>IFERROR(__xludf.DUMMYFUNCTION("""COMPUTED_VALUE"""),"&lt;p&gt;What general school subjects are utilized to study and work with the robotic arm?&lt;/p&gt;&lt;p&gt;&lt;br&gt;&lt;/p&gt;")</f>
        <v/>
      </c>
      <c r="E503" s="7">
        <f>IFERROR(__xludf.DUMMYFUNCTION("""COMPUTED_VALUE"""),"text/html – A webpage or web document that contains structured text, images, and links, designed for display in a web browser.")</f>
        <v/>
      </c>
      <c r="F503" s="7" t="n"/>
      <c r="G503" s="8" t="n">
        <v>1</v>
      </c>
      <c r="H503" s="8" t="n">
        <v>0</v>
      </c>
      <c r="I503" s="8" t="n">
        <v>0</v>
      </c>
      <c r="J503" s="8" t="n">
        <v>0</v>
      </c>
      <c r="K503" s="9" t="n">
        <v>1</v>
      </c>
      <c r="L503" s="9" t="n">
        <v>0</v>
      </c>
      <c r="M503" s="9" t="n">
        <v>0</v>
      </c>
      <c r="N503" s="9" t="n">
        <v>0</v>
      </c>
      <c r="O503" s="10" t="n">
        <v>1</v>
      </c>
      <c r="P503" s="10" t="n">
        <v>0</v>
      </c>
      <c r="Q503" s="10" t="n">
        <v>0</v>
      </c>
      <c r="R503" s="10" t="n">
        <v>0</v>
      </c>
      <c r="S503" s="10" t="n">
        <v>0</v>
      </c>
    </row>
    <row r="504" ht="296" customHeight="1">
      <c r="A504" s="6">
        <f>IFERROR(__xludf.DUMMYFUNCTION("""COMPUTED_VALUE"""),"Robotic Arm")</f>
        <v/>
      </c>
      <c r="B504" s="6">
        <f>IFERROR(__xludf.DUMMYFUNCTION("""COMPUTED_VALUE"""),"Application")</f>
        <v/>
      </c>
      <c r="C504" s="6">
        <f>IFERROR(__xludf.DUMMYFUNCTION("""COMPUTED_VALUE"""),"Quiz tool")</f>
        <v/>
      </c>
      <c r="D504" s="7">
        <f>IFERROR(__xludf.DUMMYFUNCTION("""COMPUTED_VALUE"""),"No task description")</f>
        <v/>
      </c>
      <c r="E5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04" s="7" t="n"/>
      <c r="G504" s="8" t="n">
        <v>0</v>
      </c>
      <c r="H504" s="8" t="n">
        <v>0</v>
      </c>
      <c r="I504" s="8" t="n">
        <v>0</v>
      </c>
      <c r="J504" s="8" t="n">
        <v>1</v>
      </c>
      <c r="K504" s="9" t="n">
        <v>0</v>
      </c>
      <c r="L504" s="9" t="n">
        <v>1</v>
      </c>
      <c r="M504" s="9" t="n">
        <v>0</v>
      </c>
      <c r="N504" s="9" t="n">
        <v>0</v>
      </c>
      <c r="O504" s="10" t="n">
        <v>0</v>
      </c>
      <c r="P504" s="10" t="n">
        <v>0</v>
      </c>
      <c r="Q504" s="10" t="n">
        <v>0</v>
      </c>
      <c r="R504" s="10" t="n">
        <v>0</v>
      </c>
      <c r="S504" s="10" t="n">
        <v>1</v>
      </c>
    </row>
    <row r="505" ht="61" customHeight="1">
      <c r="A505" s="6">
        <f>IFERROR(__xludf.DUMMYFUNCTION("""COMPUTED_VALUE"""),"Robotic Arm")</f>
        <v/>
      </c>
      <c r="B505" s="6">
        <f>IFERROR(__xludf.DUMMYFUNCTION("""COMPUTED_VALUE"""),"Space")</f>
        <v/>
      </c>
      <c r="C505" s="6">
        <f>IFERROR(__xludf.DUMMYFUNCTION("""COMPUTED_VALUE"""),"Specifications")</f>
        <v/>
      </c>
      <c r="D505" s="7">
        <f>IFERROR(__xludf.DUMMYFUNCTION("""COMPUTED_VALUE"""),"&lt;p&gt;The principle of the mechanism of robotic hands&lt;/p&gt;")</f>
        <v/>
      </c>
      <c r="E505" s="7">
        <f>IFERROR(__xludf.DUMMYFUNCTION("""COMPUTED_VALUE"""),"No artifact embedded")</f>
        <v/>
      </c>
      <c r="F505" s="7" t="n"/>
      <c r="G505" s="8" t="n">
        <v>0</v>
      </c>
      <c r="H505" s="8" t="n">
        <v>0</v>
      </c>
      <c r="I505" s="8" t="n">
        <v>0</v>
      </c>
      <c r="J505" s="8" t="n">
        <v>0</v>
      </c>
      <c r="K505" s="9" t="n">
        <v>0</v>
      </c>
      <c r="L505" s="9" t="n">
        <v>0</v>
      </c>
      <c r="M505" s="9" t="n">
        <v>0</v>
      </c>
      <c r="N505" s="9" t="n">
        <v>0</v>
      </c>
      <c r="O505" s="10" t="n">
        <v>0</v>
      </c>
      <c r="P505" s="10" t="n">
        <v>0</v>
      </c>
      <c r="Q505" s="10" t="n">
        <v>0</v>
      </c>
      <c r="R505" s="10" t="n">
        <v>0</v>
      </c>
      <c r="S505" s="10" t="n">
        <v>0</v>
      </c>
    </row>
    <row r="506" ht="121" customHeight="1">
      <c r="A506" s="6">
        <f>IFERROR(__xludf.DUMMYFUNCTION("""COMPUTED_VALUE"""),"Robotic Arm")</f>
        <v/>
      </c>
      <c r="B506" s="6">
        <f>IFERROR(__xludf.DUMMYFUNCTION("""COMPUTED_VALUE"""),"Resource")</f>
        <v/>
      </c>
      <c r="C506" s="6">
        <f>IFERROR(__xludf.DUMMYFUNCTION("""COMPUTED_VALUE"""),"Mechanisms")</f>
        <v/>
      </c>
      <c r="D506" s="7">
        <f>IFERROR(__xludf.DUMMYFUNCTION("""COMPUTED_VALUE"""),"No task description")</f>
        <v/>
      </c>
      <c r="E506" s="7">
        <f>IFERROR(__xludf.DUMMYFUNCTION("""COMPUTED_VALUE"""),"youtube.com: A widely known video-sharing platform where users can watch videos on a vast array of topics, including educational content.")</f>
        <v/>
      </c>
      <c r="F506" s="7" t="n"/>
      <c r="G506" s="8" t="n">
        <v>1</v>
      </c>
      <c r="H506" s="8" t="n">
        <v>0</v>
      </c>
      <c r="I506" s="8" t="n">
        <v>0</v>
      </c>
      <c r="J506" s="8" t="n">
        <v>0</v>
      </c>
      <c r="K506" s="9" t="n">
        <v>1</v>
      </c>
      <c r="L506" s="9" t="n">
        <v>0</v>
      </c>
      <c r="M506" s="9" t="n">
        <v>0</v>
      </c>
      <c r="N506" s="9" t="n">
        <v>0</v>
      </c>
      <c r="O506" s="10" t="n">
        <v>0</v>
      </c>
      <c r="P506" s="10" t="n">
        <v>0</v>
      </c>
      <c r="Q506" s="10" t="n">
        <v>0</v>
      </c>
      <c r="R506" s="10" t="n">
        <v>0</v>
      </c>
      <c r="S506" s="10" t="n">
        <v>0</v>
      </c>
    </row>
    <row r="507" ht="25" customHeight="1">
      <c r="A507" s="6">
        <f>IFERROR(__xludf.DUMMYFUNCTION("""COMPUTED_VALUE"""),"Robotic Arm")</f>
        <v/>
      </c>
      <c r="B507" s="6">
        <f>IFERROR(__xludf.DUMMYFUNCTION("""COMPUTED_VALUE"""),"Space")</f>
        <v/>
      </c>
      <c r="C507" s="6">
        <f>IFERROR(__xludf.DUMMYFUNCTION("""COMPUTED_VALUE"""),"Conclusion")</f>
        <v/>
      </c>
      <c r="D507" s="7">
        <f>IFERROR(__xludf.DUMMYFUNCTION("""COMPUTED_VALUE"""),"No task description")</f>
        <v/>
      </c>
      <c r="E507" s="7">
        <f>IFERROR(__xludf.DUMMYFUNCTION("""COMPUTED_VALUE"""),"No artifact embedded")</f>
        <v/>
      </c>
      <c r="F507" s="7" t="n"/>
      <c r="G507" s="8" t="n">
        <v>0</v>
      </c>
      <c r="H507" s="8" t="n">
        <v>0</v>
      </c>
      <c r="I507" s="8" t="n">
        <v>0</v>
      </c>
      <c r="J507" s="8" t="n">
        <v>0</v>
      </c>
      <c r="K507" s="9" t="n">
        <v>0</v>
      </c>
      <c r="L507" s="9" t="n">
        <v>0</v>
      </c>
      <c r="M507" s="9" t="n">
        <v>0</v>
      </c>
      <c r="N507" s="9" t="n">
        <v>0</v>
      </c>
      <c r="O507" s="10" t="n">
        <v>0</v>
      </c>
      <c r="P507" s="10" t="n">
        <v>0</v>
      </c>
      <c r="Q507" s="10" t="n">
        <v>0</v>
      </c>
      <c r="R507" s="10" t="n">
        <v>0</v>
      </c>
      <c r="S507" s="10" t="n">
        <v>0</v>
      </c>
    </row>
    <row r="508" ht="409.5" customHeight="1">
      <c r="A508" s="6">
        <f>IFERROR(__xludf.DUMMYFUNCTION("""COMPUTED_VALUE"""),"Robotic Arm")</f>
        <v/>
      </c>
      <c r="B508" s="6">
        <f>IFERROR(__xludf.DUMMYFUNCTION("""COMPUTED_VALUE"""),"Application")</f>
        <v/>
      </c>
      <c r="C508" s="6">
        <f>IFERROR(__xludf.DUMMYFUNCTION("""COMPUTED_VALUE"""),"Equilibrium of three forces")</f>
        <v/>
      </c>
      <c r="D508" s="7">
        <f>IFERROR(__xludf.DUMMYFUNCTION("""COMPUTED_VALUE"""),"No task description")</f>
        <v/>
      </c>
      <c r="E508" s="7">
        <f>IFERROR(__xludf.DUMMYFUNCTION("""COMPUTED_VALUE"""),"Golabz app/lab: &lt;p&gt;&lt;span style=""color: rgb(0, 0, 0); font-family: Arial, Helvetica, sans-serif; line-height: 20.8px;""&gt;A simple experiment concerning the&amp;nbsp;&lt;/span&gt;&lt;span class=""Begriff"" style=""font-family: Arial, Helvetica, sans-serif; line-height: "&amp;"20.8px; margin: 0px; padding: 0px; color: blue;""&gt;equilibrium of three forces&lt;/span&gt;&lt;span style=""color: rgb(0, 0, 0); font-family: Arial, Helvetica, sans-serif; line-height: 20.8px;""&gt;&amp;nbsp;is simulated here: Weights are suspended from three tied cords. "&amp;"Two of the cords run over frictionless pulleys. The three forces acting on the knot (coloured arrows) are in equilibrium.&lt;/span&gt;&lt;/p&gt;'")</f>
        <v/>
      </c>
      <c r="F508" s="7" t="n"/>
      <c r="G508" s="8" t="n">
        <v>0</v>
      </c>
      <c r="H508" s="8" t="n">
        <v>1</v>
      </c>
      <c r="I508" s="8" t="n">
        <v>0</v>
      </c>
      <c r="J508" s="8" t="n">
        <v>0</v>
      </c>
      <c r="K508" s="9" t="n">
        <v>1</v>
      </c>
      <c r="L508" s="9" t="n">
        <v>0</v>
      </c>
      <c r="M508" s="9" t="n">
        <v>0</v>
      </c>
      <c r="N508" s="9" t="n">
        <v>0</v>
      </c>
      <c r="O508" s="10" t="n">
        <v>0</v>
      </c>
      <c r="P508" s="10" t="n">
        <v>0</v>
      </c>
      <c r="Q508" s="10" t="n">
        <v>1</v>
      </c>
      <c r="R508" s="10" t="n">
        <v>0</v>
      </c>
      <c r="S508" s="10" t="n">
        <v>0</v>
      </c>
    </row>
    <row r="509" ht="49" customHeight="1">
      <c r="A509" s="6">
        <f>IFERROR(__xludf.DUMMYFUNCTION("""COMPUTED_VALUE"""),"Robotic Arm")</f>
        <v/>
      </c>
      <c r="B509" s="6">
        <f>IFERROR(__xludf.DUMMYFUNCTION("""COMPUTED_VALUE"""),"Space")</f>
        <v/>
      </c>
      <c r="C509" s="6">
        <f>IFERROR(__xludf.DUMMYFUNCTION("""COMPUTED_VALUE"""),"Discussion")</f>
        <v/>
      </c>
      <c r="D509" s="7">
        <f>IFERROR(__xludf.DUMMYFUNCTION("""COMPUTED_VALUE"""),"&lt;p&gt;Disccussion about hard questions in RoboArm&lt;/p&gt;")</f>
        <v/>
      </c>
      <c r="E509" s="7">
        <f>IFERROR(__xludf.DUMMYFUNCTION("""COMPUTED_VALUE"""),"No artifact embedded")</f>
        <v/>
      </c>
      <c r="F509" s="7" t="n"/>
      <c r="G509" s="8" t="n">
        <v>0</v>
      </c>
      <c r="H509" s="8" t="n">
        <v>0</v>
      </c>
      <c r="I509" s="8" t="n">
        <v>0</v>
      </c>
      <c r="J509" s="8" t="n">
        <v>0</v>
      </c>
      <c r="K509" s="9" t="n">
        <v>0</v>
      </c>
      <c r="L509" s="9" t="n">
        <v>0</v>
      </c>
      <c r="M509" s="9" t="n">
        <v>0</v>
      </c>
      <c r="N509" s="9" t="n">
        <v>0</v>
      </c>
      <c r="O509" s="10" t="n">
        <v>0</v>
      </c>
      <c r="P509" s="10" t="n">
        <v>0</v>
      </c>
      <c r="Q509" s="10" t="n">
        <v>0</v>
      </c>
      <c r="R509" s="10" t="n">
        <v>0</v>
      </c>
      <c r="S509" s="10" t="n">
        <v>0</v>
      </c>
    </row>
    <row r="510" ht="73" customHeight="1">
      <c r="A510" s="6">
        <f>IFERROR(__xludf.DUMMYFUNCTION("""COMPUTED_VALUE"""),"Robotic Arm")</f>
        <v/>
      </c>
      <c r="B510" s="6">
        <f>IFERROR(__xludf.DUMMYFUNCTION("""COMPUTED_VALUE"""),"Resource")</f>
        <v/>
      </c>
      <c r="C510" s="6">
        <f>IFERROR(__xludf.DUMMYFUNCTION("""COMPUTED_VALUE"""),"Log In | MindMeister")</f>
        <v/>
      </c>
      <c r="D510" s="7">
        <f>IFERROR(__xludf.DUMMYFUNCTION("""COMPUTED_VALUE"""),"No task description")</f>
        <v/>
      </c>
      <c r="E510" s="7">
        <f>IFERROR(__xludf.DUMMYFUNCTION("""COMPUTED_VALUE"""),"mindmeister.com: A mind mapping tool that allows users to create and share mind maps.")</f>
        <v/>
      </c>
      <c r="F510" s="7" t="n"/>
      <c r="G510" s="8" t="n">
        <v>0</v>
      </c>
      <c r="H510" s="8" t="n">
        <v>0</v>
      </c>
      <c r="I510" s="8" t="n">
        <v>0</v>
      </c>
      <c r="J510" s="8" t="n">
        <v>0</v>
      </c>
      <c r="K510" s="9" t="n">
        <v>0</v>
      </c>
      <c r="L510" s="9" t="n">
        <v>0</v>
      </c>
      <c r="M510" s="9" t="n">
        <v>0</v>
      </c>
      <c r="N510" s="9" t="n">
        <v>0</v>
      </c>
      <c r="O510" s="10" t="n">
        <v>0</v>
      </c>
      <c r="P510" s="10" t="n">
        <v>0</v>
      </c>
      <c r="Q510" s="10" t="n">
        <v>0</v>
      </c>
      <c r="R510" s="10" t="n">
        <v>0</v>
      </c>
      <c r="S510" s="10" t="n">
        <v>0</v>
      </c>
    </row>
    <row r="511" ht="25" customHeight="1">
      <c r="A511" s="6">
        <f>IFERROR(__xludf.DUMMYFUNCTION("""COMPUTED_VALUE"""),"Robotic Arm")</f>
        <v/>
      </c>
      <c r="B511" s="6">
        <f>IFERROR(__xludf.DUMMYFUNCTION("""COMPUTED_VALUE"""),"Space")</f>
        <v/>
      </c>
      <c r="C511" s="6">
        <f>IFERROR(__xludf.DUMMYFUNCTION("""COMPUTED_VALUE"""),"Teacher")</f>
        <v/>
      </c>
      <c r="D511" s="7">
        <f>IFERROR(__xludf.DUMMYFUNCTION("""COMPUTED_VALUE"""),"No task description")</f>
        <v/>
      </c>
      <c r="E511" s="7">
        <f>IFERROR(__xludf.DUMMYFUNCTION("""COMPUTED_VALUE"""),"No artifact embedded")</f>
        <v/>
      </c>
      <c r="F511" s="7" t="n"/>
      <c r="G511" s="8" t="n">
        <v>0</v>
      </c>
      <c r="H511" s="8" t="n">
        <v>0</v>
      </c>
      <c r="I511" s="8" t="n">
        <v>0</v>
      </c>
      <c r="J511" s="8" t="n">
        <v>0</v>
      </c>
      <c r="K511" s="9" t="n">
        <v>0</v>
      </c>
      <c r="L511" s="9" t="n">
        <v>0</v>
      </c>
      <c r="M511" s="9" t="n">
        <v>0</v>
      </c>
      <c r="N511" s="9" t="n">
        <v>0</v>
      </c>
      <c r="O511" s="10" t="n">
        <v>0</v>
      </c>
      <c r="P511" s="10" t="n">
        <v>0</v>
      </c>
      <c r="Q511" s="10" t="n">
        <v>0</v>
      </c>
      <c r="R511" s="10" t="n">
        <v>0</v>
      </c>
      <c r="S511" s="10" t="n">
        <v>0</v>
      </c>
    </row>
    <row r="512" ht="25" customHeight="1">
      <c r="A512" s="6">
        <f>IFERROR(__xludf.DUMMYFUNCTION("""COMPUTED_VALUE"""),"Robotic Arm")</f>
        <v/>
      </c>
      <c r="B512" s="6">
        <f>IFERROR(__xludf.DUMMYFUNCTION("""COMPUTED_VALUE"""),"Application")</f>
        <v/>
      </c>
      <c r="C512" s="6">
        <f>IFERROR(__xludf.DUMMYFUNCTION("""COMPUTED_VALUE"""),"Hypothesis Scratchpad")</f>
        <v/>
      </c>
      <c r="D512" s="7">
        <f>IFERROR(__xludf.DUMMYFUNCTION("""COMPUTED_VALUE"""),"No task description")</f>
        <v/>
      </c>
      <c r="E512" s="7">
        <f>IFERROR(__xludf.DUMMYFUNCTION("""COMPUTED_VALUE"""),"No artifact embedded")</f>
        <v/>
      </c>
      <c r="F512" s="7" t="n"/>
      <c r="G512" s="8" t="n">
        <v>0</v>
      </c>
      <c r="H512" s="8" t="n">
        <v>0</v>
      </c>
      <c r="I512" s="8" t="n">
        <v>0</v>
      </c>
      <c r="J512" s="8" t="n">
        <v>0</v>
      </c>
      <c r="K512" s="9" t="n">
        <v>0</v>
      </c>
      <c r="L512" s="9" t="n">
        <v>0</v>
      </c>
      <c r="M512" s="9" t="n">
        <v>0</v>
      </c>
      <c r="N512" s="9" t="n">
        <v>0</v>
      </c>
      <c r="O512" s="10" t="n">
        <v>0</v>
      </c>
      <c r="P512" s="10" t="n">
        <v>0</v>
      </c>
      <c r="Q512" s="10" t="n">
        <v>0</v>
      </c>
      <c r="R512" s="10" t="n">
        <v>0</v>
      </c>
      <c r="S512" s="10" t="n">
        <v>0</v>
      </c>
    </row>
    <row r="513" ht="25" customHeight="1">
      <c r="A513" s="6">
        <f>IFERROR(__xludf.DUMMYFUNCTION("""COMPUTED_VALUE"""),"Robotic Arm")</f>
        <v/>
      </c>
      <c r="B513" s="6">
        <f>IFERROR(__xludf.DUMMYFUNCTION("""COMPUTED_VALUE"""),"Application")</f>
        <v/>
      </c>
      <c r="C513" s="6">
        <f>IFERROR(__xludf.DUMMYFUNCTION("""COMPUTED_VALUE"""),"F.A.Q")</f>
        <v/>
      </c>
      <c r="D513" s="7">
        <f>IFERROR(__xludf.DUMMYFUNCTION("""COMPUTED_VALUE"""),"&lt;p&gt;F.A.Q.&lt;/p&gt;")</f>
        <v/>
      </c>
      <c r="E513" s="7">
        <f>IFERROR(__xludf.DUMMYFUNCTION("""COMPUTED_VALUE"""),"No artifact embedded")</f>
        <v/>
      </c>
      <c r="F513" s="7" t="n"/>
      <c r="G513" s="8" t="n">
        <v>0</v>
      </c>
      <c r="H513" s="8" t="n">
        <v>0</v>
      </c>
      <c r="I513" s="8" t="n">
        <v>0</v>
      </c>
      <c r="J513" s="8" t="n">
        <v>0</v>
      </c>
      <c r="K513" s="9" t="n">
        <v>0</v>
      </c>
      <c r="L513" s="9" t="n">
        <v>0</v>
      </c>
      <c r="M513" s="9" t="n">
        <v>0</v>
      </c>
      <c r="N513" s="9" t="n">
        <v>0</v>
      </c>
      <c r="O513" s="10" t="n">
        <v>0</v>
      </c>
      <c r="P513" s="10" t="n">
        <v>0</v>
      </c>
      <c r="Q513" s="10" t="n">
        <v>0</v>
      </c>
      <c r="R513" s="10" t="n">
        <v>0</v>
      </c>
      <c r="S513" s="10" t="n">
        <v>0</v>
      </c>
    </row>
    <row r="514" ht="25" customHeight="1">
      <c r="A514" s="6">
        <f>IFERROR(__xludf.DUMMYFUNCTION("""COMPUTED_VALUE"""),"Robotic Arm")</f>
        <v/>
      </c>
      <c r="B514" s="6">
        <f>IFERROR(__xludf.DUMMYFUNCTION("""COMPUTED_VALUE"""),"Application")</f>
        <v/>
      </c>
      <c r="C514" s="6">
        <f>IFERROR(__xludf.DUMMYFUNCTION("""COMPUTED_VALUE"""),"Mechanical Equivalent of Heat")</f>
        <v/>
      </c>
      <c r="D514" s="7">
        <f>IFERROR(__xludf.DUMMYFUNCTION("""COMPUTED_VALUE"""),"No task description")</f>
        <v/>
      </c>
      <c r="E514" s="7">
        <f>IFERROR(__xludf.DUMMYFUNCTION("""COMPUTED_VALUE"""),"No artifact embedded")</f>
        <v/>
      </c>
      <c r="F514" s="7" t="n"/>
      <c r="G514" s="8" t="n">
        <v>0</v>
      </c>
      <c r="H514" s="8" t="n">
        <v>0</v>
      </c>
      <c r="I514" s="8" t="n">
        <v>0</v>
      </c>
      <c r="J514" s="8" t="n">
        <v>0</v>
      </c>
      <c r="K514" s="9" t="n">
        <v>0</v>
      </c>
      <c r="L514" s="9" t="n">
        <v>0</v>
      </c>
      <c r="M514" s="9" t="n">
        <v>0</v>
      </c>
      <c r="N514" s="9" t="n">
        <v>0</v>
      </c>
      <c r="O514" s="10" t="n">
        <v>0</v>
      </c>
      <c r="P514" s="10" t="n">
        <v>0</v>
      </c>
      <c r="Q514" s="10" t="n">
        <v>0</v>
      </c>
      <c r="R514" s="10" t="n">
        <v>0</v>
      </c>
      <c r="S514" s="10" t="n">
        <v>0</v>
      </c>
    </row>
    <row r="515" ht="25" customHeight="1">
      <c r="A515" s="6">
        <f>IFERROR(__xludf.DUMMYFUNCTION("""COMPUTED_VALUE"""),"Robotic Arm")</f>
        <v/>
      </c>
      <c r="B515" s="6">
        <f>IFERROR(__xludf.DUMMYFUNCTION("""COMPUTED_VALUE"""),"Application")</f>
        <v/>
      </c>
      <c r="C515" s="6">
        <f>IFERROR(__xludf.DUMMYFUNCTION("""COMPUTED_VALUE"""),"Universal Gravity Lab")</f>
        <v/>
      </c>
      <c r="D515" s="7">
        <f>IFERROR(__xludf.DUMMYFUNCTION("""COMPUTED_VALUE"""),"No task description")</f>
        <v/>
      </c>
      <c r="E515" s="7">
        <f>IFERROR(__xludf.DUMMYFUNCTION("""COMPUTED_VALUE"""),"No artifact embedded")</f>
        <v/>
      </c>
      <c r="F515" s="7" t="n"/>
      <c r="G515" s="8" t="n">
        <v>0</v>
      </c>
      <c r="H515" s="8" t="n">
        <v>0</v>
      </c>
      <c r="I515" s="8" t="n">
        <v>0</v>
      </c>
      <c r="J515" s="8" t="n">
        <v>0</v>
      </c>
      <c r="K515" s="9" t="n">
        <v>0</v>
      </c>
      <c r="L515" s="9" t="n">
        <v>0</v>
      </c>
      <c r="M515" s="9" t="n">
        <v>0</v>
      </c>
      <c r="N515" s="9" t="n">
        <v>0</v>
      </c>
      <c r="O515" s="10" t="n">
        <v>0</v>
      </c>
      <c r="P515" s="10" t="n">
        <v>0</v>
      </c>
      <c r="Q515" s="10" t="n">
        <v>0</v>
      </c>
      <c r="R515" s="10" t="n">
        <v>0</v>
      </c>
      <c r="S515" s="10" t="n">
        <v>0</v>
      </c>
    </row>
    <row r="516" ht="409.5" customHeight="1">
      <c r="A516" s="6">
        <f>IFERROR(__xludf.DUMMYFUNCTION("""COMPUTED_VALUE"""),"Racism in modern society")</f>
        <v/>
      </c>
      <c r="B516" s="6">
        <f>IFERROR(__xludf.DUMMYFUNCTION("""COMPUTED_VALUE"""),"Space")</f>
        <v/>
      </c>
      <c r="C516" s="6">
        <f>IFERROR(__xludf.DUMMYFUNCTION("""COMPUTED_VALUE"""),"Orientation")</f>
        <v/>
      </c>
      <c r="D516" s="7">
        <f>IFERROR(__xludf.DUMMYFUNCTION("""COMPUTED_VALUE"""),"&lt;p&gt;         Racism is prejudice, discrimination, or antagonism directed against someone of a different race based on the belief that one's own race is superior.&lt;/p&gt;&lt;p&gt;         Racism is one of the most revolting things within humanity. It haunts our past "&amp;"and degrades our future. There may be many reasons why one race of people believes they are superior to another but a great majority of people don’t truly know why they react the way; they just do; many just on the sight of someone of a different race.&lt;br"&amp;"&gt;         Today we will attempt to examine, from a social learning perspective, the root causes of racism as well as the culture and the effects racism has upon society.&lt;/p&gt;")</f>
        <v/>
      </c>
      <c r="E516" s="7">
        <f>IFERROR(__xludf.DUMMYFUNCTION("""COMPUTED_VALUE"""),"No artifact embedded")</f>
        <v/>
      </c>
      <c r="F516" s="7" t="n"/>
      <c r="G516" s="8" t="n">
        <v>1</v>
      </c>
      <c r="H516" s="8" t="n">
        <v>0</v>
      </c>
      <c r="I516" s="8" t="n">
        <v>0</v>
      </c>
      <c r="J516" s="8" t="n">
        <v>0</v>
      </c>
      <c r="K516" s="9" t="n">
        <v>1</v>
      </c>
      <c r="L516" s="9" t="n">
        <v>0</v>
      </c>
      <c r="M516" s="9" t="n">
        <v>0</v>
      </c>
      <c r="N516" s="9" t="n">
        <v>0</v>
      </c>
      <c r="O516" s="10" t="n">
        <v>1</v>
      </c>
      <c r="P516" s="10" t="n">
        <v>0</v>
      </c>
      <c r="Q516" s="10" t="n">
        <v>0</v>
      </c>
      <c r="R516" s="10" t="n">
        <v>0</v>
      </c>
      <c r="S516" s="10" t="n">
        <v>0</v>
      </c>
    </row>
    <row r="517" ht="121" customHeight="1">
      <c r="A517" s="6">
        <f>IFERROR(__xludf.DUMMYFUNCTION("""COMPUTED_VALUE"""),"Racism in modern society")</f>
        <v/>
      </c>
      <c r="B517" s="6">
        <f>IFERROR(__xludf.DUMMYFUNCTION("""COMPUTED_VALUE"""),"Resource")</f>
        <v/>
      </c>
      <c r="C517" s="6">
        <f>IFERROR(__xludf.DUMMYFUNCTION("""COMPUTED_VALUE"""),"Stop racism")</f>
        <v/>
      </c>
      <c r="D517" s="7">
        <f>IFERROR(__xludf.DUMMYFUNCTION("""COMPUTED_VALUE"""),"No task description")</f>
        <v/>
      </c>
      <c r="E517" s="7">
        <f>IFERROR(__xludf.DUMMYFUNCTION("""COMPUTED_VALUE"""),"image/jpeg – A digital photograph or web image stored in a compressed format, often used for photography and web graphics.")</f>
        <v/>
      </c>
      <c r="F517" s="7" t="n"/>
      <c r="G517" s="8" t="n">
        <v>1</v>
      </c>
      <c r="H517" s="8" t="n">
        <v>0</v>
      </c>
      <c r="I517" s="8" t="n">
        <v>0</v>
      </c>
      <c r="J517" s="8" t="n">
        <v>0</v>
      </c>
      <c r="K517" s="9" t="n">
        <v>1</v>
      </c>
      <c r="L517" s="9" t="n">
        <v>0</v>
      </c>
      <c r="M517" s="9" t="n">
        <v>0</v>
      </c>
      <c r="N517" s="9" t="n">
        <v>0</v>
      </c>
      <c r="O517" s="10" t="n">
        <v>0</v>
      </c>
      <c r="P517" s="10" t="n">
        <v>0</v>
      </c>
      <c r="Q517" s="10" t="n">
        <v>0</v>
      </c>
      <c r="R517" s="10" t="n">
        <v>0</v>
      </c>
      <c r="S517" s="10" t="n">
        <v>0</v>
      </c>
    </row>
    <row r="518" ht="121" customHeight="1">
      <c r="A518" s="6">
        <f>IFERROR(__xludf.DUMMYFUNCTION("""COMPUTED_VALUE"""),"Racism in modern society")</f>
        <v/>
      </c>
      <c r="B518" s="6">
        <f>IFERROR(__xludf.DUMMYFUNCTION("""COMPUTED_VALUE"""),"Resource")</f>
        <v/>
      </c>
      <c r="C518" s="6">
        <f>IFERROR(__xludf.DUMMYFUNCTION("""COMPUTED_VALUE"""),"Stop racism (1)")</f>
        <v/>
      </c>
      <c r="D518" s="7">
        <f>IFERROR(__xludf.DUMMYFUNCTION("""COMPUTED_VALUE"""),"41s""")</f>
        <v/>
      </c>
      <c r="E518" s="7">
        <f>IFERROR(__xludf.DUMMYFUNCTION("""COMPUTED_VALUE"""),"image/jpeg – A digital photograph or web image stored in a compressed format, often used for photography and web graphics.")</f>
        <v/>
      </c>
      <c r="F518" s="7" t="n"/>
      <c r="G518" s="8" t="n">
        <v>1</v>
      </c>
      <c r="H518" s="8" t="n">
        <v>0</v>
      </c>
      <c r="I518" s="8" t="n">
        <v>0</v>
      </c>
      <c r="J518" s="8" t="n">
        <v>0</v>
      </c>
      <c r="K518" s="9" t="n">
        <v>1</v>
      </c>
      <c r="L518" s="9" t="n">
        <v>0</v>
      </c>
      <c r="M518" s="9" t="n">
        <v>0</v>
      </c>
      <c r="N518" s="9" t="n">
        <v>0</v>
      </c>
      <c r="O518" s="10" t="n">
        <v>0</v>
      </c>
      <c r="P518" s="10" t="n">
        <v>0</v>
      </c>
      <c r="Q518" s="10" t="n">
        <v>0</v>
      </c>
      <c r="R518" s="10" t="n">
        <v>0</v>
      </c>
      <c r="S518" s="10" t="n">
        <v>0</v>
      </c>
    </row>
    <row r="519" ht="121" customHeight="1">
      <c r="A519" s="6">
        <f>IFERROR(__xludf.DUMMYFUNCTION("""COMPUTED_VALUE"""),"Racism in modern society")</f>
        <v/>
      </c>
      <c r="B519" s="6">
        <f>IFERROR(__xludf.DUMMYFUNCTION("""COMPUTED_VALUE"""),"Resource")</f>
        <v/>
      </c>
      <c r="C519" s="6">
        <f>IFERROR(__xludf.DUMMYFUNCTION("""COMPUTED_VALUE"""),"Stop racism (2)")</f>
        <v/>
      </c>
      <c r="D519" s="7">
        <f>IFERROR(__xludf.DUMMYFUNCTION("""COMPUTED_VALUE"""),"No task description")</f>
        <v/>
      </c>
      <c r="E519" s="7">
        <f>IFERROR(__xludf.DUMMYFUNCTION("""COMPUTED_VALUE"""),"image/jpeg – A digital photograph or web image stored in a compressed format, often used for photography and web graphics.")</f>
        <v/>
      </c>
      <c r="F519" s="7" t="n"/>
      <c r="G519" s="8" t="n">
        <v>1</v>
      </c>
      <c r="H519" s="8" t="n">
        <v>0</v>
      </c>
      <c r="I519" s="8" t="n">
        <v>0</v>
      </c>
      <c r="J519" s="8" t="n">
        <v>0</v>
      </c>
      <c r="K519" s="9" t="n">
        <v>1</v>
      </c>
      <c r="L519" s="9" t="n">
        <v>0</v>
      </c>
      <c r="M519" s="9" t="n">
        <v>0</v>
      </c>
      <c r="N519" s="9" t="n">
        <v>0</v>
      </c>
      <c r="O519" s="10" t="n">
        <v>0</v>
      </c>
      <c r="P519" s="10" t="n">
        <v>0</v>
      </c>
      <c r="Q519" s="10" t="n">
        <v>0</v>
      </c>
      <c r="R519" s="10" t="n">
        <v>0</v>
      </c>
      <c r="S519" s="10" t="n">
        <v>0</v>
      </c>
    </row>
    <row r="520" ht="157" customHeight="1">
      <c r="A520" s="6">
        <f>IFERROR(__xludf.DUMMYFUNCTION("""COMPUTED_VALUE"""),"Racism in modern society")</f>
        <v/>
      </c>
      <c r="B520" s="6">
        <f>IFERROR(__xludf.DUMMYFUNCTION("""COMPUTED_VALUE"""),"Space")</f>
        <v/>
      </c>
      <c r="C520" s="6">
        <f>IFERROR(__xludf.DUMMYFUNCTION("""COMPUTED_VALUE"""),"Conceptualisation")</f>
        <v/>
      </c>
      <c r="D520" s="7">
        <f>IFERROR(__xludf.DUMMYFUNCTION("""COMPUTED_VALUE"""),"&lt;p&gt;Work through the materials attached and watch the videos to be ready for discussion concerning our topic as well as to express your own thoughts and attitude to it.&lt;br&gt;&lt;/p&gt;")</f>
        <v/>
      </c>
      <c r="E520" s="7">
        <f>IFERROR(__xludf.DUMMYFUNCTION("""COMPUTED_VALUE"""),"No artifact embedded")</f>
        <v/>
      </c>
      <c r="F520" s="7" t="n"/>
      <c r="G520" s="8" t="n">
        <v>0</v>
      </c>
      <c r="H520" s="8" t="n">
        <v>0</v>
      </c>
      <c r="I520" s="8" t="n">
        <v>0</v>
      </c>
      <c r="J520" s="8" t="n">
        <v>1</v>
      </c>
      <c r="K520" s="9" t="n">
        <v>1</v>
      </c>
      <c r="L520" s="9" t="n">
        <v>0</v>
      </c>
      <c r="M520" s="9" t="n">
        <v>1</v>
      </c>
      <c r="N520" s="9" t="n">
        <v>0</v>
      </c>
      <c r="O520" s="10" t="n">
        <v>1</v>
      </c>
      <c r="P520" s="10" t="n">
        <v>0</v>
      </c>
      <c r="Q520" s="10" t="n">
        <v>0</v>
      </c>
      <c r="R520" s="10" t="n">
        <v>0</v>
      </c>
      <c r="S520" s="10" t="n">
        <v>1</v>
      </c>
    </row>
    <row r="521" ht="109" customHeight="1">
      <c r="A521" s="6">
        <f>IFERROR(__xludf.DUMMYFUNCTION("""COMPUTED_VALUE"""),"Racism in modern society")</f>
        <v/>
      </c>
      <c r="B521" s="6">
        <f>IFERROR(__xludf.DUMMYFUNCTION("""COMPUTED_VALUE"""),"Resource")</f>
        <v/>
      </c>
      <c r="C521" s="6">
        <f>IFERROR(__xludf.DUMMYFUNCTION("""COMPUTED_VALUE"""),"Racism")</f>
        <v/>
      </c>
      <c r="D521" s="7">
        <f>IFERROR(__xludf.DUMMYFUNCTION("""COMPUTED_VALUE"""),"No task description")</f>
        <v/>
      </c>
      <c r="E521" s="7">
        <f>IFERROR(__xludf.DUMMYFUNCTION("""COMPUTED_VALUE"""),"internesque.com: This domain appears to host essays or articles on various topics, including discussions on racism.")</f>
        <v/>
      </c>
      <c r="F521" s="7" t="n"/>
      <c r="G521" s="8" t="n">
        <v>1</v>
      </c>
      <c r="H521" s="8" t="n">
        <v>0</v>
      </c>
      <c r="I521" s="8" t="n">
        <v>0</v>
      </c>
      <c r="J521" s="8" t="n">
        <v>0</v>
      </c>
      <c r="K521" s="9" t="n">
        <v>1</v>
      </c>
      <c r="L521" s="9" t="n">
        <v>0</v>
      </c>
      <c r="M521" s="9" t="n">
        <v>0</v>
      </c>
      <c r="N521" s="9" t="n">
        <v>0</v>
      </c>
      <c r="O521" s="10" t="n">
        <v>0</v>
      </c>
      <c r="P521" s="10" t="n">
        <v>0</v>
      </c>
      <c r="Q521" s="10" t="n">
        <v>0</v>
      </c>
      <c r="R521" s="10" t="n">
        <v>0</v>
      </c>
      <c r="S521" s="10" t="n">
        <v>0</v>
      </c>
    </row>
    <row r="522" ht="97" customHeight="1">
      <c r="A522" s="6">
        <f>IFERROR(__xludf.DUMMYFUNCTION("""COMPUTED_VALUE"""),"Racism in modern society")</f>
        <v/>
      </c>
      <c r="B522" s="6">
        <f>IFERROR(__xludf.DUMMYFUNCTION("""COMPUTED_VALUE"""),"Resource")</f>
        <v/>
      </c>
      <c r="C522" s="6">
        <f>IFERROR(__xludf.DUMMYFUNCTION("""COMPUTED_VALUE"""),"MODERN RACISM: THE CAUSE, CULTURE, AND EFFECTS-THE RESULT OF SOCIAL LEARNING")</f>
        <v/>
      </c>
      <c r="D522" s="7">
        <f>IFERROR(__xludf.DUMMYFUNCTION("""COMPUTED_VALUE"""),"No task description")</f>
        <v/>
      </c>
      <c r="E522" s="7">
        <f>IFERROR(__xludf.DUMMYFUNCTION("""COMPUTED_VALUE"""),"psychsocialissues.com: Discusses psychological and social issues, including articles on modern racism.")</f>
        <v/>
      </c>
      <c r="F522" s="7" t="n"/>
      <c r="G522" s="8" t="n">
        <v>1</v>
      </c>
      <c r="H522" s="8" t="n">
        <v>0</v>
      </c>
      <c r="I522" s="8" t="n">
        <v>0</v>
      </c>
      <c r="J522" s="8" t="n">
        <v>0</v>
      </c>
      <c r="K522" s="9" t="n">
        <v>1</v>
      </c>
      <c r="L522" s="9" t="n">
        <v>0</v>
      </c>
      <c r="M522" s="9" t="n">
        <v>0</v>
      </c>
      <c r="N522" s="9" t="n">
        <v>0</v>
      </c>
      <c r="O522" s="10" t="n">
        <v>0</v>
      </c>
      <c r="P522" s="10" t="n">
        <v>0</v>
      </c>
      <c r="Q522" s="10" t="n">
        <v>0</v>
      </c>
      <c r="R522" s="10" t="n">
        <v>0</v>
      </c>
      <c r="S522" s="10" t="n">
        <v>0</v>
      </c>
    </row>
    <row r="523" ht="133" customHeight="1">
      <c r="A523" s="6">
        <f>IFERROR(__xludf.DUMMYFUNCTION("""COMPUTED_VALUE"""),"Racism in modern society")</f>
        <v/>
      </c>
      <c r="B523" s="6">
        <f>IFERROR(__xludf.DUMMYFUNCTION("""COMPUTED_VALUE"""),"Resource")</f>
        <v/>
      </c>
      <c r="C523" s="6">
        <f>IFERROR(__xludf.DUMMYFUNCTION("""COMPUTED_VALUE"""),"Racism and discrimination in Ukraine")</f>
        <v/>
      </c>
      <c r="D523" s="7">
        <f>IFERROR(__xludf.DUMMYFUNCTION("""COMPUTED_VALUE"""),"No task description")</f>
        <v/>
      </c>
      <c r="E523" s="7">
        <f>IFERROR(__xludf.DUMMYFUNCTION("""COMPUTED_VALUE"""),"en.wikipedia.org: The English version of Wikipedia, a free online encyclopedia, offering articles on topics like racism and discrimination in Ukraine.")</f>
        <v/>
      </c>
      <c r="F523" s="7" t="n"/>
      <c r="G523" s="8" t="n">
        <v>1</v>
      </c>
      <c r="H523" s="8" t="n">
        <v>0</v>
      </c>
      <c r="I523" s="8" t="n">
        <v>0</v>
      </c>
      <c r="J523" s="8" t="n">
        <v>0</v>
      </c>
      <c r="K523" s="9" t="n">
        <v>1</v>
      </c>
      <c r="L523" s="9" t="n">
        <v>0</v>
      </c>
      <c r="M523" s="9" t="n">
        <v>0</v>
      </c>
      <c r="N523" s="9" t="n">
        <v>0</v>
      </c>
      <c r="O523" s="10" t="n">
        <v>0</v>
      </c>
      <c r="P523" s="10" t="n">
        <v>0</v>
      </c>
      <c r="Q523" s="10" t="n">
        <v>0</v>
      </c>
      <c r="R523" s="10" t="n">
        <v>0</v>
      </c>
      <c r="S523" s="10" t="n">
        <v>0</v>
      </c>
    </row>
    <row r="524" ht="121" customHeight="1">
      <c r="A524" s="6">
        <f>IFERROR(__xludf.DUMMYFUNCTION("""COMPUTED_VALUE"""),"Racism in modern society")</f>
        <v/>
      </c>
      <c r="B524" s="6">
        <f>IFERROR(__xludf.DUMMYFUNCTION("""COMPUTED_VALUE"""),"Resource")</f>
        <v/>
      </c>
      <c r="C524" s="6">
        <f>IFERROR(__xludf.DUMMYFUNCTION("""COMPUTED_VALUE"""),"The Science Of Racism")</f>
        <v/>
      </c>
      <c r="D524" s="7">
        <f>IFERROR(__xludf.DUMMYFUNCTION("""COMPUTED_VALUE"""),"&lt;p&gt;Why are some people racist, but others are not?&lt;/p&gt;")</f>
        <v/>
      </c>
      <c r="E524" s="7">
        <f>IFERROR(__xludf.DUMMYFUNCTION("""COMPUTED_VALUE"""),"youtube.com: A widely known video-sharing platform where users can watch videos on a vast array of topics, including educational content.")</f>
        <v/>
      </c>
      <c r="F524" s="7" t="n"/>
      <c r="G524" s="8" t="n">
        <v>1</v>
      </c>
      <c r="H524" s="8" t="n">
        <v>0</v>
      </c>
      <c r="I524" s="8" t="n">
        <v>0</v>
      </c>
      <c r="J524" s="8" t="n">
        <v>0</v>
      </c>
      <c r="K524" s="9" t="n">
        <v>1</v>
      </c>
      <c r="L524" s="9" t="n">
        <v>0</v>
      </c>
      <c r="M524" s="9" t="n">
        <v>0</v>
      </c>
      <c r="N524" s="9" t="n">
        <v>0</v>
      </c>
      <c r="O524" s="10" t="n">
        <v>1</v>
      </c>
      <c r="P524" s="10" t="n">
        <v>0</v>
      </c>
      <c r="Q524" s="10" t="n">
        <v>0</v>
      </c>
      <c r="R524" s="10" t="n">
        <v>0</v>
      </c>
      <c r="S524" s="10" t="n">
        <v>0</v>
      </c>
    </row>
    <row r="525" ht="121" customHeight="1">
      <c r="A525" s="6">
        <f>IFERROR(__xludf.DUMMYFUNCTION("""COMPUTED_VALUE"""),"Racism in modern society")</f>
        <v/>
      </c>
      <c r="B525" s="6">
        <f>IFERROR(__xludf.DUMMYFUNCTION("""COMPUTED_VALUE"""),"Resource")</f>
        <v/>
      </c>
      <c r="C525" s="6">
        <f>IFERROR(__xludf.DUMMYFUNCTION("""COMPUTED_VALUE"""),"THE RACISM EXPERIMENT!")</f>
        <v/>
      </c>
      <c r="D525" s="7">
        <f>IFERROR(__xludf.DUMMYFUNCTION("""COMPUTED_VALUE"""),"No task description")</f>
        <v/>
      </c>
      <c r="E525" s="7">
        <f>IFERROR(__xludf.DUMMYFUNCTION("""COMPUTED_VALUE"""),"youtube.com: A widely known video-sharing platform where users can watch videos on a vast array of topics, including educational content.")</f>
        <v/>
      </c>
      <c r="F525" s="7" t="n"/>
      <c r="G525" s="8" t="n">
        <v>1</v>
      </c>
      <c r="H525" s="8" t="n">
        <v>0</v>
      </c>
      <c r="I525" s="8" t="n">
        <v>0</v>
      </c>
      <c r="J525" s="8" t="n">
        <v>0</v>
      </c>
      <c r="K525" s="9" t="n">
        <v>1</v>
      </c>
      <c r="L525" s="9" t="n">
        <v>0</v>
      </c>
      <c r="M525" s="9" t="n">
        <v>0</v>
      </c>
      <c r="N525" s="9" t="n">
        <v>0</v>
      </c>
      <c r="O525" s="10" t="n">
        <v>0</v>
      </c>
      <c r="P525" s="10" t="n">
        <v>0</v>
      </c>
      <c r="Q525" s="10" t="n">
        <v>0</v>
      </c>
      <c r="R525" s="10" t="n">
        <v>0</v>
      </c>
      <c r="S525" s="10" t="n">
        <v>0</v>
      </c>
    </row>
    <row r="526" ht="181" customHeight="1">
      <c r="A526" s="6">
        <f>IFERROR(__xludf.DUMMYFUNCTION("""COMPUTED_VALUE"""),"Racism in modern society")</f>
        <v/>
      </c>
      <c r="B526" s="6">
        <f>IFERROR(__xludf.DUMMYFUNCTION("""COMPUTED_VALUE"""),"Space")</f>
        <v/>
      </c>
      <c r="C526" s="6">
        <f>IFERROR(__xludf.DUMMYFUNCTION("""COMPUTED_VALUE"""),"Discussion")</f>
        <v/>
      </c>
      <c r="D526" s="7">
        <f>IFERROR(__xludf.DUMMYFUNCTION("""COMPUTED_VALUE"""),"&lt;p&gt;Here you can find the discussion concerning racism in modern society. You're welcome to express your opinion as well as comment opinions of your peers.&lt;/p&gt;&lt;p&gt;The questions are inside the discussion.&lt;/p&gt;")</f>
        <v/>
      </c>
      <c r="E526" s="7">
        <f>IFERROR(__xludf.DUMMYFUNCTION("""COMPUTED_VALUE"""),"No artifact embedded")</f>
        <v/>
      </c>
      <c r="F526" s="7" t="n"/>
      <c r="G526" s="8" t="n">
        <v>0</v>
      </c>
      <c r="H526" s="8" t="n">
        <v>0</v>
      </c>
      <c r="I526" s="8" t="n">
        <v>0</v>
      </c>
      <c r="J526" s="8" t="n">
        <v>1</v>
      </c>
      <c r="K526" s="9" t="n">
        <v>0</v>
      </c>
      <c r="L526" s="9" t="n">
        <v>0</v>
      </c>
      <c r="M526" s="9" t="n">
        <v>1</v>
      </c>
      <c r="N526" s="9" t="n">
        <v>0</v>
      </c>
      <c r="O526" s="10" t="n">
        <v>0</v>
      </c>
      <c r="P526" s="10" t="n">
        <v>0</v>
      </c>
      <c r="Q526" s="10" t="n">
        <v>0</v>
      </c>
      <c r="R526" s="10" t="n">
        <v>0</v>
      </c>
      <c r="S526" s="10" t="n">
        <v>1</v>
      </c>
    </row>
    <row r="527" ht="285" customHeight="1">
      <c r="A527" s="6">
        <f>IFERROR(__xludf.DUMMYFUNCTION("""COMPUTED_VALUE"""),"Racism in modern society")</f>
        <v/>
      </c>
      <c r="B527" s="6">
        <f>IFERROR(__xludf.DUMMYFUNCTION("""COMPUTED_VALUE"""),"Topic")</f>
        <v/>
      </c>
      <c r="C527" s="6">
        <f>IFERROR(__xludf.DUMMYFUNCTION("""COMPUTED_VALUE"""),"Your attitude to racism")</f>
        <v/>
      </c>
      <c r="D527" s="7">
        <f>IFERROR(__xludf.DUMMYFUNCTION("""COMPUTED_VALUE"""),"&lt;p&gt;Please, share your opinion concerning the following questions: &lt;/p&gt;&lt;p&gt;1) What causes people to be racist?&lt;/p&gt;&lt;p&gt;2) Is there the way to teach people not to be racists?&lt;/p&gt;&lt;p&gt;3) How do you think racism will disappear over time? Aren’t older people more r"&amp;"acists and younger generations more progressive?&lt;/p&gt;")</f>
        <v/>
      </c>
      <c r="E527" s="7">
        <f>IFERROR(__xludf.DUMMYFUNCTION("""COMPUTED_VALUE"""),"text/html – A webpage or web document that contains structured text, images, and links, designed for display in a web browser.")</f>
        <v/>
      </c>
      <c r="F527" s="7" t="n"/>
      <c r="G527" s="8" t="n">
        <v>0</v>
      </c>
      <c r="H527" s="8" t="n">
        <v>0</v>
      </c>
      <c r="I527" s="8" t="n">
        <v>1</v>
      </c>
      <c r="J527" s="8" t="n">
        <v>0</v>
      </c>
      <c r="K527" s="9" t="n">
        <v>0</v>
      </c>
      <c r="L527" s="9" t="n">
        <v>1</v>
      </c>
      <c r="M527" s="9" t="n">
        <v>0</v>
      </c>
      <c r="N527" s="9" t="n">
        <v>0</v>
      </c>
      <c r="O527" s="10" t="n">
        <v>0</v>
      </c>
      <c r="P527" s="10" t="n">
        <v>0</v>
      </c>
      <c r="Q527" s="10" t="n">
        <v>0</v>
      </c>
      <c r="R527" s="10" t="n">
        <v>0</v>
      </c>
      <c r="S527" s="10" t="n">
        <v>1</v>
      </c>
    </row>
    <row r="528" ht="409.5" customHeight="1">
      <c r="A528" s="6">
        <f>IFERROR(__xludf.DUMMYFUNCTION("""COMPUTED_VALUE"""),"Racism in modern society")</f>
        <v/>
      </c>
      <c r="B528" s="6">
        <f>IFERROR(__xludf.DUMMYFUNCTION("""COMPUTED_VALUE"""),"Space")</f>
        <v/>
      </c>
      <c r="C528" s="6">
        <f>IFERROR(__xludf.DUMMYFUNCTION("""COMPUTED_VALUE"""),"Investigation")</f>
        <v/>
      </c>
      <c r="D528" s="7">
        <f>IFERROR(__xludf.DUMMYFUNCTION("""COMPUTED_VALUE"""),"&lt;p&gt;Your tasks:&lt;/p&gt;&lt;p&gt;1) Listen the audio about Sojourner Truth, who was an African American anti-slavery campaigner and lived during the American Civil war, when African Americans were seen as inferior to white people, and women were seen as inferior to m"&amp;"en. &lt;/p&gt;&lt;p&gt;You can find some new words with explanations below.&lt;/p&gt;&lt;p&gt;Glossary&lt;br&gt;abolition (n.): act or state of ending (an activity, custom, etc.) officially.&lt;br&gt;campaigner (n.): a person who takes part in organized activities which are intended to chan"&amp;"ge something in society.&lt;br&gt;compelling (adj.): forceful and able to persuade.&lt;br&gt;dislocate (v.): to force (a bone) suddenly out of its correct position.&lt;br&gt;odd jobs (n.): a variety of jobs, esp. in the house or garden.&lt;br&gt;preacher (n.): a person, usually "&amp;"a priest, who gives a religious speech.&lt;br&gt;predominant (adj.): being the most noticeable, important or largest in number.&lt;br&gt;streetcar (n.) (American – British English = tram): an electric vehicle that transports people, usually in cities, and goes along "&amp;"metal tracks in the road.&lt;/p&gt;&lt;p&gt;2) Write your summary in Ukrainian.&lt;/p&gt;&lt;p&gt;5) Answer the questions.&lt;/p&gt;")</f>
        <v/>
      </c>
      <c r="E528" s="7">
        <f>IFERROR(__xludf.DUMMYFUNCTION("""COMPUTED_VALUE"""),"No artifact embedded")</f>
        <v/>
      </c>
      <c r="F528" s="7" t="n"/>
      <c r="G528" s="8" t="n">
        <v>0</v>
      </c>
      <c r="H528" s="8" t="n">
        <v>0</v>
      </c>
      <c r="I528" s="8" t="n">
        <v>1</v>
      </c>
      <c r="J528" s="8" t="n">
        <v>0</v>
      </c>
      <c r="K528" s="9" t="n">
        <v>0</v>
      </c>
      <c r="L528" s="9" t="n">
        <v>1</v>
      </c>
      <c r="M528" s="9" t="n">
        <v>0</v>
      </c>
      <c r="N528" s="9" t="n">
        <v>0</v>
      </c>
      <c r="O528" s="10" t="n">
        <v>1</v>
      </c>
      <c r="P528" s="10" t="n">
        <v>0</v>
      </c>
      <c r="Q528" s="10" t="n">
        <v>0</v>
      </c>
      <c r="R528" s="10" t="n">
        <v>0</v>
      </c>
      <c r="S528" s="10" t="n">
        <v>0</v>
      </c>
    </row>
    <row r="529" ht="241" customHeight="1">
      <c r="A529" s="6">
        <f>IFERROR(__xludf.DUMMYFUNCTION("""COMPUTED_VALUE"""),"Racism in modern society")</f>
        <v/>
      </c>
      <c r="B529" s="6">
        <f>IFERROR(__xludf.DUMMYFUNCTION("""COMPUTED_VALUE"""),"Application")</f>
        <v/>
      </c>
      <c r="C529" s="6">
        <f>IFERROR(__xludf.DUMMYFUNCTION("""COMPUTED_VALUE"""),"Summary")</f>
        <v/>
      </c>
      <c r="D529" s="7">
        <f>IFERROR(__xludf.DUMMYFUNCTION("""COMPUTED_VALUE"""),"No task description")</f>
        <v/>
      </c>
      <c r="E52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29" s="7" t="n"/>
      <c r="G529" s="8" t="n">
        <v>0</v>
      </c>
      <c r="H529" s="8" t="n">
        <v>0</v>
      </c>
      <c r="I529" s="8" t="n">
        <v>1</v>
      </c>
      <c r="J529" s="8" t="n">
        <v>0</v>
      </c>
      <c r="K529" s="9" t="n">
        <v>0</v>
      </c>
      <c r="L529" s="9" t="n">
        <v>1</v>
      </c>
      <c r="M529" s="9" t="n">
        <v>0</v>
      </c>
      <c r="N529" s="9" t="n">
        <v>0</v>
      </c>
      <c r="O529" s="10" t="n">
        <v>0</v>
      </c>
      <c r="P529" s="10" t="n">
        <v>0</v>
      </c>
      <c r="Q529" s="10" t="n">
        <v>0</v>
      </c>
      <c r="R529" s="10" t="n">
        <v>0</v>
      </c>
      <c r="S529" s="10" t="n">
        <v>0</v>
      </c>
    </row>
    <row r="530" ht="241" customHeight="1">
      <c r="A530" s="6">
        <f>IFERROR(__xludf.DUMMYFUNCTION("""COMPUTED_VALUE"""),"Racism in modern society")</f>
        <v/>
      </c>
      <c r="B530" s="6">
        <f>IFERROR(__xludf.DUMMYFUNCTION("""COMPUTED_VALUE"""),"Application")</f>
        <v/>
      </c>
      <c r="C530" s="6">
        <f>IFERROR(__xludf.DUMMYFUNCTION("""COMPUTED_VALUE"""),"Questions")</f>
        <v/>
      </c>
      <c r="D530" s="7">
        <f>IFERROR(__xludf.DUMMYFUNCTION("""COMPUTED_VALUE"""),"No task description")</f>
        <v/>
      </c>
      <c r="E530"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30" s="7" t="n"/>
      <c r="G530" s="8" t="n">
        <v>0</v>
      </c>
      <c r="H530" s="8" t="n">
        <v>0</v>
      </c>
      <c r="I530" s="8" t="n">
        <v>1</v>
      </c>
      <c r="J530" s="8" t="n">
        <v>0</v>
      </c>
      <c r="K530" s="9" t="n">
        <v>0</v>
      </c>
      <c r="L530" s="9" t="n">
        <v>1</v>
      </c>
      <c r="M530" s="9" t="n">
        <v>0</v>
      </c>
      <c r="N530" s="9" t="n">
        <v>0</v>
      </c>
      <c r="O530" s="10" t="n">
        <v>0</v>
      </c>
      <c r="P530" s="10" t="n">
        <v>0</v>
      </c>
      <c r="Q530" s="10" t="n">
        <v>0</v>
      </c>
      <c r="R530" s="10" t="n">
        <v>0</v>
      </c>
      <c r="S530" s="10" t="n">
        <v>0</v>
      </c>
    </row>
    <row r="531" ht="73" customHeight="1">
      <c r="A531" s="6">
        <f>IFERROR(__xludf.DUMMYFUNCTION("""COMPUTED_VALUE"""),"Racism in modern society")</f>
        <v/>
      </c>
      <c r="B531" s="6">
        <f>IFERROR(__xludf.DUMMYFUNCTION("""COMPUTED_VALUE"""),"Application")</f>
        <v/>
      </c>
      <c r="C531" s="6">
        <f>IFERROR(__xludf.DUMMYFUNCTION("""COMPUTED_VALUE"""),"Teacher Feedback")</f>
        <v/>
      </c>
      <c r="D531" s="7">
        <f>IFERROR(__xludf.DUMMYFUNCTION("""COMPUTED_VALUE"""),"No task description")</f>
        <v/>
      </c>
      <c r="E531" s="7">
        <f>IFERROR(__xludf.DUMMYFUNCTION("""COMPUTED_VALUE"""),"Golabz app/lab: ""&lt;p&gt;A tool where teachers can provide feedback to students&lt;/p&gt;\r\n""")</f>
        <v/>
      </c>
      <c r="F531" s="7" t="n"/>
      <c r="G531" s="8" t="n">
        <v>1</v>
      </c>
      <c r="H531" s="8" t="n">
        <v>0</v>
      </c>
      <c r="I531" s="8" t="n">
        <v>0</v>
      </c>
      <c r="J531" s="8" t="n">
        <v>0</v>
      </c>
      <c r="K531" s="9" t="n">
        <v>1</v>
      </c>
      <c r="L531" s="9" t="n">
        <v>0</v>
      </c>
      <c r="M531" s="9" t="n">
        <v>0</v>
      </c>
      <c r="N531" s="9" t="n">
        <v>0</v>
      </c>
      <c r="O531" s="10" t="n">
        <v>0</v>
      </c>
      <c r="P531" s="10" t="n">
        <v>0</v>
      </c>
      <c r="Q531" s="10" t="n">
        <v>0</v>
      </c>
      <c r="R531" s="10" t="n">
        <v>0</v>
      </c>
      <c r="S531" s="10" t="n">
        <v>1</v>
      </c>
    </row>
    <row r="532" ht="307" customHeight="1">
      <c r="A532" s="6">
        <f>IFERROR(__xludf.DUMMYFUNCTION("""COMPUTED_VALUE"""),"Racism in modern society")</f>
        <v/>
      </c>
      <c r="B532" s="6">
        <f>IFERROR(__xludf.DUMMYFUNCTION("""COMPUTED_VALUE"""),"Space")</f>
        <v/>
      </c>
      <c r="C532" s="6">
        <f>IFERROR(__xludf.DUMMYFUNCTION("""COMPUTED_VALUE"""),"Conclusion")</f>
        <v/>
      </c>
      <c r="D532" s="7">
        <f>IFERROR(__xludf.DUMMYFUNCTION("""COMPUTED_VALUE"""),"&lt;p&gt;Dear students, &lt;/p&gt;&lt;p&gt;Have you ever thought about the act of racism? Do you ever wonder if you are a racist? This quiz will make you think about this topic more in depth and hopefully you will realize something new about your self that never occurred t"&amp;"o you before you took this quiz. The main thing to remember while completing this quiz, is to be as honest as possible!&lt;/p&gt;")</f>
        <v/>
      </c>
      <c r="E532" s="7">
        <f>IFERROR(__xludf.DUMMYFUNCTION("""COMPUTED_VALUE"""),"No artifact embedded")</f>
        <v/>
      </c>
      <c r="F532" s="7" t="n"/>
      <c r="G532" s="8" t="n">
        <v>0</v>
      </c>
      <c r="H532" s="8" t="n">
        <v>0</v>
      </c>
      <c r="I532" s="8" t="n">
        <v>0</v>
      </c>
      <c r="J532" s="8" t="n">
        <v>1</v>
      </c>
      <c r="K532" s="9" t="n">
        <v>0</v>
      </c>
      <c r="L532" s="9" t="n">
        <v>1</v>
      </c>
      <c r="M532" s="9" t="n">
        <v>0</v>
      </c>
      <c r="N532" s="9" t="n">
        <v>0</v>
      </c>
      <c r="O532" s="10" t="n">
        <v>0</v>
      </c>
      <c r="P532" s="10" t="n">
        <v>0</v>
      </c>
      <c r="Q532" s="10" t="n">
        <v>0</v>
      </c>
      <c r="R532" s="10" t="n">
        <v>0</v>
      </c>
      <c r="S532" s="10" t="n">
        <v>1</v>
      </c>
    </row>
    <row r="533" ht="133" customHeight="1">
      <c r="A533" s="6">
        <f>IFERROR(__xludf.DUMMYFUNCTION("""COMPUTED_VALUE"""),"Racism in modern society")</f>
        <v/>
      </c>
      <c r="B533" s="6">
        <f>IFERROR(__xludf.DUMMYFUNCTION("""COMPUTED_VALUE"""),"Resource")</f>
        <v/>
      </c>
      <c r="C533" s="6">
        <f>IFERROR(__xludf.DUMMYFUNCTION("""COMPUTED_VALUE"""),"Are You Racist? Quiz - ProProfs Quiz")</f>
        <v/>
      </c>
      <c r="D533" s="7">
        <f>IFERROR(__xludf.DUMMYFUNCTION("""COMPUTED_VALUE"""),"Have you ever thought about the act of racism? Do you ever wonder if you are a racist? This quiz will make you think about this topic more in depth and hopefull...")</f>
        <v/>
      </c>
      <c r="E533" s="7">
        <f>IFERROR(__xludf.DUMMYFUNCTION("""COMPUTED_VALUE"""),"proprofs.com: Provides quizzes and educational tools, including personality quizzes on topics like racism.")</f>
        <v/>
      </c>
      <c r="F533" s="7" t="n"/>
      <c r="G533" s="8" t="n">
        <v>0</v>
      </c>
      <c r="H533" s="8" t="n">
        <v>0</v>
      </c>
      <c r="I533" s="8" t="n">
        <v>1</v>
      </c>
      <c r="J533" s="8" t="n">
        <v>0</v>
      </c>
      <c r="K533" s="9" t="n">
        <v>0</v>
      </c>
      <c r="L533" s="9" t="n">
        <v>1</v>
      </c>
      <c r="M533" s="9" t="n">
        <v>0</v>
      </c>
      <c r="N533" s="9" t="n">
        <v>0</v>
      </c>
      <c r="O533" s="10" t="n">
        <v>0</v>
      </c>
      <c r="P533" s="10" t="n">
        <v>0</v>
      </c>
      <c r="Q533" s="10" t="n">
        <v>0</v>
      </c>
      <c r="R533" s="10" t="n">
        <v>0</v>
      </c>
      <c r="S533" s="10" t="n">
        <v>1</v>
      </c>
    </row>
    <row r="534" ht="25" customHeight="1">
      <c r="A534" s="6">
        <f>IFERROR(__xludf.DUMMYFUNCTION("""COMPUTED_VALUE"""),"Bending of Light")</f>
        <v/>
      </c>
      <c r="B534" s="6">
        <f>IFERROR(__xludf.DUMMYFUNCTION("""COMPUTED_VALUE"""),"Space")</f>
        <v/>
      </c>
      <c r="C534" s="6">
        <f>IFERROR(__xludf.DUMMYFUNCTION("""COMPUTED_VALUE"""),"Orientation")</f>
        <v/>
      </c>
      <c r="D534" s="7">
        <f>IFERROR(__xludf.DUMMYFUNCTION("""COMPUTED_VALUE"""),"&lt;p&gt;Background&lt;/p&gt;")</f>
        <v/>
      </c>
      <c r="E534" s="7">
        <f>IFERROR(__xludf.DUMMYFUNCTION("""COMPUTED_VALUE"""),"No artifact embedded")</f>
        <v/>
      </c>
      <c r="F534" s="7" t="n"/>
      <c r="G534" s="8" t="n">
        <v>0</v>
      </c>
      <c r="H534" s="8" t="n">
        <v>0</v>
      </c>
      <c r="I534" s="8" t="n">
        <v>0</v>
      </c>
      <c r="J534" s="8" t="n">
        <v>0</v>
      </c>
      <c r="K534" s="9" t="n">
        <v>0</v>
      </c>
      <c r="L534" s="9" t="n">
        <v>0</v>
      </c>
      <c r="M534" s="9" t="n">
        <v>0</v>
      </c>
      <c r="N534" s="9" t="n">
        <v>0</v>
      </c>
      <c r="O534" s="10" t="n">
        <v>0</v>
      </c>
      <c r="P534" s="10" t="n">
        <v>0</v>
      </c>
      <c r="Q534" s="10" t="n">
        <v>0</v>
      </c>
      <c r="R534" s="10" t="n">
        <v>0</v>
      </c>
      <c r="S534" s="10" t="n">
        <v>0</v>
      </c>
    </row>
    <row r="535" ht="409.5" customHeight="1">
      <c r="A535" s="6">
        <f>IFERROR(__xludf.DUMMYFUNCTION("""COMPUTED_VALUE"""),"Bending of Light")</f>
        <v/>
      </c>
      <c r="B535" s="6">
        <f>IFERROR(__xludf.DUMMYFUNCTION("""COMPUTED_VALUE"""),"Resource")</f>
        <v/>
      </c>
      <c r="C535" s="6">
        <f>IFERROR(__xludf.DUMMYFUNCTION("""COMPUTED_VALUE"""),"Hello Scientists.docx")</f>
        <v/>
      </c>
      <c r="D535" s="7">
        <f>IFERROR(__xludf.DUMMYFUNCTION("""COMPUTED_VALUE"""),"Hello Scientists!! We already know about the property of rectilinear propagation of light, that is, light travels in a straight line. Formation of shadows and eclipses are direct consequences of rectilinear propagation of light. Similarly, formation of da"&amp;"y and night suggests that light travels in a straight line (see the figure below). If it was not so, the light would have curved around the earth and there would have been sunlight during night. When a beam of sunlight enters a dark room through a small h"&amp;"ole, we can see a beam of light travelling in a straight line. Watch the demonstration of the rectilinear propagation of light below. Here, three cardboards are taken (A,B and C) with fine holes at their centres. A lighted candle is placed on one side and"&amp;" boards are arranged such that the holes are in the straight line. Viewing from the other side, it is found that light from the candle is seen only if all the three holes are in the straight line. If one of the cardboard is displaced sideways, light is no"&amp;" longer seen. This clearly shows that light travels in a straight line.")</f>
        <v/>
      </c>
      <c r="E535" s="7">
        <f>IFERROR(__xludf.DUMMYFUNCTION("""COMPUTED_VALUE"""),"application/vnd.openxmlformats-officedocument.wordprocessingml.document – A Microsoft Word document (DOCX), typically containing formatted text, images, and tables.")</f>
        <v/>
      </c>
      <c r="F535" s="7" t="n"/>
      <c r="G535" s="8" t="n">
        <v>1</v>
      </c>
      <c r="H535" s="8" t="n">
        <v>0</v>
      </c>
      <c r="I535" s="8" t="n">
        <v>0</v>
      </c>
      <c r="J535" s="8" t="n">
        <v>0</v>
      </c>
      <c r="K535" s="9" t="n">
        <v>1</v>
      </c>
      <c r="L535" s="9" t="n">
        <v>0</v>
      </c>
      <c r="M535" s="9" t="n">
        <v>0</v>
      </c>
      <c r="N535" s="9" t="n">
        <v>0</v>
      </c>
      <c r="O535" s="10" t="n">
        <v>1</v>
      </c>
      <c r="P535" s="10" t="n">
        <v>0</v>
      </c>
      <c r="Q535" s="10" t="n">
        <v>0</v>
      </c>
      <c r="R535" s="10" t="n">
        <v>0</v>
      </c>
      <c r="S535" s="10" t="n">
        <v>0</v>
      </c>
    </row>
    <row r="536" ht="121" customHeight="1">
      <c r="A536" s="6">
        <f>IFERROR(__xludf.DUMMYFUNCTION("""COMPUTED_VALUE"""),"Bending of Light")</f>
        <v/>
      </c>
      <c r="B536" s="6">
        <f>IFERROR(__xludf.DUMMYFUNCTION("""COMPUTED_VALUE"""),"Resource")</f>
        <v/>
      </c>
      <c r="C536" s="6">
        <f>IFERROR(__xludf.DUMMYFUNCTION("""COMPUTED_VALUE"""),"straight line.mp4")</f>
        <v/>
      </c>
      <c r="D536" s="7">
        <f>IFERROR(__xludf.DUMMYFUNCTION("""COMPUTED_VALUE"""),"No task description")</f>
        <v/>
      </c>
      <c r="E536" s="7">
        <f>IFERROR(__xludf.DUMMYFUNCTION("""COMPUTED_VALUE"""),"video/mp4 – A video file containing moving images and possibly audio, suitable for playback on most modern devices and platforms.")</f>
        <v/>
      </c>
      <c r="F536" s="7" t="n"/>
      <c r="G536" s="8" t="n">
        <v>1</v>
      </c>
      <c r="H536" s="8" t="n">
        <v>0</v>
      </c>
      <c r="I536" s="8" t="n">
        <v>0</v>
      </c>
      <c r="J536" s="8" t="n">
        <v>0</v>
      </c>
      <c r="K536" s="9" t="n">
        <v>1</v>
      </c>
      <c r="L536" s="9" t="n">
        <v>0</v>
      </c>
      <c r="M536" s="9" t="n">
        <v>0</v>
      </c>
      <c r="N536" s="9" t="n">
        <v>0</v>
      </c>
      <c r="O536" s="10" t="n">
        <v>0</v>
      </c>
      <c r="P536" s="10" t="n">
        <v>0</v>
      </c>
      <c r="Q536" s="10" t="n">
        <v>0</v>
      </c>
      <c r="R536" s="10" t="n">
        <v>0</v>
      </c>
      <c r="S536" s="10" t="n">
        <v>0</v>
      </c>
    </row>
    <row r="537" ht="121" customHeight="1">
      <c r="A537" s="6">
        <f>IFERROR(__xludf.DUMMYFUNCTION("""COMPUTED_VALUE"""),"Bending of Light")</f>
        <v/>
      </c>
      <c r="B537" s="6">
        <f>IFERROR(__xludf.DUMMYFUNCTION("""COMPUTED_VALUE"""),"Resource")</f>
        <v/>
      </c>
      <c r="C537" s="6">
        <f>IFERROR(__xludf.DUMMYFUNCTION("""COMPUTED_VALUE"""),"Bending of Light.mp4")</f>
        <v/>
      </c>
      <c r="D537" s="7">
        <f>IFERROR(__xludf.DUMMYFUNCTION("""COMPUTED_VALUE"""),"&lt;p&gt;Now, watch this video very carefully.&lt;/p&gt;")</f>
        <v/>
      </c>
      <c r="E537" s="7">
        <f>IFERROR(__xludf.DUMMYFUNCTION("""COMPUTED_VALUE"""),"video/mp4 – A video file containing moving images and possibly audio, suitable for playback on most modern devices and platforms.")</f>
        <v/>
      </c>
      <c r="F537" s="7" t="n"/>
      <c r="G537" s="8" t="n">
        <v>1</v>
      </c>
      <c r="H537" s="8" t="n">
        <v>0</v>
      </c>
      <c r="I537" s="8" t="n">
        <v>0</v>
      </c>
      <c r="J537" s="8" t="n">
        <v>0</v>
      </c>
      <c r="K537" s="9" t="n">
        <v>1</v>
      </c>
      <c r="L537" s="9" t="n">
        <v>0</v>
      </c>
      <c r="M537" s="9" t="n">
        <v>0</v>
      </c>
      <c r="N537" s="9" t="n">
        <v>0</v>
      </c>
      <c r="O537" s="10" t="n">
        <v>1</v>
      </c>
      <c r="P537" s="10" t="n">
        <v>0</v>
      </c>
      <c r="Q537" s="10" t="n">
        <v>0</v>
      </c>
      <c r="R537" s="10" t="n">
        <v>0</v>
      </c>
      <c r="S537" s="10" t="n">
        <v>0</v>
      </c>
    </row>
    <row r="538" ht="329" customHeight="1">
      <c r="A538" s="6">
        <f>IFERROR(__xludf.DUMMYFUNCTION("""COMPUTED_VALUE"""),"Bending of Light")</f>
        <v/>
      </c>
      <c r="B538" s="6">
        <f>IFERROR(__xludf.DUMMYFUNCTION("""COMPUTED_VALUE"""),"Application")</f>
        <v/>
      </c>
      <c r="C538" s="6">
        <f>IFERROR(__xludf.DUMMYFUNCTION("""COMPUTED_VALUE"""),"Input Box")</f>
        <v/>
      </c>
      <c r="D538" s="7">
        <f>IFERROR(__xludf.DUMMYFUNCTION("""COMPUTED_VALUE"""),"&lt;p&gt;&lt;br&gt;&lt;/p&gt;&lt;p&gt;What did you observe? Did you see anything that contradicts the fact that you know about light?&lt;/p&gt;&lt;p&gt; Think for a minute, write your answer in the space provided below and share your answers with your peers and teacher.&lt;/p&gt;")</f>
        <v/>
      </c>
      <c r="E5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38" s="7" t="n"/>
      <c r="G538" s="8" t="n">
        <v>0</v>
      </c>
      <c r="H538" s="8" t="n">
        <v>0</v>
      </c>
      <c r="I538" s="8" t="n">
        <v>0</v>
      </c>
      <c r="J538" s="8" t="n">
        <v>1</v>
      </c>
      <c r="K538" s="9" t="n">
        <v>0</v>
      </c>
      <c r="L538" s="9" t="n">
        <v>1</v>
      </c>
      <c r="M538" s="9" t="n">
        <v>1</v>
      </c>
      <c r="N538" s="9" t="n">
        <v>0</v>
      </c>
      <c r="O538" s="10" t="n">
        <v>1</v>
      </c>
      <c r="P538" s="10" t="n">
        <v>0</v>
      </c>
      <c r="Q538" s="10" t="n">
        <v>0</v>
      </c>
      <c r="R538" s="10" t="n">
        <v>0</v>
      </c>
      <c r="S538" s="10" t="n">
        <v>1</v>
      </c>
    </row>
    <row r="539" ht="409.5" customHeight="1">
      <c r="A539" s="6">
        <f>IFERROR(__xludf.DUMMYFUNCTION("""COMPUTED_VALUE"""),"Bending of Light")</f>
        <v/>
      </c>
      <c r="B539" s="6">
        <f>IFERROR(__xludf.DUMMYFUNCTION("""COMPUTED_VALUE"""),"Space")</f>
        <v/>
      </c>
      <c r="C539" s="6">
        <f>IFERROR(__xludf.DUMMYFUNCTION("""COMPUTED_VALUE"""),"Conceptualisation")</f>
        <v/>
      </c>
      <c r="D539" s="7">
        <f>IFERROR(__xludf.DUMMYFUNCTION("""COMPUTED_VALUE"""),"&lt;p&gt;&lt;br&gt;&lt;/p&gt;&lt;p&gt;Now that you have had discussion with your friends and your teacher, do the following Padlet activity. &lt;/p&gt;&lt;p&gt;On the space provided you on the Padlet wall for each category, rrite about what already know, questions you have in your mind, obs"&amp;"ervations from the video and list the setups you observed in the video. You can comment on each other's posts, ask doubts or pose queries.&lt;/p&gt;&lt;p&gt;Copy this URL, ""https://padlet.com/navigr892/sjp6n4fof8en"" in the space provided below to open the Padlet Wa"&amp;"ll.&lt;/p&gt;&lt;p&gt;&lt;br&gt;&lt;/p&gt;")</f>
        <v/>
      </c>
      <c r="E539" s="7">
        <f>IFERROR(__xludf.DUMMYFUNCTION("""COMPUTED_VALUE"""),"No artifact embedded")</f>
        <v/>
      </c>
      <c r="F539" s="7" t="n"/>
      <c r="G539" s="8" t="n">
        <v>0</v>
      </c>
      <c r="H539" s="8" t="n">
        <v>0</v>
      </c>
      <c r="I539" s="8" t="n">
        <v>0</v>
      </c>
      <c r="J539" s="8" t="n">
        <v>1</v>
      </c>
      <c r="K539" s="9" t="n">
        <v>0</v>
      </c>
      <c r="L539" s="9" t="n">
        <v>1</v>
      </c>
      <c r="M539" s="9" t="n">
        <v>1</v>
      </c>
      <c r="N539" s="9" t="n">
        <v>0</v>
      </c>
      <c r="O539" s="10" t="n">
        <v>0</v>
      </c>
      <c r="P539" s="10" t="n">
        <v>0</v>
      </c>
      <c r="Q539" s="10" t="n">
        <v>0</v>
      </c>
      <c r="R539" s="10" t="n">
        <v>0</v>
      </c>
      <c r="S539" s="10" t="n">
        <v>1</v>
      </c>
    </row>
    <row r="540" ht="49" customHeight="1">
      <c r="A540" s="6">
        <f>IFERROR(__xludf.DUMMYFUNCTION("""COMPUTED_VALUE"""),"Bending of Light")</f>
        <v/>
      </c>
      <c r="B540" s="6">
        <f>IFERROR(__xludf.DUMMYFUNCTION("""COMPUTED_VALUE"""),"Application")</f>
        <v/>
      </c>
      <c r="C540" s="6">
        <f>IFERROR(__xludf.DUMMYFUNCTION("""COMPUTED_VALUE"""),"Padlet")</f>
        <v/>
      </c>
      <c r="D540" s="7">
        <f>IFERROR(__xludf.DUMMYFUNCTION("""COMPUTED_VALUE"""),"No task description")</f>
        <v/>
      </c>
      <c r="E540" s="7">
        <f>IFERROR(__xludf.DUMMYFUNCTION("""COMPUTED_VALUE"""),"Golabz app/lab: Wrong URL. Impossible to access it")</f>
        <v/>
      </c>
      <c r="F540" s="7" t="n"/>
      <c r="G540" s="8" t="n">
        <v>0</v>
      </c>
      <c r="H540" s="8" t="n">
        <v>0</v>
      </c>
      <c r="I540" s="8" t="n">
        <v>0</v>
      </c>
      <c r="J540" s="8" t="n">
        <v>0</v>
      </c>
      <c r="K540" s="9" t="n">
        <v>0</v>
      </c>
      <c r="L540" s="9" t="n">
        <v>0</v>
      </c>
      <c r="M540" s="9" t="n">
        <v>0</v>
      </c>
      <c r="N540" s="9" t="n">
        <v>0</v>
      </c>
      <c r="O540" s="10" t="n">
        <v>0</v>
      </c>
      <c r="P540" s="10" t="n">
        <v>0</v>
      </c>
      <c r="Q540" s="10" t="n">
        <v>0</v>
      </c>
      <c r="R540" s="10" t="n">
        <v>0</v>
      </c>
      <c r="S540" s="10" t="n">
        <v>0</v>
      </c>
    </row>
    <row r="541" ht="409.5" customHeight="1">
      <c r="A541" s="6">
        <f>IFERROR(__xludf.DUMMYFUNCTION("""COMPUTED_VALUE"""),"Bending of Light")</f>
        <v/>
      </c>
      <c r="B541" s="6">
        <f>IFERROR(__xludf.DUMMYFUNCTION("""COMPUTED_VALUE"""),"Application")</f>
        <v/>
      </c>
      <c r="C541" s="6">
        <f>IFERROR(__xludf.DUMMYFUNCTION("""COMPUTED_VALUE"""),"Concept Mapper")</f>
        <v/>
      </c>
      <c r="D541" s="7">
        <f>IFERROR(__xludf.DUMMYFUNCTION("""COMPUTED_VALUE"""),"&lt;p&gt;Now, make a concept map keeping your driving question in the mind, based on your understanding till now.&lt;/p&gt;&lt;p&gt;Remember, a concept map is a visual representation of your thoughts, information and knowledge. It contains concepts and relationships betwee"&amp;"n these concepts that are visually represented by means of arrows and colors. This helps you organize information and provides a structure that makes you come up with new ideas more easily. &lt;/p&gt;&lt;p&gt;&lt;br&gt;&lt;/p&gt;&lt;p&gt;So get going !!!&lt;/p&gt;")</f>
        <v/>
      </c>
      <c r="E54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541" s="7" t="n"/>
      <c r="G541" s="8" t="n">
        <v>0</v>
      </c>
      <c r="H541" s="8" t="n">
        <v>0</v>
      </c>
      <c r="I541" s="8" t="n">
        <v>1</v>
      </c>
      <c r="J541" s="8" t="n">
        <v>0</v>
      </c>
      <c r="K541" s="9" t="n">
        <v>0</v>
      </c>
      <c r="L541" s="9" t="n">
        <v>1</v>
      </c>
      <c r="M541" s="9" t="n">
        <v>0</v>
      </c>
      <c r="N541" s="9" t="n">
        <v>0</v>
      </c>
      <c r="O541" s="10" t="n">
        <v>1</v>
      </c>
      <c r="P541" s="10" t="n">
        <v>1</v>
      </c>
      <c r="Q541" s="10" t="n">
        <v>0</v>
      </c>
      <c r="R541" s="10" t="n">
        <v>0</v>
      </c>
      <c r="S541" s="10" t="n">
        <v>0</v>
      </c>
    </row>
    <row r="542" ht="409.5" customHeight="1">
      <c r="A542" s="6">
        <f>IFERROR(__xludf.DUMMYFUNCTION("""COMPUTED_VALUE"""),"Bending of Light")</f>
        <v/>
      </c>
      <c r="B542" s="6">
        <f>IFERROR(__xludf.DUMMYFUNCTION("""COMPUTED_VALUE"""),"Application")</f>
        <v/>
      </c>
      <c r="C542" s="6">
        <f>IFERROR(__xludf.DUMMYFUNCTION("""COMPUTED_VALUE"""),"Hypothesis Scratchpad")</f>
        <v/>
      </c>
      <c r="D542" s="7">
        <f>IFERROR(__xludf.DUMMYFUNCTION("""COMPUTED_VALUE"""),"&lt;p&gt;Now its time to write your hypothesis . By the concept map activity, you must have come up with you reasons for the phenomenon you observed. Hypothesis is a proposition made on the basis of your reasoning.&lt;/p&gt;&lt;p&gt;Your hypothesis may look like,  ""IF ___"&amp;"__ happens, THEN lights bends"", ""Pencil will appear displaced  IF ____"" .  ""Change(Increase/Decrease) in _____ causes bending of light""&lt;/p&gt;&lt;p&gt;  A good hypothesis can be formulated in the form of ""IF.. THEN.."" statement, which will involve one depen"&amp;"dent variable with at least one independent. For example: IF the independent variable increases THEN the dependent variable decreases.&lt;br&gt;• Use only one dependent variable at a time when you formulate a hypothesis.&lt;br&gt;• Remember that a hypothesis might no"&amp;"t be confirmed after the experimentation. This is not a problem. Many scientific experiments have led to valuable knowledge because they resulted in the rejection of a hypothesis.&lt;br&gt;• Don't forget to save your hypotheses because you will need them later."&amp;" Give a proper name to help you retrieve them easily. For example, you can label a hypothesis using the name of the independent and dependent variable.&lt;/p&gt;&lt;p&gt;&lt;br&gt;&lt;/p&gt;&lt;p&gt;&lt;br&gt;&lt;/p&gt;")</f>
        <v/>
      </c>
      <c r="E5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542" s="7" t="n"/>
      <c r="G542" s="8" t="n">
        <v>0</v>
      </c>
      <c r="H542" s="8" t="n">
        <v>0</v>
      </c>
      <c r="I542" s="8" t="n">
        <v>1</v>
      </c>
      <c r="J542" s="8" t="n">
        <v>0</v>
      </c>
      <c r="K542" s="9" t="n">
        <v>0</v>
      </c>
      <c r="L542" s="9" t="n">
        <v>1</v>
      </c>
      <c r="M542" s="9" t="n">
        <v>0</v>
      </c>
      <c r="N542" s="9" t="n">
        <v>0</v>
      </c>
      <c r="O542" s="10" t="n">
        <v>1</v>
      </c>
      <c r="P542" s="10" t="n">
        <v>1</v>
      </c>
      <c r="Q542" s="10" t="n">
        <v>0</v>
      </c>
      <c r="R542" s="10" t="n">
        <v>0</v>
      </c>
      <c r="S542" s="10" t="n">
        <v>0</v>
      </c>
    </row>
    <row r="543" ht="73" customHeight="1">
      <c r="A543" s="6">
        <f>IFERROR(__xludf.DUMMYFUNCTION("""COMPUTED_VALUE"""),"Bending of Light")</f>
        <v/>
      </c>
      <c r="B543" s="6">
        <f>IFERROR(__xludf.DUMMYFUNCTION("""COMPUTED_VALUE"""),"Application")</f>
        <v/>
      </c>
      <c r="C543" s="6">
        <f>IFERROR(__xludf.DUMMYFUNCTION("""COMPUTED_VALUE"""),"Padlet (1)")</f>
        <v/>
      </c>
      <c r="D543" s="7">
        <f>IFERROR(__xludf.DUMMYFUNCTION("""COMPUTED_VALUE"""),"&lt;p&gt;Share your hypothesis on padlet wall below.  After discussion, you can &lt;/p&gt;")</f>
        <v/>
      </c>
      <c r="E543" s="7">
        <f>IFERROR(__xludf.DUMMYFUNCTION("""COMPUTED_VALUE"""),"Golabz app/lab: Wrong URL. Impossible to access it")</f>
        <v/>
      </c>
      <c r="F543" s="7" t="n"/>
      <c r="G543" s="8" t="n">
        <v>0</v>
      </c>
      <c r="H543" s="8" t="n">
        <v>0</v>
      </c>
      <c r="I543" s="8" t="n">
        <v>0</v>
      </c>
      <c r="J543" s="8" t="n">
        <v>1</v>
      </c>
      <c r="K543" s="9" t="n">
        <v>0</v>
      </c>
      <c r="L543" s="9" t="n">
        <v>1</v>
      </c>
      <c r="M543" s="9" t="n">
        <v>1</v>
      </c>
      <c r="N543" s="9" t="n">
        <v>0</v>
      </c>
      <c r="O543" s="10" t="n">
        <v>0</v>
      </c>
      <c r="P543" s="10" t="n">
        <v>1</v>
      </c>
      <c r="Q543" s="10" t="n">
        <v>0</v>
      </c>
      <c r="R543" s="10" t="n">
        <v>0</v>
      </c>
      <c r="S543" s="10" t="n">
        <v>1</v>
      </c>
    </row>
    <row r="544" ht="263" customHeight="1">
      <c r="A544" s="6">
        <f>IFERROR(__xludf.DUMMYFUNCTION("""COMPUTED_VALUE"""),"Bending of Light")</f>
        <v/>
      </c>
      <c r="B544" s="6">
        <f>IFERROR(__xludf.DUMMYFUNCTION("""COMPUTED_VALUE"""),"Space")</f>
        <v/>
      </c>
      <c r="C544" s="6">
        <f>IFERROR(__xludf.DUMMYFUNCTION("""COMPUTED_VALUE"""),"Investigation")</f>
        <v/>
      </c>
      <c r="D544" s="7">
        <f>IFERROR(__xludf.DUMMYFUNCTION("""COMPUTED_VALUE"""),"&lt;p&gt;In the Investigation phase you will  design and then perform your experiments. &lt;/p&gt;&lt;p&gt;First design your experiments and share on padlet. Then engage in an the in class discussion with your friends and your teacher to finally write your experiment desig"&amp;"n in the experiment design tool.&lt;/p&gt;&lt;p&gt;&lt;br&gt;&lt;/p&gt;")</f>
        <v/>
      </c>
      <c r="E544" s="7">
        <f>IFERROR(__xludf.DUMMYFUNCTION("""COMPUTED_VALUE"""),"No artifact embedded")</f>
        <v/>
      </c>
      <c r="F544" s="7" t="n"/>
      <c r="G544" s="8" t="n">
        <v>0</v>
      </c>
      <c r="H544" s="8" t="n">
        <v>0</v>
      </c>
      <c r="I544" s="8" t="n">
        <v>0</v>
      </c>
      <c r="J544" s="8" t="n">
        <v>1</v>
      </c>
      <c r="K544" s="9" t="n">
        <v>0</v>
      </c>
      <c r="L544" s="9" t="n">
        <v>1</v>
      </c>
      <c r="M544" s="9" t="n">
        <v>1</v>
      </c>
      <c r="N544" s="9" t="n">
        <v>0</v>
      </c>
      <c r="O544" s="10" t="n">
        <v>0</v>
      </c>
      <c r="P544" s="10" t="n">
        <v>0</v>
      </c>
      <c r="Q544" s="10" t="n">
        <v>1</v>
      </c>
      <c r="R544" s="10" t="n">
        <v>0</v>
      </c>
      <c r="S544" s="10" t="n">
        <v>1</v>
      </c>
    </row>
    <row r="545" ht="49" customHeight="1">
      <c r="A545" s="6">
        <f>IFERROR(__xludf.DUMMYFUNCTION("""COMPUTED_VALUE"""),"Bending of Light")</f>
        <v/>
      </c>
      <c r="B545" s="6">
        <f>IFERROR(__xludf.DUMMYFUNCTION("""COMPUTED_VALUE"""),"Application")</f>
        <v/>
      </c>
      <c r="C545" s="6">
        <f>IFERROR(__xludf.DUMMYFUNCTION("""COMPUTED_VALUE"""),"Padlet")</f>
        <v/>
      </c>
      <c r="D545" s="7">
        <f>IFERROR(__xludf.DUMMYFUNCTION("""COMPUTED_VALUE"""),"No task description")</f>
        <v/>
      </c>
      <c r="E545" s="7">
        <f>IFERROR(__xludf.DUMMYFUNCTION("""COMPUTED_VALUE"""),"Golabz app/lab: Wrong URL. Impossible to access it")</f>
        <v/>
      </c>
      <c r="F545" s="7" t="n"/>
      <c r="G545" s="8" t="n">
        <v>0</v>
      </c>
      <c r="H545" s="8" t="n">
        <v>0</v>
      </c>
      <c r="I545" s="8" t="n">
        <v>0</v>
      </c>
      <c r="J545" s="8" t="n">
        <v>0</v>
      </c>
      <c r="K545" s="9" t="n">
        <v>0</v>
      </c>
      <c r="L545" s="9" t="n">
        <v>0</v>
      </c>
      <c r="M545" s="9" t="n">
        <v>0</v>
      </c>
      <c r="N545" s="9" t="n">
        <v>0</v>
      </c>
      <c r="O545" s="10" t="n">
        <v>0</v>
      </c>
      <c r="P545" s="10" t="n">
        <v>0</v>
      </c>
      <c r="Q545" s="10" t="n">
        <v>0</v>
      </c>
      <c r="R545" s="10" t="n">
        <v>0</v>
      </c>
      <c r="S545" s="10" t="n">
        <v>0</v>
      </c>
    </row>
    <row r="546" ht="409.5" customHeight="1">
      <c r="A546" s="6">
        <f>IFERROR(__xludf.DUMMYFUNCTION("""COMPUTED_VALUE"""),"Bending of Light")</f>
        <v/>
      </c>
      <c r="B546" s="6">
        <f>IFERROR(__xludf.DUMMYFUNCTION("""COMPUTED_VALUE"""),"Application")</f>
        <v/>
      </c>
      <c r="C546" s="6">
        <f>IFERROR(__xludf.DUMMYFUNCTION("""COMPUTED_VALUE"""),"Experiment Design Tool")</f>
        <v/>
      </c>
      <c r="D546" s="7">
        <f>IFERROR(__xludf.DUMMYFUNCTION("""COMPUTED_VALUE"""),"&lt;p&gt;Now, you will use the Experiment Design tool to plan and design your experiments. Follow the step by step instructions in order to complete your experiment&lt;/p&gt;&lt;p&gt;&lt;br&gt;&lt;/p&gt;")</f>
        <v/>
      </c>
      <c r="E546"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546" s="7" t="n"/>
      <c r="G546" s="8" t="n">
        <v>0</v>
      </c>
      <c r="H546" s="8" t="n">
        <v>0</v>
      </c>
      <c r="I546" s="8" t="n">
        <v>1</v>
      </c>
      <c r="J546" s="8" t="n">
        <v>0</v>
      </c>
      <c r="K546" s="9" t="n">
        <v>0</v>
      </c>
      <c r="L546" s="9" t="n">
        <v>1</v>
      </c>
      <c r="M546" s="9" t="n">
        <v>0</v>
      </c>
      <c r="N546" s="9" t="n">
        <v>0</v>
      </c>
      <c r="O546" s="10" t="n">
        <v>0</v>
      </c>
      <c r="P546" s="10" t="n">
        <v>0</v>
      </c>
      <c r="Q546" s="10" t="n">
        <v>1</v>
      </c>
      <c r="R546" s="10" t="n">
        <v>0</v>
      </c>
      <c r="S546" s="10" t="n">
        <v>0</v>
      </c>
    </row>
    <row r="547" ht="145" customHeight="1">
      <c r="A547" s="6">
        <f>IFERROR(__xludf.DUMMYFUNCTION("""COMPUTED_VALUE"""),"Bending of Light")</f>
        <v/>
      </c>
      <c r="B547" s="6">
        <f>IFERROR(__xludf.DUMMYFUNCTION("""COMPUTED_VALUE"""),"Resource")</f>
        <v/>
      </c>
      <c r="C547" s="6">
        <f>IFERROR(__xludf.DUMMYFUNCTION("""COMPUTED_VALUE"""),"Recording #1.mp4")</f>
        <v/>
      </c>
      <c r="D547" s="7">
        <f>IFERROR(__xludf.DUMMYFUNCTION("""COMPUTED_VALUE"""),"&lt;p&gt;Watch the video below in order to familiarize yourself with the Experiment Lab .In this video you will see how to use the lab equipment to perform your experiments.&lt;/p&gt;")</f>
        <v/>
      </c>
      <c r="E547" s="7">
        <f>IFERROR(__xludf.DUMMYFUNCTION("""COMPUTED_VALUE"""),"video/mp4 – A video file containing moving images and possibly audio, suitable for playback on most modern devices and platforms.")</f>
        <v/>
      </c>
      <c r="F547" s="7" t="n"/>
      <c r="G547" s="8" t="n">
        <v>1</v>
      </c>
      <c r="H547" s="8" t="n">
        <v>0</v>
      </c>
      <c r="I547" s="8" t="n">
        <v>0</v>
      </c>
      <c r="J547" s="8" t="n">
        <v>0</v>
      </c>
      <c r="K547" s="9" t="n">
        <v>1</v>
      </c>
      <c r="L547" s="9" t="n">
        <v>0</v>
      </c>
      <c r="M547" s="9" t="n">
        <v>0</v>
      </c>
      <c r="N547" s="9" t="n">
        <v>0</v>
      </c>
      <c r="O547" s="10" t="n">
        <v>1</v>
      </c>
      <c r="P547" s="10" t="n">
        <v>0</v>
      </c>
      <c r="Q547" s="10" t="n">
        <v>1</v>
      </c>
      <c r="R547" s="10" t="n">
        <v>0</v>
      </c>
      <c r="S547" s="10" t="n">
        <v>0</v>
      </c>
    </row>
    <row r="548" ht="205" customHeight="1">
      <c r="A548" s="6">
        <f>IFERROR(__xludf.DUMMYFUNCTION("""COMPUTED_VALUE"""),"Bending of Light")</f>
        <v/>
      </c>
      <c r="B548" s="6">
        <f>IFERROR(__xludf.DUMMYFUNCTION("""COMPUTED_VALUE"""),"Application")</f>
        <v/>
      </c>
      <c r="C548" s="6">
        <f>IFERROR(__xludf.DUMMYFUNCTION("""COMPUTED_VALUE"""),"Bending Light")</f>
        <v/>
      </c>
      <c r="D548" s="7">
        <f>IFERROR(__xludf.DUMMYFUNCTION("""COMPUTED_VALUE"""),"&lt;p&gt;This is your Bending Light Lab. You can now perform the experiments you just designed.&lt;/p&gt;")</f>
        <v/>
      </c>
      <c r="E548"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548" s="7" t="n"/>
      <c r="G548" s="8" t="n">
        <v>0</v>
      </c>
      <c r="H548" s="8" t="n">
        <v>1</v>
      </c>
      <c r="I548" s="8" t="n">
        <v>0</v>
      </c>
      <c r="J548" s="8" t="n">
        <v>0</v>
      </c>
      <c r="K548" s="9" t="n">
        <v>1</v>
      </c>
      <c r="L548" s="9" t="n">
        <v>0</v>
      </c>
      <c r="M548" s="9" t="n">
        <v>0</v>
      </c>
      <c r="N548" s="9" t="n">
        <v>0</v>
      </c>
      <c r="O548" s="10" t="n">
        <v>0</v>
      </c>
      <c r="P548" s="10" t="n">
        <v>0</v>
      </c>
      <c r="Q548" s="10" t="n">
        <v>1</v>
      </c>
      <c r="R548" s="10" t="n">
        <v>0</v>
      </c>
      <c r="S548" s="10" t="n">
        <v>0</v>
      </c>
    </row>
    <row r="549" ht="329" customHeight="1">
      <c r="A549" s="6">
        <f>IFERROR(__xludf.DUMMYFUNCTION("""COMPUTED_VALUE"""),"Bending of Light")</f>
        <v/>
      </c>
      <c r="B549" s="6">
        <f>IFERROR(__xludf.DUMMYFUNCTION("""COMPUTED_VALUE"""),"Application")</f>
        <v/>
      </c>
      <c r="C549" s="6">
        <f>IFERROR(__xludf.DUMMYFUNCTION("""COMPUTED_VALUE"""),"Input Box")</f>
        <v/>
      </c>
      <c r="D549" s="7">
        <f>IFERROR(__xludf.DUMMYFUNCTION("""COMPUTED_VALUE"""),"&lt;p&gt;If any of their experimental design was not supported by the Phet simulation, Please write your requirements in the space provided below and inform your teacher.&lt;/p&gt;")</f>
        <v/>
      </c>
      <c r="E5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49" s="7" t="n"/>
      <c r="G549" s="8" t="n">
        <v>0</v>
      </c>
      <c r="H549" s="8" t="n">
        <v>0</v>
      </c>
      <c r="I549" s="8" t="n">
        <v>0</v>
      </c>
      <c r="J549" s="8" t="n">
        <v>1</v>
      </c>
      <c r="K549" s="9" t="n">
        <v>0</v>
      </c>
      <c r="L549" s="9" t="n">
        <v>1</v>
      </c>
      <c r="M549" s="9" t="n">
        <v>0</v>
      </c>
      <c r="N549" s="9" t="n">
        <v>0</v>
      </c>
      <c r="O549" s="10" t="n">
        <v>0</v>
      </c>
      <c r="P549" s="10" t="n">
        <v>0</v>
      </c>
      <c r="Q549" s="10" t="n">
        <v>1</v>
      </c>
      <c r="R549" s="10" t="n">
        <v>0</v>
      </c>
      <c r="S549" s="10" t="n">
        <v>1</v>
      </c>
    </row>
    <row r="550" ht="395" customHeight="1">
      <c r="A550" s="6">
        <f>IFERROR(__xludf.DUMMYFUNCTION("""COMPUTED_VALUE"""),"Bending of Light")</f>
        <v/>
      </c>
      <c r="B550" s="6">
        <f>IFERROR(__xludf.DUMMYFUNCTION("""COMPUTED_VALUE"""),"Application")</f>
        <v/>
      </c>
      <c r="C550" s="6">
        <f>IFERROR(__xludf.DUMMYFUNCTION("""COMPUTED_VALUE"""),"Observation Tool")</f>
        <v/>
      </c>
      <c r="D550" s="7">
        <f>IFERROR(__xludf.DUMMYFUNCTION("""COMPUTED_VALUE"""),"&lt;p&gt;&lt;br&gt;&lt;/p&gt;&lt;p&gt;Write your Observations using the Observation tool below. Click on ""?"" to know how to use the tool.&lt;/p&gt;")</f>
        <v/>
      </c>
      <c r="E55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550" s="7" t="n"/>
      <c r="G550" s="8" t="n">
        <v>0</v>
      </c>
      <c r="H550" s="8" t="n">
        <v>0</v>
      </c>
      <c r="I550" s="8" t="n">
        <v>1</v>
      </c>
      <c r="J550" s="8" t="n">
        <v>0</v>
      </c>
      <c r="K550" s="9" t="n">
        <v>0</v>
      </c>
      <c r="L550" s="9" t="n">
        <v>1</v>
      </c>
      <c r="M550" s="9" t="n">
        <v>0</v>
      </c>
      <c r="N550" s="9" t="n">
        <v>0</v>
      </c>
      <c r="O550" s="10" t="n">
        <v>0</v>
      </c>
      <c r="P550" s="10" t="n">
        <v>0</v>
      </c>
      <c r="Q550" s="10" t="n">
        <v>1</v>
      </c>
      <c r="R550" s="10" t="n">
        <v>0</v>
      </c>
      <c r="S550" s="10" t="n">
        <v>0</v>
      </c>
    </row>
    <row r="551" ht="296" customHeight="1">
      <c r="A551" s="6">
        <f>IFERROR(__xludf.DUMMYFUNCTION("""COMPUTED_VALUE"""),"Bending of Light")</f>
        <v/>
      </c>
      <c r="B551" s="6">
        <f>IFERROR(__xludf.DUMMYFUNCTION("""COMPUTED_VALUE"""),"Space")</f>
        <v/>
      </c>
      <c r="C551" s="6">
        <f>IFERROR(__xludf.DUMMYFUNCTION("""COMPUTED_VALUE"""),"Data Interpretation")</f>
        <v/>
      </c>
      <c r="D551" s="7">
        <f>IFERROR(__xludf.DUMMYFUNCTION("""COMPUTED_VALUE"""),"&lt;p&gt;In this phase you will use the Data Viewer to graph your data and examine the relation among the different variables.&lt;/p&gt;&lt;p&gt;The Data Viewer tool will help you to create data graphs and/or tables for all the measurements you recorded for the independent"&amp;" and dependent variables of each of your hypotheses.&lt;br&gt;Press the help button (?) to learn how to use the tool.&lt;/p&gt;")</f>
        <v/>
      </c>
      <c r="E551" s="7">
        <f>IFERROR(__xludf.DUMMYFUNCTION("""COMPUTED_VALUE"""),"No artifact embedded")</f>
        <v/>
      </c>
      <c r="F551" s="7" t="n"/>
      <c r="G551" s="8" t="n">
        <v>0</v>
      </c>
      <c r="H551" s="8" t="n">
        <v>0</v>
      </c>
      <c r="I551" s="8" t="n">
        <v>1</v>
      </c>
      <c r="J551" s="8" t="n">
        <v>0</v>
      </c>
      <c r="K551" s="9" t="n">
        <v>0</v>
      </c>
      <c r="L551" s="9" t="n">
        <v>1</v>
      </c>
      <c r="M551" s="9" t="n">
        <v>0</v>
      </c>
      <c r="N551" s="9" t="n">
        <v>0</v>
      </c>
      <c r="O551" s="10" t="n">
        <v>1</v>
      </c>
      <c r="P551" s="10" t="n">
        <v>0</v>
      </c>
      <c r="Q551" s="10" t="n">
        <v>1</v>
      </c>
      <c r="R551" s="10" t="n">
        <v>0</v>
      </c>
      <c r="S551" s="10" t="n">
        <v>0</v>
      </c>
    </row>
    <row r="552" ht="409.5" customHeight="1">
      <c r="A552" s="6">
        <f>IFERROR(__xludf.DUMMYFUNCTION("""COMPUTED_VALUE"""),"Bending of Light")</f>
        <v/>
      </c>
      <c r="B552" s="6">
        <f>IFERROR(__xludf.DUMMYFUNCTION("""COMPUTED_VALUE"""),"Application")</f>
        <v/>
      </c>
      <c r="C552" s="6">
        <f>IFERROR(__xludf.DUMMYFUNCTION("""COMPUTED_VALUE"""),"Data Viewer")</f>
        <v/>
      </c>
      <c r="D552" s="7">
        <f>IFERROR(__xludf.DUMMYFUNCTION("""COMPUTED_VALUE"""),"No task description")</f>
        <v/>
      </c>
      <c r="E552"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552" s="7" t="n"/>
      <c r="G552" s="8" t="n">
        <v>0</v>
      </c>
      <c r="H552" s="8" t="n">
        <v>1</v>
      </c>
      <c r="I552" s="8" t="n">
        <v>0</v>
      </c>
      <c r="J552" s="8" t="n">
        <v>0</v>
      </c>
      <c r="K552" s="9" t="n">
        <v>1</v>
      </c>
      <c r="L552" s="9" t="n">
        <v>0</v>
      </c>
      <c r="M552" s="9" t="n">
        <v>0</v>
      </c>
      <c r="N552" s="9" t="n">
        <v>0</v>
      </c>
      <c r="O552" s="10" t="n">
        <v>0</v>
      </c>
      <c r="P552" s="10" t="n">
        <v>0</v>
      </c>
      <c r="Q552" s="10" t="n">
        <v>1</v>
      </c>
      <c r="R552" s="10" t="n">
        <v>0</v>
      </c>
      <c r="S552" s="10" t="n">
        <v>0</v>
      </c>
    </row>
    <row r="553" ht="329" customHeight="1">
      <c r="A553" s="6">
        <f>IFERROR(__xludf.DUMMYFUNCTION("""COMPUTED_VALUE"""),"Bending of Light")</f>
        <v/>
      </c>
      <c r="B553" s="6">
        <f>IFERROR(__xludf.DUMMYFUNCTION("""COMPUTED_VALUE"""),"Application")</f>
        <v/>
      </c>
      <c r="C553" s="6">
        <f>IFERROR(__xludf.DUMMYFUNCTION("""COMPUTED_VALUE"""),"Input Box")</f>
        <v/>
      </c>
      <c r="D553" s="7">
        <f>IFERROR(__xludf.DUMMYFUNCTION("""COMPUTED_VALUE"""),"&lt;p&gt;Interpret your data trying to find relations among variables. If you don't have enough data, return to the Experimentation phase and collect more data. Write your interpretation in the text box below.&lt;/p&gt;")</f>
        <v/>
      </c>
      <c r="E5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53" s="7" t="n"/>
      <c r="G553" s="8" t="n">
        <v>0</v>
      </c>
      <c r="H553" s="8" t="n">
        <v>0</v>
      </c>
      <c r="I553" s="8" t="n">
        <v>1</v>
      </c>
      <c r="J553" s="8" t="n">
        <v>0</v>
      </c>
      <c r="K553" s="9" t="n">
        <v>0</v>
      </c>
      <c r="L553" s="9" t="n">
        <v>1</v>
      </c>
      <c r="M553" s="9" t="n">
        <v>0</v>
      </c>
      <c r="N553" s="9" t="n">
        <v>0</v>
      </c>
      <c r="O553" s="10" t="n">
        <v>0</v>
      </c>
      <c r="P553" s="10" t="n">
        <v>0</v>
      </c>
      <c r="Q553" s="10" t="n">
        <v>1</v>
      </c>
      <c r="R553" s="10" t="n">
        <v>0</v>
      </c>
      <c r="S553" s="10" t="n">
        <v>0</v>
      </c>
    </row>
    <row r="554" ht="340" customHeight="1">
      <c r="A554" s="6">
        <f>IFERROR(__xludf.DUMMYFUNCTION("""COMPUTED_VALUE"""),"Bending of Light")</f>
        <v/>
      </c>
      <c r="B554" s="6">
        <f>IFERROR(__xludf.DUMMYFUNCTION("""COMPUTED_VALUE"""),"Space")</f>
        <v/>
      </c>
      <c r="C554" s="6">
        <f>IFERROR(__xludf.DUMMYFUNCTION("""COMPUTED_VALUE"""),"Conclusion")</f>
        <v/>
      </c>
      <c r="D554" s="7">
        <f>IFERROR(__xludf.DUMMYFUNCTION("""COMPUTED_VALUE"""),"&lt;p&gt;In this phase you will use the Conclusion tool to retrieve your previous work (hypothesis, data, graphs, etc.) and form your conclusions. Your conclusions should be justified based on the evidence collected during the Investigation phase, This evidence"&amp;" will help you provide an answer whether your hypothesis has to be supported or rejected.&lt;/p&gt;&lt;p&gt;&lt;br&gt;Press the help button (?) to learn how to use the Conclusion tool.&lt;/p&gt;")</f>
        <v/>
      </c>
      <c r="E554" s="7">
        <f>IFERROR(__xludf.DUMMYFUNCTION("""COMPUTED_VALUE"""),"No artifact embedded")</f>
        <v/>
      </c>
      <c r="F554" s="7" t="n"/>
      <c r="G554" s="8" t="n">
        <v>0</v>
      </c>
      <c r="H554" s="8" t="n">
        <v>0</v>
      </c>
      <c r="I554" s="8" t="n">
        <v>1</v>
      </c>
      <c r="J554" s="8" t="n">
        <v>0</v>
      </c>
      <c r="K554" s="9" t="n">
        <v>0</v>
      </c>
      <c r="L554" s="9" t="n">
        <v>1</v>
      </c>
      <c r="M554" s="9" t="n">
        <v>0</v>
      </c>
      <c r="N554" s="9" t="n">
        <v>0</v>
      </c>
      <c r="O554" s="10" t="n">
        <v>0</v>
      </c>
      <c r="P554" s="10" t="n">
        <v>0</v>
      </c>
      <c r="Q554" s="10" t="n">
        <v>0</v>
      </c>
      <c r="R554" s="10" t="n">
        <v>1</v>
      </c>
      <c r="S554" s="10" t="n">
        <v>0</v>
      </c>
    </row>
    <row r="555" ht="409.5" customHeight="1">
      <c r="A555" s="6">
        <f>IFERROR(__xludf.DUMMYFUNCTION("""COMPUTED_VALUE"""),"Bending of Light")</f>
        <v/>
      </c>
      <c r="B555" s="6">
        <f>IFERROR(__xludf.DUMMYFUNCTION("""COMPUTED_VALUE"""),"Application")</f>
        <v/>
      </c>
      <c r="C555" s="6">
        <f>IFERROR(__xludf.DUMMYFUNCTION("""COMPUTED_VALUE"""),"Conclusion Tool")</f>
        <v/>
      </c>
      <c r="D555" s="7">
        <f>IFERROR(__xludf.DUMMYFUNCTION("""COMPUTED_VALUE"""),"No task description")</f>
        <v/>
      </c>
      <c r="E555"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555" s="7" t="n"/>
      <c r="G555" s="8" t="n">
        <v>0</v>
      </c>
      <c r="H555" s="8" t="n">
        <v>0</v>
      </c>
      <c r="I555" s="8" t="n">
        <v>1</v>
      </c>
      <c r="J555" s="8" t="n">
        <v>0</v>
      </c>
      <c r="K555" s="9" t="n">
        <v>0</v>
      </c>
      <c r="L555" s="9" t="n">
        <v>1</v>
      </c>
      <c r="M555" s="9" t="n">
        <v>0</v>
      </c>
      <c r="N555" s="9" t="n">
        <v>0</v>
      </c>
      <c r="O555" s="10" t="n">
        <v>0</v>
      </c>
      <c r="P555" s="10" t="n">
        <v>0</v>
      </c>
      <c r="Q555" s="10" t="n">
        <v>0</v>
      </c>
      <c r="R555" s="10" t="n">
        <v>1</v>
      </c>
      <c r="S555" s="10" t="n">
        <v>0</v>
      </c>
    </row>
    <row r="556" ht="409.5" customHeight="1">
      <c r="A556" s="6">
        <f>IFERROR(__xludf.DUMMYFUNCTION("""COMPUTED_VALUE"""),"Bending of Light")</f>
        <v/>
      </c>
      <c r="B556" s="6">
        <f>IFERROR(__xludf.DUMMYFUNCTION("""COMPUTED_VALUE"""),"Application")</f>
        <v/>
      </c>
      <c r="C556" s="6">
        <f>IFERROR(__xludf.DUMMYFUNCTION("""COMPUTED_VALUE"""),"File Drop")</f>
        <v/>
      </c>
      <c r="D556" s="7">
        <f>IFERROR(__xludf.DUMMYFUNCTION("""COMPUTED_VALUE"""),"&lt;p&gt;Now,  prepare a 5 minute presentation (Power point) about your  conclusions. Try to give enough evidence from your experimentation in order to reject or confirm your hypotheses. Don't forget to save your presentation and give it a label with name. Then"&amp;", upload the presentation in the File Drop.&lt;/p&gt;&lt;p&gt;&lt;br&gt;&lt;/p&gt;&lt;p&gt;REMEMBER : A good  presentation should contain information about the problem studied, the hypothesis/es examined, the investigation conducted, the data collected and the conclusion extracted.&lt;/p"&amp;"&gt;")</f>
        <v/>
      </c>
      <c r="E556" s="7">
        <f>IFERROR(__xludf.DUMMYFUNCTION("""COMPUTED_VALUE"""),"Golabz app/lab: ""&lt;p&gt;This app allows students to upload files, e.g., assignment and reports, to the Inquiry learning Space. The app also allows teachers to download the uploaded files.&lt;/p&gt;\r\n""")</f>
        <v/>
      </c>
      <c r="F556" s="7" t="n"/>
      <c r="G556" s="8" t="n">
        <v>0</v>
      </c>
      <c r="H556" s="8" t="n">
        <v>0</v>
      </c>
      <c r="I556" s="8" t="n">
        <v>1</v>
      </c>
      <c r="J556" s="8" t="n">
        <v>0</v>
      </c>
      <c r="K556" s="9" t="n">
        <v>0</v>
      </c>
      <c r="L556" s="9" t="n">
        <v>1</v>
      </c>
      <c r="M556" s="9" t="n">
        <v>0</v>
      </c>
      <c r="N556" s="9" t="n">
        <v>0</v>
      </c>
      <c r="O556" s="10" t="n">
        <v>1</v>
      </c>
      <c r="P556" s="10" t="n">
        <v>0</v>
      </c>
      <c r="Q556" s="10" t="n">
        <v>0</v>
      </c>
      <c r="R556" s="10" t="n">
        <v>1</v>
      </c>
      <c r="S556" s="10" t="n">
        <v>0</v>
      </c>
    </row>
    <row r="557" ht="97" customHeight="1">
      <c r="A557" s="6">
        <f>IFERROR(__xludf.DUMMYFUNCTION("""COMPUTED_VALUE"""),"Bending of Light")</f>
        <v/>
      </c>
      <c r="B557" s="6">
        <f>IFERROR(__xludf.DUMMYFUNCTION("""COMPUTED_VALUE"""),"Space")</f>
        <v/>
      </c>
      <c r="C557" s="6">
        <f>IFERROR(__xludf.DUMMYFUNCTION("""COMPUTED_VALUE"""),"Discussion")</f>
        <v/>
      </c>
      <c r="D557" s="7">
        <f>IFERROR(__xludf.DUMMYFUNCTION("""COMPUTED_VALUE"""),"&lt;p&gt;Please share your conclusions with you class teacher and your friends and find out what are their conclusions !!!&lt;/p&gt;")</f>
        <v/>
      </c>
      <c r="E557" s="7">
        <f>IFERROR(__xludf.DUMMYFUNCTION("""COMPUTED_VALUE"""),"No artifact embedded")</f>
        <v/>
      </c>
      <c r="F557" s="7" t="n"/>
      <c r="G557" s="8" t="n">
        <v>0</v>
      </c>
      <c r="H557" s="8" t="n">
        <v>0</v>
      </c>
      <c r="I557" s="8" t="n">
        <v>0</v>
      </c>
      <c r="J557" s="8" t="n">
        <v>1</v>
      </c>
      <c r="K557" s="9" t="n">
        <v>0</v>
      </c>
      <c r="L557" s="9" t="n">
        <v>0</v>
      </c>
      <c r="M557" s="9" t="n">
        <v>1</v>
      </c>
      <c r="N557" s="9" t="n">
        <v>0</v>
      </c>
      <c r="O557" s="10" t="n">
        <v>0</v>
      </c>
      <c r="P557" s="10" t="n">
        <v>0</v>
      </c>
      <c r="Q557" s="10" t="n">
        <v>0</v>
      </c>
      <c r="R557" s="10" t="n">
        <v>0</v>
      </c>
      <c r="S557" s="10" t="n">
        <v>1</v>
      </c>
    </row>
    <row r="558" ht="109" customHeight="1">
      <c r="A558" s="6">
        <f>IFERROR(__xludf.DUMMYFUNCTION("""COMPUTED_VALUE"""),"Bending of Light")</f>
        <v/>
      </c>
      <c r="B558" s="6">
        <f>IFERROR(__xludf.DUMMYFUNCTION("""COMPUTED_VALUE"""),"Topic")</f>
        <v/>
      </c>
      <c r="C558" s="6">
        <f>IFERROR(__xludf.DUMMYFUNCTION("""COMPUTED_VALUE"""),"Conclusions on Bending of Light")</f>
        <v/>
      </c>
      <c r="D558" s="7">
        <f>IFERROR(__xludf.DUMMYFUNCTION("""COMPUTED_VALUE"""),"Time to Discuss")</f>
        <v/>
      </c>
      <c r="E558" s="7">
        <f>IFERROR(__xludf.DUMMYFUNCTION("""COMPUTED_VALUE"""),"text/html – A webpage or web document that contains structured text, images, and links, designed for display in a web browser.")</f>
        <v/>
      </c>
      <c r="F558" s="7" t="n"/>
      <c r="G558" s="8" t="n">
        <v>0</v>
      </c>
      <c r="H558" s="8" t="n">
        <v>0</v>
      </c>
      <c r="I558" s="8" t="n">
        <v>0</v>
      </c>
      <c r="J558" s="8" t="n">
        <v>1</v>
      </c>
      <c r="K558" s="9" t="n">
        <v>0</v>
      </c>
      <c r="L558" s="9" t="n">
        <v>0</v>
      </c>
      <c r="M558" s="9" t="n">
        <v>1</v>
      </c>
      <c r="N558" s="9" t="n">
        <v>0</v>
      </c>
      <c r="O558" s="10" t="n">
        <v>0</v>
      </c>
      <c r="P558" s="10" t="n">
        <v>0</v>
      </c>
      <c r="Q558" s="10" t="n">
        <v>0</v>
      </c>
      <c r="R558" s="10" t="n">
        <v>0</v>
      </c>
      <c r="S558" s="10" t="n">
        <v>1</v>
      </c>
    </row>
    <row r="559" ht="229" customHeight="1">
      <c r="A559" s="6">
        <f>IFERROR(__xludf.DUMMYFUNCTION("""COMPUTED_VALUE"""),"Bending of Light")</f>
        <v/>
      </c>
      <c r="B559" s="6">
        <f>IFERROR(__xludf.DUMMYFUNCTION("""COMPUTED_VALUE"""),"Application")</f>
        <v/>
      </c>
      <c r="C559" s="6">
        <f>IFERROR(__xludf.DUMMYFUNCTION("""COMPUTED_VALUE"""),"Reflection Tool")</f>
        <v/>
      </c>
      <c r="D559" s="7">
        <f>IFERROR(__xludf.DUMMYFUNCTION("""COMPUTED_VALUE"""),"&lt;p&gt;In the Reflection phase you will engage in reflection activities which will help you to think critically about your learning process. In order to do so, you will use the Reflection Tool below.&lt;/p&gt;")</f>
        <v/>
      </c>
      <c r="E559"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559" s="7" t="n"/>
      <c r="G559" s="8" t="n">
        <v>1</v>
      </c>
      <c r="H559" s="8" t="n">
        <v>0</v>
      </c>
      <c r="I559" s="8" t="n">
        <v>0</v>
      </c>
      <c r="J559" s="8" t="n">
        <v>0</v>
      </c>
      <c r="K559" s="9" t="n">
        <v>1</v>
      </c>
      <c r="L559" s="9" t="n">
        <v>0</v>
      </c>
      <c r="M559" s="9" t="n">
        <v>0</v>
      </c>
      <c r="N559" s="9" t="n">
        <v>0</v>
      </c>
      <c r="O559" s="10" t="n">
        <v>0</v>
      </c>
      <c r="P559" s="10" t="n">
        <v>0</v>
      </c>
      <c r="Q559" s="10" t="n">
        <v>0</v>
      </c>
      <c r="R559" s="10" t="n">
        <v>0</v>
      </c>
      <c r="S559" s="10" t="n">
        <v>1</v>
      </c>
    </row>
    <row r="560" ht="25" customHeight="1">
      <c r="A560" s="6">
        <f>IFERROR(__xludf.DUMMYFUNCTION("""COMPUTED_VALUE"""),"Bending of Light")</f>
        <v/>
      </c>
      <c r="B560" s="6">
        <f>IFERROR(__xludf.DUMMYFUNCTION("""COMPUTED_VALUE"""),"Space")</f>
        <v/>
      </c>
      <c r="C560" s="6">
        <f>IFERROR(__xludf.DUMMYFUNCTION("""COMPUTED_VALUE"""),"QUIZ")</f>
        <v/>
      </c>
      <c r="D560" s="7">
        <f>IFERROR(__xludf.DUMMYFUNCTION("""COMPUTED_VALUE"""),"No task description")</f>
        <v/>
      </c>
      <c r="E560" s="7">
        <f>IFERROR(__xludf.DUMMYFUNCTION("""COMPUTED_VALUE"""),"No artifact embedded")</f>
        <v/>
      </c>
      <c r="F560" s="7" t="n"/>
      <c r="G560" s="8" t="n">
        <v>0</v>
      </c>
      <c r="H560" s="8" t="n">
        <v>0</v>
      </c>
      <c r="I560" s="8" t="n">
        <v>0</v>
      </c>
      <c r="J560" s="8" t="n">
        <v>0</v>
      </c>
      <c r="K560" s="9" t="n">
        <v>0</v>
      </c>
      <c r="L560" s="9" t="n">
        <v>0</v>
      </c>
      <c r="M560" s="9" t="n">
        <v>0</v>
      </c>
      <c r="N560" s="9" t="n">
        <v>0</v>
      </c>
      <c r="O560" s="10" t="n">
        <v>0</v>
      </c>
      <c r="P560" s="10" t="n">
        <v>0</v>
      </c>
      <c r="Q560" s="10" t="n">
        <v>0</v>
      </c>
      <c r="R560" s="10" t="n">
        <v>0</v>
      </c>
      <c r="S560" s="10" t="n">
        <v>0</v>
      </c>
    </row>
    <row r="561" ht="296" customHeight="1">
      <c r="A561" s="6">
        <f>IFERROR(__xludf.DUMMYFUNCTION("""COMPUTED_VALUE"""),"Bending of Light")</f>
        <v/>
      </c>
      <c r="B561" s="6">
        <f>IFERROR(__xludf.DUMMYFUNCTION("""COMPUTED_VALUE"""),"Application")</f>
        <v/>
      </c>
      <c r="C561" s="6">
        <f>IFERROR(__xludf.DUMMYFUNCTION("""COMPUTED_VALUE"""),"Quiz Tool")</f>
        <v/>
      </c>
      <c r="D561" s="7">
        <f>IFERROR(__xludf.DUMMYFUNCTION("""COMPUTED_VALUE"""),"No task description")</f>
        <v/>
      </c>
      <c r="E56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61" s="7" t="n"/>
      <c r="G561" s="8" t="n">
        <v>0</v>
      </c>
      <c r="H561" s="8" t="n">
        <v>0</v>
      </c>
      <c r="I561" s="8" t="n">
        <v>0</v>
      </c>
      <c r="J561" s="8" t="n">
        <v>1</v>
      </c>
      <c r="K561" s="9" t="n">
        <v>0</v>
      </c>
      <c r="L561" s="9" t="n">
        <v>1</v>
      </c>
      <c r="M561" s="9" t="n">
        <v>0</v>
      </c>
      <c r="N561" s="9" t="n">
        <v>0</v>
      </c>
      <c r="O561" s="10" t="n">
        <v>0</v>
      </c>
      <c r="P561" s="10" t="n">
        <v>0</v>
      </c>
      <c r="Q561" s="10" t="n">
        <v>0</v>
      </c>
      <c r="R561" s="10" t="n">
        <v>0</v>
      </c>
      <c r="S561" s="10" t="n">
        <v>1</v>
      </c>
    </row>
    <row r="562" ht="25" customHeight="1">
      <c r="A562" s="6">
        <f>IFERROR(__xludf.DUMMYFUNCTION("""COMPUTED_VALUE"""),"MATHS GROUP 3")</f>
        <v/>
      </c>
      <c r="B562" s="6">
        <f>IFERROR(__xludf.DUMMYFUNCTION("""COMPUTED_VALUE"""),"Space")</f>
        <v/>
      </c>
      <c r="C562" s="6">
        <f>IFERROR(__xludf.DUMMYFUNCTION("""COMPUTED_VALUE"""),"Orientation")</f>
        <v/>
      </c>
      <c r="D562" s="7">
        <f>IFERROR(__xludf.DUMMYFUNCTION("""COMPUTED_VALUE"""),"No task description")</f>
        <v/>
      </c>
      <c r="E562" s="7">
        <f>IFERROR(__xludf.DUMMYFUNCTION("""COMPUTED_VALUE"""),"No artifact embedded")</f>
        <v/>
      </c>
      <c r="F562" s="7" t="n"/>
      <c r="G562" s="8" t="n">
        <v>0</v>
      </c>
      <c r="H562" s="8" t="n">
        <v>0</v>
      </c>
      <c r="I562" s="8" t="n">
        <v>0</v>
      </c>
      <c r="J562" s="8" t="n">
        <v>0</v>
      </c>
      <c r="K562" s="9" t="n">
        <v>0</v>
      </c>
      <c r="L562" s="9" t="n">
        <v>0</v>
      </c>
      <c r="M562" s="9" t="n">
        <v>0</v>
      </c>
      <c r="N562" s="9" t="n">
        <v>0</v>
      </c>
      <c r="O562" s="10" t="n">
        <v>0</v>
      </c>
      <c r="P562" s="10" t="n">
        <v>0</v>
      </c>
      <c r="Q562" s="10" t="n">
        <v>0</v>
      </c>
      <c r="R562" s="10" t="n">
        <v>0</v>
      </c>
      <c r="S562" s="10" t="n">
        <v>0</v>
      </c>
    </row>
    <row r="563" ht="85" customHeight="1">
      <c r="A563" s="6">
        <f>IFERROR(__xludf.DUMMYFUNCTION("""COMPUTED_VALUE"""),"MATHS GROUP 3")</f>
        <v/>
      </c>
      <c r="B563" s="6">
        <f>IFERROR(__xludf.DUMMYFUNCTION("""COMPUTED_VALUE"""),"Resource")</f>
        <v/>
      </c>
      <c r="C563" s="6">
        <f>IFERROR(__xludf.DUMMYFUNCTION("""COMPUTED_VALUE"""),"Algebra.graasp")</f>
        <v/>
      </c>
      <c r="D563" s="7">
        <f>IFERROR(__xludf.DUMMYFUNCTION("""COMPUTED_VALUE"""),"&lt;p&gt;Today we will be learning Quadratic Equation &lt;/p&gt;&lt;p&gt;using the quadratic  formula.&lt;/p&gt;")</f>
        <v/>
      </c>
      <c r="E563" s="7">
        <f>IFERROR(__xludf.DUMMYFUNCTION("""COMPUTED_VALUE"""),"No artifact embedded")</f>
        <v/>
      </c>
      <c r="F563" s="7" t="n"/>
      <c r="G563" s="8" t="n">
        <v>1</v>
      </c>
      <c r="H563" s="8" t="n">
        <v>0</v>
      </c>
      <c r="I563" s="8" t="n">
        <v>0</v>
      </c>
      <c r="J563" s="8" t="n">
        <v>0</v>
      </c>
      <c r="K563" s="9" t="n">
        <v>1</v>
      </c>
      <c r="L563" s="9" t="n">
        <v>0</v>
      </c>
      <c r="M563" s="9" t="n">
        <v>0</v>
      </c>
      <c r="N563" s="9" t="n">
        <v>0</v>
      </c>
      <c r="O563" s="10" t="n">
        <v>1</v>
      </c>
      <c r="P563" s="10" t="n">
        <v>0</v>
      </c>
      <c r="Q563" s="10" t="n">
        <v>0</v>
      </c>
      <c r="R563" s="10" t="n">
        <v>0</v>
      </c>
      <c r="S563" s="10" t="n">
        <v>0</v>
      </c>
    </row>
    <row r="564" ht="97" customHeight="1">
      <c r="A564" s="6">
        <f>IFERROR(__xludf.DUMMYFUNCTION("""COMPUTED_VALUE"""),"MATHS GROUP 3")</f>
        <v/>
      </c>
      <c r="B564" s="6">
        <f>IFERROR(__xludf.DUMMYFUNCTION("""COMPUTED_VALUE"""),"Resource")</f>
        <v/>
      </c>
      <c r="C564" s="6">
        <f>IFERROR(__xludf.DUMMYFUNCTION("""COMPUTED_VALUE"""),"Quadratic_formula.png")</f>
        <v/>
      </c>
      <c r="D564" s="7">
        <f>IFERROR(__xludf.DUMMYFUNCTION("""COMPUTED_VALUE"""),"—b:"":\/ ()2 —4ac 2a")</f>
        <v/>
      </c>
      <c r="E564" s="7">
        <f>IFERROR(__xludf.DUMMYFUNCTION("""COMPUTED_VALUE"""),"image/png – A high-quality image with support for transparency, often used in design and web applications.")</f>
        <v/>
      </c>
      <c r="F564" s="7" t="n"/>
      <c r="G564" s="8" t="n">
        <v>1</v>
      </c>
      <c r="H564" s="8" t="n">
        <v>0</v>
      </c>
      <c r="I564" s="8" t="n">
        <v>0</v>
      </c>
      <c r="J564" s="8" t="n">
        <v>0</v>
      </c>
      <c r="K564" s="9" t="n">
        <v>1</v>
      </c>
      <c r="L564" s="9" t="n">
        <v>0</v>
      </c>
      <c r="M564" s="9" t="n">
        <v>0</v>
      </c>
      <c r="N564" s="9" t="n">
        <v>0</v>
      </c>
      <c r="O564" s="10" t="n">
        <v>0</v>
      </c>
      <c r="P564" s="10" t="n">
        <v>0</v>
      </c>
      <c r="Q564" s="10" t="n">
        <v>0</v>
      </c>
      <c r="R564" s="10" t="n">
        <v>0</v>
      </c>
      <c r="S564" s="10" t="n">
        <v>0</v>
      </c>
    </row>
    <row r="565" ht="97" customHeight="1">
      <c r="A565" s="6">
        <f>IFERROR(__xludf.DUMMYFUNCTION("""COMPUTED_VALUE"""),"MATHS GROUP 3")</f>
        <v/>
      </c>
      <c r="B565" s="6">
        <f>IFERROR(__xludf.DUMMYFUNCTION("""COMPUTED_VALUE"""),"Resource")</f>
        <v/>
      </c>
      <c r="C565" s="6">
        <f>IFERROR(__xludf.DUMMYFUNCTION("""COMPUTED_VALUE"""),"Solve Quadratic Equations using Quadratic Formula")</f>
        <v/>
      </c>
      <c r="D565" s="7">
        <f>IFERROR(__xludf.DUMMYFUNCTION("""COMPUTED_VALUE"""),"Visit http://MathMeeting.com for Free videos on the quadratic formula and all other topics in algebra.")</f>
        <v/>
      </c>
      <c r="E565" s="7">
        <f>IFERROR(__xludf.DUMMYFUNCTION("""COMPUTED_VALUE"""),"youtu.be: A shortened URL service for YouTube, leading to various videos on the platform.")</f>
        <v/>
      </c>
      <c r="F565" s="7" t="n"/>
      <c r="G565" s="8" t="n">
        <v>1</v>
      </c>
      <c r="H565" s="8" t="n">
        <v>0</v>
      </c>
      <c r="I565" s="8" t="n">
        <v>0</v>
      </c>
      <c r="J565" s="8" t="n">
        <v>0</v>
      </c>
      <c r="K565" s="9" t="n">
        <v>1</v>
      </c>
      <c r="L565" s="9" t="n">
        <v>0</v>
      </c>
      <c r="M565" s="9" t="n">
        <v>0</v>
      </c>
      <c r="N565" s="9" t="n">
        <v>0</v>
      </c>
      <c r="O565" s="10" t="n">
        <v>1</v>
      </c>
      <c r="P565" s="10" t="n">
        <v>0</v>
      </c>
      <c r="Q565" s="10" t="n">
        <v>0</v>
      </c>
      <c r="R565" s="10" t="n">
        <v>0</v>
      </c>
      <c r="S565" s="10" t="n">
        <v>0</v>
      </c>
    </row>
    <row r="566" ht="169" customHeight="1">
      <c r="A566" s="6">
        <f>IFERROR(__xludf.DUMMYFUNCTION("""COMPUTED_VALUE"""),"MATHS GROUP 3")</f>
        <v/>
      </c>
      <c r="B566" s="6">
        <f>IFERROR(__xludf.DUMMYFUNCTION("""COMPUTED_VALUE"""),"Resource")</f>
        <v/>
      </c>
      <c r="C566" s="6">
        <f>IFERROR(__xludf.DUMMYFUNCTION("""COMPUTED_VALUE"""),"Ex 1:  Solving Quadratic Equations Graphically Using x-Intercepts")</f>
        <v/>
      </c>
      <c r="D566" s="7">
        <f>IFERROR(__xludf.DUMMYFUNCTION("""COMPUTED_VALUE"""),"This video provides several examples of how to use the graph of a quadratic function to solve a quadratic equation.   Library:  http://mathispower4u.com Search:  http://mathispoweru4.wordpress.com")</f>
        <v/>
      </c>
      <c r="E566" s="7">
        <f>IFERROR(__xludf.DUMMYFUNCTION("""COMPUTED_VALUE"""),"youtu.be: A shortened URL service for YouTube, leading to various videos on the platform.")</f>
        <v/>
      </c>
      <c r="F566" s="7" t="n"/>
      <c r="G566" s="8" t="n">
        <v>1</v>
      </c>
      <c r="H566" s="8" t="n">
        <v>0</v>
      </c>
      <c r="I566" s="8" t="n">
        <v>0</v>
      </c>
      <c r="J566" s="8" t="n">
        <v>0</v>
      </c>
      <c r="K566" s="9" t="n">
        <v>1</v>
      </c>
      <c r="L566" s="9" t="n">
        <v>0</v>
      </c>
      <c r="M566" s="9" t="n">
        <v>0</v>
      </c>
      <c r="N566" s="9" t="n">
        <v>0</v>
      </c>
      <c r="O566" s="10" t="n">
        <v>1</v>
      </c>
      <c r="P566" s="10" t="n">
        <v>0</v>
      </c>
      <c r="Q566" s="10" t="n">
        <v>0</v>
      </c>
      <c r="R566" s="10" t="n">
        <v>0</v>
      </c>
      <c r="S566" s="10" t="n">
        <v>0</v>
      </c>
    </row>
    <row r="567" ht="409.5" customHeight="1">
      <c r="A567" s="6">
        <f>IFERROR(__xludf.DUMMYFUNCTION("""COMPUTED_VALUE"""),"MATHS GROUP 3")</f>
        <v/>
      </c>
      <c r="B567" s="6">
        <f>IFERROR(__xludf.DUMMYFUNCTION("""COMPUTED_VALUE"""),"Application")</f>
        <v/>
      </c>
      <c r="C567" s="6">
        <f>IFERROR(__xludf.DUMMYFUNCTION("""COMPUTED_VALUE"""),"Graphing Lines")</f>
        <v/>
      </c>
      <c r="D567" s="7">
        <f>IFERROR(__xludf.DUMMYFUNCTION("""COMPUTED_VALUE"""),"No task description")</f>
        <v/>
      </c>
      <c r="E567"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67" s="7" t="n"/>
      <c r="G567" s="8" t="n">
        <v>0</v>
      </c>
      <c r="H567" s="8" t="n">
        <v>1</v>
      </c>
      <c r="I567" s="8" t="n">
        <v>0</v>
      </c>
      <c r="J567" s="8" t="n">
        <v>0</v>
      </c>
      <c r="K567" s="9" t="n">
        <v>1</v>
      </c>
      <c r="L567" s="9" t="n">
        <v>0</v>
      </c>
      <c r="M567" s="9" t="n">
        <v>0</v>
      </c>
      <c r="N567" s="9" t="n">
        <v>0</v>
      </c>
      <c r="O567" s="10" t="n">
        <v>0</v>
      </c>
      <c r="P567" s="10" t="n">
        <v>0</v>
      </c>
      <c r="Q567" s="10" t="n">
        <v>1</v>
      </c>
      <c r="R567" s="10" t="n">
        <v>0</v>
      </c>
      <c r="S567" s="10" t="n">
        <v>0</v>
      </c>
    </row>
    <row r="568" ht="25" customHeight="1">
      <c r="A568" s="6">
        <f>IFERROR(__xludf.DUMMYFUNCTION("""COMPUTED_VALUE"""),"MATHS GROUP 3")</f>
        <v/>
      </c>
      <c r="B568" s="6">
        <f>IFERROR(__xludf.DUMMYFUNCTION("""COMPUTED_VALUE"""),"Space")</f>
        <v/>
      </c>
      <c r="C568" s="6">
        <f>IFERROR(__xludf.DUMMYFUNCTION("""COMPUTED_VALUE"""),"Conceptualisation")</f>
        <v/>
      </c>
      <c r="D568" s="7">
        <f>IFERROR(__xludf.DUMMYFUNCTION("""COMPUTED_VALUE"""),"No task description")</f>
        <v/>
      </c>
      <c r="E568" s="7">
        <f>IFERROR(__xludf.DUMMYFUNCTION("""COMPUTED_VALUE"""),"No artifact embedded")</f>
        <v/>
      </c>
      <c r="F568" s="7" t="n"/>
      <c r="G568" s="8" t="n">
        <v>0</v>
      </c>
      <c r="H568" s="8" t="n">
        <v>0</v>
      </c>
      <c r="I568" s="8" t="n">
        <v>0</v>
      </c>
      <c r="J568" s="8" t="n">
        <v>0</v>
      </c>
      <c r="K568" s="9" t="n">
        <v>0</v>
      </c>
      <c r="L568" s="9" t="n">
        <v>0</v>
      </c>
      <c r="M568" s="9" t="n">
        <v>0</v>
      </c>
      <c r="N568" s="9" t="n">
        <v>0</v>
      </c>
      <c r="O568" s="10" t="n">
        <v>0</v>
      </c>
      <c r="P568" s="10" t="n">
        <v>0</v>
      </c>
      <c r="Q568" s="10" t="n">
        <v>0</v>
      </c>
      <c r="R568" s="10" t="n">
        <v>0</v>
      </c>
      <c r="S568" s="10" t="n">
        <v>0</v>
      </c>
    </row>
    <row r="569" ht="73" customHeight="1">
      <c r="A569" s="6">
        <f>IFERROR(__xludf.DUMMYFUNCTION("""COMPUTED_VALUE"""),"MATHS GROUP 3")</f>
        <v/>
      </c>
      <c r="B569" s="6">
        <f>IFERROR(__xludf.DUMMYFUNCTION("""COMPUTED_VALUE"""),"Resource")</f>
        <v/>
      </c>
      <c r="C569" s="6">
        <f>IFERROR(__xludf.DUMMYFUNCTION("""COMPUTED_VALUE"""),"Hypothesis.graasp")</f>
        <v/>
      </c>
      <c r="D569" s="7">
        <f>IFERROR(__xludf.DUMMYFUNCTION("""COMPUTED_VALUE"""),"&lt;p&gt;ALl quadratic equations could be solved using graphical formular method.&lt;/p&gt;")</f>
        <v/>
      </c>
      <c r="E569" s="7">
        <f>IFERROR(__xludf.DUMMYFUNCTION("""COMPUTED_VALUE"""),"No artifact embedded")</f>
        <v/>
      </c>
      <c r="F569" s="7" t="n"/>
      <c r="G569" s="8" t="n">
        <v>1</v>
      </c>
      <c r="H569" s="8" t="n">
        <v>0</v>
      </c>
      <c r="I569" s="8" t="n">
        <v>0</v>
      </c>
      <c r="J569" s="8" t="n">
        <v>0</v>
      </c>
      <c r="K569" s="9" t="n">
        <v>1</v>
      </c>
      <c r="L569" s="9" t="n">
        <v>0</v>
      </c>
      <c r="M569" s="9" t="n">
        <v>0</v>
      </c>
      <c r="N569" s="9" t="n">
        <v>0</v>
      </c>
      <c r="O569" s="10" t="n">
        <v>1</v>
      </c>
      <c r="P569" s="10" t="n">
        <v>0</v>
      </c>
      <c r="Q569" s="10" t="n">
        <v>0</v>
      </c>
      <c r="R569" s="10" t="n">
        <v>0</v>
      </c>
      <c r="S569" s="10" t="n">
        <v>0</v>
      </c>
    </row>
    <row r="570" ht="409.5" customHeight="1">
      <c r="A570" s="6">
        <f>IFERROR(__xludf.DUMMYFUNCTION("""COMPUTED_VALUE"""),"MATHS GROUP 3")</f>
        <v/>
      </c>
      <c r="B570" s="6">
        <f>IFERROR(__xludf.DUMMYFUNCTION("""COMPUTED_VALUE"""),"Application")</f>
        <v/>
      </c>
      <c r="C570" s="6">
        <f>IFERROR(__xludf.DUMMYFUNCTION("""COMPUTED_VALUE"""),"Graphing Lines Source")</f>
        <v/>
      </c>
      <c r="D570" s="7">
        <f>IFERROR(__xludf.DUMMYFUNCTION("""COMPUTED_VALUE"""),"No task description")</f>
        <v/>
      </c>
      <c r="E570"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70" s="7" t="n"/>
      <c r="G570" s="8" t="n">
        <v>0</v>
      </c>
      <c r="H570" s="8" t="n">
        <v>1</v>
      </c>
      <c r="I570" s="8" t="n">
        <v>0</v>
      </c>
      <c r="J570" s="8" t="n">
        <v>0</v>
      </c>
      <c r="K570" s="9" t="n">
        <v>1</v>
      </c>
      <c r="L570" s="9" t="n">
        <v>0</v>
      </c>
      <c r="M570" s="9" t="n">
        <v>0</v>
      </c>
      <c r="N570" s="9" t="n">
        <v>0</v>
      </c>
      <c r="O570" s="10" t="n">
        <v>0</v>
      </c>
      <c r="P570" s="10" t="n">
        <v>0</v>
      </c>
      <c r="Q570" s="10" t="n">
        <v>1</v>
      </c>
      <c r="R570" s="10" t="n">
        <v>0</v>
      </c>
      <c r="S570" s="10" t="n">
        <v>0</v>
      </c>
    </row>
    <row r="571" ht="25" customHeight="1">
      <c r="A571" s="6">
        <f>IFERROR(__xludf.DUMMYFUNCTION("""COMPUTED_VALUE"""),"MATHS GROUP 3")</f>
        <v/>
      </c>
      <c r="B571" s="6">
        <f>IFERROR(__xludf.DUMMYFUNCTION("""COMPUTED_VALUE"""),"Space")</f>
        <v/>
      </c>
      <c r="C571" s="6">
        <f>IFERROR(__xludf.DUMMYFUNCTION("""COMPUTED_VALUE"""),"Investigation")</f>
        <v/>
      </c>
      <c r="D571" s="7">
        <f>IFERROR(__xludf.DUMMYFUNCTION("""COMPUTED_VALUE"""),"No task description")</f>
        <v/>
      </c>
      <c r="E571" s="7">
        <f>IFERROR(__xludf.DUMMYFUNCTION("""COMPUTED_VALUE"""),"No artifact embedded")</f>
        <v/>
      </c>
      <c r="F571" s="7" t="n"/>
      <c r="G571" s="8" t="n">
        <v>0</v>
      </c>
      <c r="H571" s="8" t="n">
        <v>0</v>
      </c>
      <c r="I571" s="8" t="n">
        <v>0</v>
      </c>
      <c r="J571" s="8" t="n">
        <v>0</v>
      </c>
      <c r="K571" s="9" t="n">
        <v>0</v>
      </c>
      <c r="L571" s="9" t="n">
        <v>0</v>
      </c>
      <c r="M571" s="9" t="n">
        <v>0</v>
      </c>
      <c r="N571" s="9" t="n">
        <v>0</v>
      </c>
      <c r="O571" s="10" t="n">
        <v>0</v>
      </c>
      <c r="P571" s="10" t="n">
        <v>0</v>
      </c>
      <c r="Q571" s="10" t="n">
        <v>0</v>
      </c>
      <c r="R571" s="10" t="n">
        <v>0</v>
      </c>
      <c r="S571" s="10" t="n">
        <v>0</v>
      </c>
    </row>
    <row r="572" ht="49" customHeight="1">
      <c r="A572" s="6">
        <f>IFERROR(__xludf.DUMMYFUNCTION("""COMPUTED_VALUE"""),"MATHS GROUP 3")</f>
        <v/>
      </c>
      <c r="B572" s="6">
        <f>IFERROR(__xludf.DUMMYFUNCTION("""COMPUTED_VALUE"""),"Resource")</f>
        <v/>
      </c>
      <c r="C572" s="6">
        <f>IFERROR(__xludf.DUMMYFUNCTION("""COMPUTED_VALUE"""),"Word Problem.graasp")</f>
        <v/>
      </c>
      <c r="D572" s="7">
        <f>IFERROR(__xludf.DUMMYFUNCTION("""COMPUTED_VALUE"""),"&lt;p&gt;if y=0 and a,b,c are known then we can get values for x.&lt;/p&gt;")</f>
        <v/>
      </c>
      <c r="E572" s="7">
        <f>IFERROR(__xludf.DUMMYFUNCTION("""COMPUTED_VALUE"""),"No artifact embedded")</f>
        <v/>
      </c>
      <c r="F572" s="7" t="n"/>
      <c r="G572" s="8" t="n">
        <v>1</v>
      </c>
      <c r="H572" s="8" t="n">
        <v>0</v>
      </c>
      <c r="I572" s="8" t="n">
        <v>0</v>
      </c>
      <c r="J572" s="8" t="n">
        <v>0</v>
      </c>
      <c r="K572" s="9" t="n">
        <v>1</v>
      </c>
      <c r="L572" s="9" t="n">
        <v>0</v>
      </c>
      <c r="M572" s="9" t="n">
        <v>0</v>
      </c>
      <c r="N572" s="9" t="n">
        <v>0</v>
      </c>
      <c r="O572" s="10" t="n">
        <v>1</v>
      </c>
      <c r="P572" s="10" t="n">
        <v>0</v>
      </c>
      <c r="Q572" s="10" t="n">
        <v>0</v>
      </c>
      <c r="R572" s="10" t="n">
        <v>0</v>
      </c>
      <c r="S572" s="10" t="n">
        <v>0</v>
      </c>
    </row>
    <row r="573" ht="25" customHeight="1">
      <c r="A573" s="6">
        <f>IFERROR(__xludf.DUMMYFUNCTION("""COMPUTED_VALUE"""),"MATHS GROUP 3")</f>
        <v/>
      </c>
      <c r="B573" s="6">
        <f>IFERROR(__xludf.DUMMYFUNCTION("""COMPUTED_VALUE"""),"Space")</f>
        <v/>
      </c>
      <c r="C573" s="6">
        <f>IFERROR(__xludf.DUMMYFUNCTION("""COMPUTED_VALUE"""),"Conclusion")</f>
        <v/>
      </c>
      <c r="D573" s="7">
        <f>IFERROR(__xludf.DUMMYFUNCTION("""COMPUTED_VALUE"""),"No task description")</f>
        <v/>
      </c>
      <c r="E573" s="7">
        <f>IFERROR(__xludf.DUMMYFUNCTION("""COMPUTED_VALUE"""),"No artifact embedded")</f>
        <v/>
      </c>
      <c r="F573" s="7" t="n"/>
      <c r="G573" s="8" t="n">
        <v>0</v>
      </c>
      <c r="H573" s="8" t="n">
        <v>0</v>
      </c>
      <c r="I573" s="8" t="n">
        <v>0</v>
      </c>
      <c r="J573" s="8" t="n">
        <v>0</v>
      </c>
      <c r="K573" s="9" t="n">
        <v>0</v>
      </c>
      <c r="L573" s="9" t="n">
        <v>0</v>
      </c>
      <c r="M573" s="9" t="n">
        <v>0</v>
      </c>
      <c r="N573" s="9" t="n">
        <v>0</v>
      </c>
      <c r="O573" s="10" t="n">
        <v>0</v>
      </c>
      <c r="P573" s="10" t="n">
        <v>0</v>
      </c>
      <c r="Q573" s="10" t="n">
        <v>0</v>
      </c>
      <c r="R573" s="10" t="n">
        <v>0</v>
      </c>
      <c r="S573" s="10" t="n">
        <v>0</v>
      </c>
    </row>
    <row r="574" ht="49" customHeight="1">
      <c r="A574" s="6">
        <f>IFERROR(__xludf.DUMMYFUNCTION("""COMPUTED_VALUE"""),"MATHS GROUP 3")</f>
        <v/>
      </c>
      <c r="B574" s="6">
        <f>IFERROR(__xludf.DUMMYFUNCTION("""COMPUTED_VALUE"""),"Resource")</f>
        <v/>
      </c>
      <c r="C574" s="6">
        <f>IFERROR(__xludf.DUMMYFUNCTION("""COMPUTED_VALUE"""),"Results.graasp")</f>
        <v/>
      </c>
      <c r="D574" s="7">
        <f>IFERROR(__xludf.DUMMYFUNCTION("""COMPUTED_VALUE"""),"&lt;p&gt;Both methods give the same values for x.&lt;/p&gt;")</f>
        <v/>
      </c>
      <c r="E574" s="7">
        <f>IFERROR(__xludf.DUMMYFUNCTION("""COMPUTED_VALUE"""),"No artifact embedded")</f>
        <v/>
      </c>
      <c r="F574" s="7" t="n"/>
      <c r="G574" s="8" t="n">
        <v>1</v>
      </c>
      <c r="H574" s="8" t="n">
        <v>0</v>
      </c>
      <c r="I574" s="8" t="n">
        <v>0</v>
      </c>
      <c r="J574" s="8" t="n">
        <v>0</v>
      </c>
      <c r="K574" s="9" t="n">
        <v>1</v>
      </c>
      <c r="L574" s="9" t="n">
        <v>0</v>
      </c>
      <c r="M574" s="9" t="n">
        <v>0</v>
      </c>
      <c r="N574" s="9" t="n">
        <v>0</v>
      </c>
      <c r="O574" s="10" t="n">
        <v>1</v>
      </c>
      <c r="P574" s="10" t="n">
        <v>0</v>
      </c>
      <c r="Q574" s="10" t="n">
        <v>0</v>
      </c>
      <c r="R574" s="10" t="n">
        <v>0</v>
      </c>
      <c r="S574" s="10" t="n">
        <v>0</v>
      </c>
    </row>
    <row r="575" ht="25" customHeight="1">
      <c r="A575" s="6">
        <f>IFERROR(__xludf.DUMMYFUNCTION("""COMPUTED_VALUE"""),"MATHS GROUP 3")</f>
        <v/>
      </c>
      <c r="B575" s="6">
        <f>IFERROR(__xludf.DUMMYFUNCTION("""COMPUTED_VALUE"""),"Space")</f>
        <v/>
      </c>
      <c r="C575" s="6">
        <f>IFERROR(__xludf.DUMMYFUNCTION("""COMPUTED_VALUE"""),"Discussion")</f>
        <v/>
      </c>
      <c r="D575" s="7">
        <f>IFERROR(__xludf.DUMMYFUNCTION("""COMPUTED_VALUE"""),"No task description")</f>
        <v/>
      </c>
      <c r="E575" s="7">
        <f>IFERROR(__xludf.DUMMYFUNCTION("""COMPUTED_VALUE"""),"No artifact embedded")</f>
        <v/>
      </c>
      <c r="F575" s="7" t="n"/>
      <c r="G575" s="8" t="n">
        <v>0</v>
      </c>
      <c r="H575" s="8" t="n">
        <v>0</v>
      </c>
      <c r="I575" s="8" t="n">
        <v>0</v>
      </c>
      <c r="J575" s="8" t="n">
        <v>0</v>
      </c>
      <c r="K575" s="9" t="n">
        <v>0</v>
      </c>
      <c r="L575" s="9" t="n">
        <v>0</v>
      </c>
      <c r="M575" s="9" t="n">
        <v>0</v>
      </c>
      <c r="N575" s="9" t="n">
        <v>0</v>
      </c>
      <c r="O575" s="10" t="n">
        <v>0</v>
      </c>
      <c r="P575" s="10" t="n">
        <v>0</v>
      </c>
      <c r="Q575" s="10" t="n">
        <v>0</v>
      </c>
      <c r="R575" s="10" t="n">
        <v>0</v>
      </c>
      <c r="S575" s="10" t="n">
        <v>0</v>
      </c>
    </row>
    <row r="576" ht="109" customHeight="1">
      <c r="A576" s="6">
        <f>IFERROR(__xludf.DUMMYFUNCTION("""COMPUTED_VALUE"""),"MATHS GROUP 3")</f>
        <v/>
      </c>
      <c r="B576" s="6">
        <f>IFERROR(__xludf.DUMMYFUNCTION("""COMPUTED_VALUE"""),"Topic")</f>
        <v/>
      </c>
      <c r="C576" s="6">
        <f>IFERROR(__xludf.DUMMYFUNCTION("""COMPUTED_VALUE"""),"Quadratic equations")</f>
        <v/>
      </c>
      <c r="D576" s="7">
        <f>IFERROR(__xludf.DUMMYFUNCTION("""COMPUTED_VALUE"""),"Try both methods for solving quadratic equations and discuss your findings")</f>
        <v/>
      </c>
      <c r="E576" s="7">
        <f>IFERROR(__xludf.DUMMYFUNCTION("""COMPUTED_VALUE"""),"text/html – A webpage or web document that contains structured text, images, and links, designed for display in a web browser.")</f>
        <v/>
      </c>
      <c r="F576" s="7" t="n"/>
      <c r="G576" s="8" t="n">
        <v>0</v>
      </c>
      <c r="H576" s="8" t="n">
        <v>0</v>
      </c>
      <c r="I576" s="8" t="n">
        <v>0</v>
      </c>
      <c r="J576" s="8" t="n">
        <v>1</v>
      </c>
      <c r="K576" s="9" t="n">
        <v>1</v>
      </c>
      <c r="L576" s="9" t="n">
        <v>0</v>
      </c>
      <c r="M576" s="9" t="n">
        <v>1</v>
      </c>
      <c r="N576" s="9" t="n">
        <v>0</v>
      </c>
      <c r="O576" s="10" t="n">
        <v>0</v>
      </c>
      <c r="P576" s="10" t="n">
        <v>0</v>
      </c>
      <c r="Q576" s="10" t="n">
        <v>1</v>
      </c>
      <c r="R576" s="10" t="n">
        <v>0</v>
      </c>
      <c r="S576" s="10" t="n">
        <v>1</v>
      </c>
    </row>
    <row r="577" ht="409.5" customHeight="1">
      <c r="A577" s="6">
        <f>IFERROR(__xludf.DUMMYFUNCTION("""COMPUTED_VALUE"""),"Leadership in your life")</f>
        <v/>
      </c>
      <c r="B577" s="6">
        <f>IFERROR(__xludf.DUMMYFUNCTION("""COMPUTED_VALUE"""),"Space")</f>
        <v/>
      </c>
      <c r="C577" s="6">
        <f>IFERROR(__xludf.DUMMYFUNCTION("""COMPUTED_VALUE"""),"Orientation")</f>
        <v/>
      </c>
      <c r="D577" s="7">
        <f>IFERROR(__xludf.DUMMYFUNCTION("""COMPUTED_VALUE"""),"&lt;p&gt;Hello, dear students! I hope that each of you has already decided on the purpose in life and knows exactly what he or she will do after getting a Master's degree. Perhaps, some of you are already working in the profession or have found yourself in some"&amp;"thing completely different. But in the conditions of the stress and bustle of everyday life, only the strongest achieve success: people with leadership qualities, endurance and constant self-motivation. &lt;/p&gt;&lt;p&gt;Do you wonder how exactly our features of cha"&amp;"racter influence the achievement of certain goals in life? Have you always thought that leadership has no variations and is exclusively an inherent feature? Then let's analyze this topic and find out the truth within our lesson.&lt;/p&gt;&lt;p&gt;Before you start rev"&amp;"iewing some theoretical material, watch this entertaining video that displays a childish vision on who actually is the leader in their lives.&lt;/p&gt;")</f>
        <v/>
      </c>
      <c r="E577" s="7">
        <f>IFERROR(__xludf.DUMMYFUNCTION("""COMPUTED_VALUE"""),"No artifact embedded")</f>
        <v/>
      </c>
      <c r="F577" s="7" t="n"/>
      <c r="G577" s="8" t="n">
        <v>1</v>
      </c>
      <c r="H577" s="8" t="n">
        <v>0</v>
      </c>
      <c r="I577" s="8" t="n">
        <v>0</v>
      </c>
      <c r="J577" s="8" t="n">
        <v>0</v>
      </c>
      <c r="K577" s="9" t="n">
        <v>1</v>
      </c>
      <c r="L577" s="9" t="n">
        <v>0</v>
      </c>
      <c r="M577" s="9" t="n">
        <v>0</v>
      </c>
      <c r="N577" s="9" t="n">
        <v>0</v>
      </c>
      <c r="O577" s="10" t="n">
        <v>1</v>
      </c>
      <c r="P577" s="10" t="n">
        <v>0</v>
      </c>
      <c r="Q577" s="10" t="n">
        <v>0</v>
      </c>
      <c r="R577" s="10" t="n">
        <v>0</v>
      </c>
      <c r="S577" s="10" t="n">
        <v>0</v>
      </c>
    </row>
    <row r="578" ht="121" customHeight="1">
      <c r="A578" s="6">
        <f>IFERROR(__xludf.DUMMYFUNCTION("""COMPUTED_VALUE"""),"Leadership in your life")</f>
        <v/>
      </c>
      <c r="B578" s="6">
        <f>IFERROR(__xludf.DUMMYFUNCTION("""COMPUTED_VALUE"""),"Resource")</f>
        <v/>
      </c>
      <c r="C578" s="6">
        <f>IFERROR(__xludf.DUMMYFUNCTION("""COMPUTED_VALUE"""),"What is a Leader.mp4")</f>
        <v/>
      </c>
      <c r="D578" s="7">
        <f>IFERROR(__xludf.DUMMYFUNCTION("""COMPUTED_VALUE"""),"No task description")</f>
        <v/>
      </c>
      <c r="E578" s="7">
        <f>IFERROR(__xludf.DUMMYFUNCTION("""COMPUTED_VALUE"""),"video/mp4 – A video file containing moving images and possibly audio, suitable for playback on most modern devices and platforms.")</f>
        <v/>
      </c>
      <c r="F578" s="7" t="n"/>
      <c r="G578" s="8" t="n">
        <v>1</v>
      </c>
      <c r="H578" s="8" t="n">
        <v>0</v>
      </c>
      <c r="I578" s="8" t="n">
        <v>0</v>
      </c>
      <c r="J578" s="8" t="n">
        <v>0</v>
      </c>
      <c r="K578" s="9" t="n">
        <v>1</v>
      </c>
      <c r="L578" s="9" t="n">
        <v>0</v>
      </c>
      <c r="M578" s="9" t="n">
        <v>0</v>
      </c>
      <c r="N578" s="9" t="n">
        <v>0</v>
      </c>
      <c r="O578" s="10" t="n">
        <v>0</v>
      </c>
      <c r="P578" s="10" t="n">
        <v>0</v>
      </c>
      <c r="Q578" s="10" t="n">
        <v>0</v>
      </c>
      <c r="R578" s="10" t="n">
        <v>0</v>
      </c>
      <c r="S578" s="10" t="n">
        <v>0</v>
      </c>
    </row>
    <row r="579" ht="409.5" customHeight="1">
      <c r="A579" s="6">
        <f>IFERROR(__xludf.DUMMYFUNCTION("""COMPUTED_VALUE"""),"Leadership in your life")</f>
        <v/>
      </c>
      <c r="B579" s="6">
        <f>IFERROR(__xludf.DUMMYFUNCTION("""COMPUTED_VALUE"""),"Space")</f>
        <v/>
      </c>
      <c r="C579" s="6">
        <f>IFERROR(__xludf.DUMMYFUNCTION("""COMPUTED_VALUE"""),"Conceptualisation")</f>
        <v/>
      </c>
      <c r="D579" s="7">
        <f>IFERROR(__xludf.DUMMYFUNCTION("""COMPUTED_VALUE"""),"&lt;p&gt;To be or not to be… born a leader? Are leaders born or made? These are the questions.&lt;/p&gt;&lt;p&gt;There are some theories that put the innate factor first and others that postulate our ability to become leaders. Reality has shown us tough, that there are in "&amp;"fact three categories: those who are indeed born leaders, those who simply aren’t ever going to be very good leaders and then there’s the middle category — where the vast majority of us lies. And this is precisely where the real potential for becoming a l"&amp;"eader can be found.&lt;/p&gt;&lt;p&gt;For better understanding of this question, study two thematic articles which are presented below. Try to make some notes, because the practical part of the lesson will be based on information from these sources. Pay particular at"&amp;"tention to the types of leadership.&lt;/p&gt;")</f>
        <v/>
      </c>
      <c r="E579" s="7">
        <f>IFERROR(__xludf.DUMMYFUNCTION("""COMPUTED_VALUE"""),"No artifact embedded")</f>
        <v/>
      </c>
      <c r="F579" s="7" t="n"/>
      <c r="G579" s="8" t="n">
        <v>0</v>
      </c>
      <c r="H579" s="8" t="n">
        <v>0</v>
      </c>
      <c r="I579" s="8" t="n">
        <v>1</v>
      </c>
      <c r="J579" s="8" t="n">
        <v>0</v>
      </c>
      <c r="K579" s="9" t="n">
        <v>0</v>
      </c>
      <c r="L579" s="9" t="n">
        <v>1</v>
      </c>
      <c r="M579" s="9" t="n">
        <v>0</v>
      </c>
      <c r="N579" s="9" t="n">
        <v>0</v>
      </c>
      <c r="O579" s="10" t="n">
        <v>1</v>
      </c>
      <c r="P579" s="10" t="n">
        <v>0</v>
      </c>
      <c r="Q579" s="10" t="n">
        <v>0</v>
      </c>
      <c r="R579" s="10" t="n">
        <v>0</v>
      </c>
      <c r="S579" s="10" t="n">
        <v>0</v>
      </c>
    </row>
    <row r="580" ht="85" customHeight="1">
      <c r="A580" s="6">
        <f>IFERROR(__xludf.DUMMYFUNCTION("""COMPUTED_VALUE"""),"Leadership in your life")</f>
        <v/>
      </c>
      <c r="B580" s="6">
        <f>IFERROR(__xludf.DUMMYFUNCTION("""COMPUTED_VALUE"""),"Resource")</f>
        <v/>
      </c>
      <c r="C580" s="6">
        <f>IFERROR(__xludf.DUMMYFUNCTION("""COMPUTED_VALUE"""),"Is Everyone a Leader?")</f>
        <v/>
      </c>
      <c r="D580" s="7">
        <f>IFERROR(__xludf.DUMMYFUNCTION("""COMPUTED_VALUE"""),"A question I get almost everywhere I go: “Is everyone a leader?”")</f>
        <v/>
      </c>
      <c r="E580" s="7">
        <f>IFERROR(__xludf.DUMMYFUNCTION("""COMPUTED_VALUE"""),"psychologytoday.com: Features articles on psychological topics, such as discussions on leadership.")</f>
        <v/>
      </c>
      <c r="F580" s="7" t="n"/>
      <c r="G580" s="8" t="n">
        <v>1</v>
      </c>
      <c r="H580" s="8" t="n">
        <v>0</v>
      </c>
      <c r="I580" s="8" t="n">
        <v>0</v>
      </c>
      <c r="J580" s="8" t="n">
        <v>0</v>
      </c>
      <c r="K580" s="9" t="n">
        <v>1</v>
      </c>
      <c r="L580" s="9" t="n">
        <v>0</v>
      </c>
      <c r="M580" s="9" t="n">
        <v>0</v>
      </c>
      <c r="N580" s="9" t="n">
        <v>0</v>
      </c>
      <c r="O580" s="10" t="n">
        <v>1</v>
      </c>
      <c r="P580" s="10" t="n">
        <v>0</v>
      </c>
      <c r="Q580" s="10" t="n">
        <v>0</v>
      </c>
      <c r="R580" s="10" t="n">
        <v>0</v>
      </c>
      <c r="S580" s="10" t="n">
        <v>0</v>
      </c>
    </row>
    <row r="581" ht="109" customHeight="1">
      <c r="A581" s="6">
        <f>IFERROR(__xludf.DUMMYFUNCTION("""COMPUTED_VALUE"""),"Leadership in your life")</f>
        <v/>
      </c>
      <c r="B581" s="6">
        <f>IFERROR(__xludf.DUMMYFUNCTION("""COMPUTED_VALUE"""),"Resource")</f>
        <v/>
      </c>
      <c r="C581" s="6">
        <f>IFERROR(__xludf.DUMMYFUNCTION("""COMPUTED_VALUE"""),"7 Common Leadership Styles: Which Type of a Leader Are You?")</f>
        <v/>
      </c>
      <c r="D581" s="7">
        <f>IFERROR(__xludf.DUMMYFUNCTION("""COMPUTED_VALUE"""),"‘Leadership is not a position or a title, it is action and example’ — Unknown")</f>
        <v/>
      </c>
      <c r="E581" s="7">
        <f>IFERROR(__xludf.DUMMYFUNCTION("""COMPUTED_VALUE"""),"blog.proofhub.com: The blog section of ProofHub provides articles on leadership styles and project management.")</f>
        <v/>
      </c>
      <c r="F581" s="7" t="n"/>
      <c r="G581" s="8" t="n">
        <v>1</v>
      </c>
      <c r="H581" s="8" t="n">
        <v>0</v>
      </c>
      <c r="I581" s="8" t="n">
        <v>0</v>
      </c>
      <c r="J581" s="8" t="n">
        <v>0</v>
      </c>
      <c r="K581" s="9" t="n">
        <v>1</v>
      </c>
      <c r="L581" s="9" t="n">
        <v>0</v>
      </c>
      <c r="M581" s="9" t="n">
        <v>0</v>
      </c>
      <c r="N581" s="9" t="n">
        <v>0</v>
      </c>
      <c r="O581" s="10" t="n">
        <v>1</v>
      </c>
      <c r="P581" s="10" t="n">
        <v>0</v>
      </c>
      <c r="Q581" s="10" t="n">
        <v>0</v>
      </c>
      <c r="R581" s="10" t="n">
        <v>0</v>
      </c>
      <c r="S581" s="10" t="n">
        <v>0</v>
      </c>
    </row>
    <row r="582" ht="37" customHeight="1">
      <c r="A582" s="6">
        <f>IFERROR(__xludf.DUMMYFUNCTION("""COMPUTED_VALUE"""),"Leadership in your life")</f>
        <v/>
      </c>
      <c r="B582" s="6">
        <f>IFERROR(__xludf.DUMMYFUNCTION("""COMPUTED_VALUE"""),"Space")</f>
        <v/>
      </c>
      <c r="C582" s="6">
        <f>IFERROR(__xludf.DUMMYFUNCTION("""COMPUTED_VALUE"""),"Investigation")</f>
        <v/>
      </c>
      <c r="D582" s="7">
        <f>IFERROR(__xludf.DUMMYFUNCTION("""COMPUTED_VALUE"""),"&lt;p&gt;Now let's do some practical tasks. &lt;/p&gt;")</f>
        <v/>
      </c>
      <c r="E582" s="7">
        <f>IFERROR(__xludf.DUMMYFUNCTION("""COMPUTED_VALUE"""),"No artifact embedded")</f>
        <v/>
      </c>
      <c r="F582" s="7" t="n"/>
      <c r="G582" s="8" t="n">
        <v>0</v>
      </c>
      <c r="H582" s="8" t="n">
        <v>1</v>
      </c>
      <c r="I582" s="8" t="n">
        <v>0</v>
      </c>
      <c r="J582" s="8" t="n">
        <v>0</v>
      </c>
      <c r="K582" s="9" t="n">
        <v>1</v>
      </c>
      <c r="L582" s="9" t="n">
        <v>0</v>
      </c>
      <c r="M582" s="9" t="n">
        <v>0</v>
      </c>
      <c r="N582" s="9" t="n">
        <v>0</v>
      </c>
      <c r="O582" s="10" t="n">
        <v>0</v>
      </c>
      <c r="P582" s="10" t="n">
        <v>0</v>
      </c>
      <c r="Q582" s="10" t="n">
        <v>0</v>
      </c>
      <c r="R582" s="10" t="n">
        <v>0</v>
      </c>
      <c r="S582" s="10" t="n">
        <v>0</v>
      </c>
    </row>
    <row r="583" ht="406" customHeight="1">
      <c r="A583" s="6">
        <f>IFERROR(__xludf.DUMMYFUNCTION("""COMPUTED_VALUE"""),"Leadership in your life")</f>
        <v/>
      </c>
      <c r="B583" s="6">
        <f>IFERROR(__xludf.DUMMYFUNCTION("""COMPUTED_VALUE"""),"Resource")</f>
        <v/>
      </c>
      <c r="C583" s="6">
        <f>IFERROR(__xludf.DUMMYFUNCTION("""COMPUTED_VALUE"""),"Task 1")</f>
        <v/>
      </c>
      <c r="D583" s="7">
        <f>IFERROR(__xludf.DUMMYFUNCTION("""COMPUTED_VALUE"""),"&lt;p&gt;First we will check understanding of the material that you have read and analyzed. Please, answer such questions:&lt;/p&gt;&lt;p&gt;1) How can a person be a leader without a position of authority?&lt;br&gt;2) What does it mean to be a habitual or situational leader?&lt;br&gt;"&amp;"3) Can an introvert influence other people?&lt;br&gt;4) Is it true that leadership roles and leadership training are just not for everyone?&lt;br&gt;5) Is it true that leadership is only for people who have top positions in an organization?&lt;/p&gt;")</f>
        <v/>
      </c>
      <c r="E583" s="7">
        <f>IFERROR(__xludf.DUMMYFUNCTION("""COMPUTED_VALUE"""),"image/jpeg – A digital photograph or web image stored in a compressed format, often used for photography and web graphics.")</f>
        <v/>
      </c>
      <c r="F583" s="7" t="n"/>
      <c r="G583" s="8" t="n">
        <v>0</v>
      </c>
      <c r="H583" s="8" t="n">
        <v>0</v>
      </c>
      <c r="I583" s="8" t="n">
        <v>1</v>
      </c>
      <c r="J583" s="8" t="n">
        <v>0</v>
      </c>
      <c r="K583" s="9" t="n">
        <v>0</v>
      </c>
      <c r="L583" s="9" t="n">
        <v>1</v>
      </c>
      <c r="M583" s="9" t="n">
        <v>0</v>
      </c>
      <c r="N583" s="9" t="n">
        <v>0</v>
      </c>
      <c r="O583" s="10" t="n">
        <v>1</v>
      </c>
      <c r="P583" s="10" t="n">
        <v>0</v>
      </c>
      <c r="Q583" s="10" t="n">
        <v>0</v>
      </c>
      <c r="R583" s="10" t="n">
        <v>0</v>
      </c>
      <c r="S583" s="10" t="n">
        <v>0</v>
      </c>
    </row>
    <row r="584" ht="409.5" customHeight="1">
      <c r="A584" s="6">
        <f>IFERROR(__xludf.DUMMYFUNCTION("""COMPUTED_VALUE"""),"Leadership in your life")</f>
        <v/>
      </c>
      <c r="B584" s="6">
        <f>IFERROR(__xludf.DUMMYFUNCTION("""COMPUTED_VALUE"""),"Resource")</f>
        <v/>
      </c>
      <c r="C584" s="6">
        <f>IFERROR(__xludf.DUMMYFUNCTION("""COMPUTED_VALUE"""),"Task 2")</f>
        <v/>
      </c>
      <c r="D584" s="7">
        <f>IFERROR(__xludf.DUMMYFUNCTION("""COMPUTED_VALUE"""),"&lt;p&gt;Now you will work in pairs. Imagine that one of you is a director of the translation agency and another one — a translator. The director has received a message from a rich and regular customer with complaints about low quality of translation and a grea"&amp;"t amount of mistakes. It is the second such situation with this worker. How will boss chat with his worker, explaining the problem, if he is a: &lt;br&gt;1) autocratic leader;&lt;br&gt;2) democratic leader;&lt;br&gt;3) coaching leader;&lt;br&gt;4) strategic leader;&lt;/p&gt;&lt;p&gt;5) tran"&amp;"sformational leader;&lt;/p&gt;&lt;p&gt;6) laissez-faire leader;&lt;/p&gt;&lt;p&gt;7) charismatic leader. &lt;br&gt;You can exaggerate some features to make the image recognizable and creative. Then we will discuss this dialogues and decide how to be not only a leader but also a good m"&amp;"otivator for the colleagues. &lt;/p&gt;")</f>
        <v/>
      </c>
      <c r="E584" s="7">
        <f>IFERROR(__xludf.DUMMYFUNCTION("""COMPUTED_VALUE"""),"image/jpeg – A digital photograph or web image stored in a compressed format, often used for photography and web graphics.")</f>
        <v/>
      </c>
      <c r="F584" s="7" t="n"/>
      <c r="G584" s="8" t="n">
        <v>0</v>
      </c>
      <c r="H584" s="8" t="n">
        <v>0</v>
      </c>
      <c r="I584" s="8" t="n">
        <v>0</v>
      </c>
      <c r="J584" s="8" t="n">
        <v>1</v>
      </c>
      <c r="K584" s="9" t="n">
        <v>0</v>
      </c>
      <c r="L584" s="9" t="n">
        <v>0</v>
      </c>
      <c r="M584" s="9" t="n">
        <v>1</v>
      </c>
      <c r="N584" s="9" t="n">
        <v>0</v>
      </c>
      <c r="O584" s="10" t="n">
        <v>0</v>
      </c>
      <c r="P584" s="10" t="n">
        <v>0</v>
      </c>
      <c r="Q584" s="10" t="n">
        <v>1</v>
      </c>
      <c r="R584" s="10" t="n">
        <v>0</v>
      </c>
      <c r="S584" s="10" t="n">
        <v>1</v>
      </c>
    </row>
    <row r="585" ht="409.5" customHeight="1">
      <c r="A585" s="6">
        <f>IFERROR(__xludf.DUMMYFUNCTION("""COMPUTED_VALUE"""),"Leadership in your life")</f>
        <v/>
      </c>
      <c r="B585" s="6">
        <f>IFERROR(__xludf.DUMMYFUNCTION("""COMPUTED_VALUE"""),"Space")</f>
        <v/>
      </c>
      <c r="C585" s="6">
        <f>IFERROR(__xludf.DUMMYFUNCTION("""COMPUTED_VALUE"""),"Discussion")</f>
        <v/>
      </c>
      <c r="D585" s="7">
        <f>IFERROR(__xludf.DUMMYFUNCTION("""COMPUTED_VALUE"""),"&lt;p&gt;Today we managed to consider a very important topic — the problem of leadership. It concerns not only your future work, but also your position in life in general. Indeed, depending on how you behave in certain situations, you construct the position of "&amp;"a leader or a victim. You decide whether to follow someone or lead and control other people. And now I want you to read 3 statements, based on what we managed to find out today. You need to agree or disagree and then just prove your point of view. &lt;br&gt;&lt;/p"&amp;"&gt;&lt;p&gt;1. You cannot be a leader if you aren’t in an authority position.&lt;/p&gt;&lt;p&gt;2. You cannot be a leader if you are an introvert.&lt;/p&gt;&lt;p&gt;3. If everyone is a leader, who will follow?&lt;/p&gt;&lt;p&gt;&lt;br&gt;&lt;/p&gt;")</f>
        <v/>
      </c>
      <c r="E585" s="7">
        <f>IFERROR(__xludf.DUMMYFUNCTION("""COMPUTED_VALUE"""),"No artifact embedded")</f>
        <v/>
      </c>
      <c r="F585" s="7" t="n"/>
      <c r="G585" s="8" t="n">
        <v>0</v>
      </c>
      <c r="H585" s="8" t="n">
        <v>1</v>
      </c>
      <c r="I585" s="8" t="n">
        <v>0</v>
      </c>
      <c r="J585" s="8" t="n">
        <v>0</v>
      </c>
      <c r="K585" s="9" t="n">
        <v>1</v>
      </c>
      <c r="L585" s="9" t="n">
        <v>0</v>
      </c>
      <c r="M585" s="9" t="n">
        <v>0</v>
      </c>
      <c r="N585" s="9" t="n">
        <v>0</v>
      </c>
      <c r="O585" s="10" t="n">
        <v>0</v>
      </c>
      <c r="P585" s="10" t="n">
        <v>0</v>
      </c>
      <c r="Q585" s="10" t="n">
        <v>0</v>
      </c>
      <c r="R585" s="10" t="n">
        <v>0</v>
      </c>
      <c r="S585" s="10" t="n">
        <v>1</v>
      </c>
    </row>
    <row r="586" ht="121" customHeight="1">
      <c r="A586" s="6">
        <f>IFERROR(__xludf.DUMMYFUNCTION("""COMPUTED_VALUE"""),"Leadership in your life")</f>
        <v/>
      </c>
      <c r="B586" s="6">
        <f>IFERROR(__xludf.DUMMYFUNCTION("""COMPUTED_VALUE"""),"Resource")</f>
        <v/>
      </c>
      <c r="C586" s="6">
        <f>IFERROR(__xludf.DUMMYFUNCTION("""COMPUTED_VALUE"""),"Think about it!")</f>
        <v/>
      </c>
      <c r="D586" s="7">
        <f>IFERROR(__xludf.DUMMYFUNCTION("""COMPUTED_VALUE"""),"No task description")</f>
        <v/>
      </c>
      <c r="E586" s="7">
        <f>IFERROR(__xludf.DUMMYFUNCTION("""COMPUTED_VALUE"""),"image/jpeg – A digital photograph or web image stored in a compressed format, often used for photography and web graphics.")</f>
        <v/>
      </c>
      <c r="F586" s="7" t="n"/>
      <c r="G586" s="8" t="n">
        <v>0</v>
      </c>
      <c r="H586" s="8" t="n">
        <v>0</v>
      </c>
      <c r="I586" s="8" t="n">
        <v>0</v>
      </c>
      <c r="J586" s="8" t="n">
        <v>0</v>
      </c>
      <c r="K586" s="9" t="n">
        <v>0</v>
      </c>
      <c r="L586" s="9" t="n">
        <v>0</v>
      </c>
      <c r="M586" s="9" t="n">
        <v>0</v>
      </c>
      <c r="N586" s="9" t="n">
        <v>0</v>
      </c>
      <c r="O586" s="10" t="n">
        <v>0</v>
      </c>
      <c r="P586" s="10" t="n">
        <v>0</v>
      </c>
      <c r="Q586" s="10" t="n">
        <v>0</v>
      </c>
      <c r="R586" s="10" t="n">
        <v>0</v>
      </c>
      <c r="S586" s="10" t="n">
        <v>0</v>
      </c>
    </row>
    <row r="587" ht="409.5" customHeight="1">
      <c r="A587" s="6">
        <f>IFERROR(__xludf.DUMMYFUNCTION("""COMPUTED_VALUE"""),"Leadership in your life")</f>
        <v/>
      </c>
      <c r="B587" s="6">
        <f>IFERROR(__xludf.DUMMYFUNCTION("""COMPUTED_VALUE"""),"Space")</f>
        <v/>
      </c>
      <c r="C587" s="6">
        <f>IFERROR(__xludf.DUMMYFUNCTION("""COMPUTED_VALUE"""),"Conclusion")</f>
        <v/>
      </c>
      <c r="D587" s="7">
        <f>IFERROR(__xludf.DUMMYFUNCTION("""COMPUTED_VALUE"""),"&lt;p&gt;Leadership is an important facet whether you are running a kitchen, an organization, or a country. It comes with its own set of responsibilities and challenges as each one of us has a distinct style of leadership and managing things. It is confusing to"&amp;" gauge what leadership style should be implemented when, where, and how. If you know your personality type and have a clarity the kind of leadership that resonates with you the most, it won’t be that difficult. &lt;/p&gt;&lt;p&gt;Now you can pass a test and find out "&amp;"what type of leader you really are. Try it!&lt;/p&gt;")</f>
        <v/>
      </c>
      <c r="E587" s="7">
        <f>IFERROR(__xludf.DUMMYFUNCTION("""COMPUTED_VALUE"""),"No artifact embedded")</f>
        <v/>
      </c>
      <c r="F587" s="7" t="n"/>
      <c r="G587" s="8" t="n">
        <v>0</v>
      </c>
      <c r="H587" s="8" t="n">
        <v>0</v>
      </c>
      <c r="I587" s="8" t="n">
        <v>1</v>
      </c>
      <c r="J587" s="8" t="n">
        <v>0</v>
      </c>
      <c r="K587" s="9" t="n">
        <v>0</v>
      </c>
      <c r="L587" s="9" t="n">
        <v>1</v>
      </c>
      <c r="M587" s="9" t="n">
        <v>0</v>
      </c>
      <c r="N587" s="9" t="n">
        <v>0</v>
      </c>
      <c r="O587" s="10" t="n">
        <v>1</v>
      </c>
      <c r="P587" s="10" t="n">
        <v>0</v>
      </c>
      <c r="Q587" s="10" t="n">
        <v>0</v>
      </c>
      <c r="R587" s="10" t="n">
        <v>0</v>
      </c>
      <c r="S587" s="10" t="n">
        <v>0</v>
      </c>
    </row>
    <row r="588" ht="133" customHeight="1">
      <c r="A588" s="6">
        <f>IFERROR(__xludf.DUMMYFUNCTION("""COMPUTED_VALUE"""),"Leadership in your life")</f>
        <v/>
      </c>
      <c r="B588" s="6">
        <f>IFERROR(__xludf.DUMMYFUNCTION("""COMPUTED_VALUE"""),"Resource")</f>
        <v/>
      </c>
      <c r="C588" s="6">
        <f>IFERROR(__xludf.DUMMYFUNCTION("""COMPUTED_VALUE"""),"Take the Quiz! What Type of Leader Are You? | SEU Online")</f>
        <v/>
      </c>
      <c r="D588" s="7">
        <f>IFERROR(__xludf.DUMMYFUNCTION("""COMPUTED_VALUE"""),"How do you lead, and how do you prefer to be led? What personality do you look for in a boss? What type of leadership style do you have? Take the quiz here.")</f>
        <v/>
      </c>
      <c r="E588" s="7">
        <f>IFERROR(__xludf.DUMMYFUNCTION("""COMPUTED_VALUE"""),"online.seu.edu: Southeastern University's online platform, offering articles and quizzes on topics like leadership styles.")</f>
        <v/>
      </c>
      <c r="F588" s="7" t="n"/>
      <c r="G588" s="8" t="n">
        <v>0</v>
      </c>
      <c r="H588" s="8" t="n">
        <v>0</v>
      </c>
      <c r="I588" s="8" t="n">
        <v>1</v>
      </c>
      <c r="J588" s="8" t="n">
        <v>0</v>
      </c>
      <c r="K588" s="9" t="n">
        <v>0</v>
      </c>
      <c r="L588" s="9" t="n">
        <v>1</v>
      </c>
      <c r="M588" s="9" t="n">
        <v>0</v>
      </c>
      <c r="N588" s="9" t="n">
        <v>0</v>
      </c>
      <c r="O588" s="10" t="n">
        <v>0</v>
      </c>
      <c r="P588" s="10" t="n">
        <v>0</v>
      </c>
      <c r="Q588" s="10" t="n">
        <v>0</v>
      </c>
      <c r="R588" s="10" t="n">
        <v>0</v>
      </c>
      <c r="S588" s="10" t="n">
        <v>1</v>
      </c>
    </row>
    <row r="589" ht="241" customHeight="1">
      <c r="A589" s="6">
        <f>IFERROR(__xludf.DUMMYFUNCTION("""COMPUTED_VALUE"""),"Leadership in your life")</f>
        <v/>
      </c>
      <c r="B589" s="6">
        <f>IFERROR(__xludf.DUMMYFUNCTION("""COMPUTED_VALUE"""),"Space")</f>
        <v/>
      </c>
      <c r="C589" s="6">
        <f>IFERROR(__xludf.DUMMYFUNCTION("""COMPUTED_VALUE"""),"Homework")</f>
        <v/>
      </c>
      <c r="D589" s="7">
        <f>IFERROR(__xludf.DUMMYFUNCTION("""COMPUTED_VALUE"""),"&lt;p&gt;At home you need:&lt;br&gt;1) to write an essay (400 words) on the topic ""Is it difficult to be a leader in a large team?""&lt;br&gt;2) to watch a video ""Great leadership starts with self-leadership"" given below. Write down and learn all unknown words, be ready"&amp;" for the simultaneous translation. &lt;/p&gt;")</f>
        <v/>
      </c>
      <c r="E589" s="7">
        <f>IFERROR(__xludf.DUMMYFUNCTION("""COMPUTED_VALUE"""),"No artifact embedded")</f>
        <v/>
      </c>
      <c r="F589" s="7" t="n"/>
      <c r="G589" s="8" t="n">
        <v>0</v>
      </c>
      <c r="H589" s="8" t="n">
        <v>0</v>
      </c>
      <c r="I589" s="8" t="n">
        <v>1</v>
      </c>
      <c r="J589" s="8" t="n">
        <v>0</v>
      </c>
      <c r="K589" s="9" t="n">
        <v>0</v>
      </c>
      <c r="L589" s="9" t="n">
        <v>1</v>
      </c>
      <c r="M589" s="9" t="n">
        <v>0</v>
      </c>
      <c r="N589" s="9" t="n">
        <v>0</v>
      </c>
      <c r="O589" s="10" t="n">
        <v>0</v>
      </c>
      <c r="P589" s="10" t="n">
        <v>0</v>
      </c>
      <c r="Q589" s="10" t="n">
        <v>0</v>
      </c>
      <c r="R589" s="10" t="n">
        <v>0</v>
      </c>
      <c r="S589" s="10" t="n">
        <v>1</v>
      </c>
    </row>
    <row r="590" ht="409.5" customHeight="1">
      <c r="A590" s="6">
        <f>IFERROR(__xludf.DUMMYFUNCTION("""COMPUTED_VALUE"""),"Leadership in your life")</f>
        <v/>
      </c>
      <c r="B590" s="6">
        <f>IFERROR(__xludf.DUMMYFUNCTION("""COMPUTED_VALUE"""),"Resource")</f>
        <v/>
      </c>
      <c r="C590" s="6">
        <f>IFERROR(__xludf.DUMMYFUNCTION("""COMPUTED_VALUE"""),"Great leadership starts with self-leadership | Lars Sudmann | TEDxUCLouvain")</f>
        <v/>
      </c>
      <c r="D590" s="7">
        <f>IFERROR(__xludf.DUMMYFUNCTION("""COMPUTED_VALUE"""),"&lt;p&gt;At TEDxUtopia, the question was asked: What would leadership in Utopia look like? To start with, imagine the best leader you have ever worked with. How did he or she get to become this type of leader? Leadership lecturer and former corporate executive "&amp;"Lars Sudmann argues that it's likely that they learned to overcome the ""leadership formula of doom"" and then developed themselves as a leader. In this funny and invigorating talk Lars walks us through the personal journeys of great leaders, shows lesson"&amp;"s from the golden age of leadership and shares 3 strategies on self-leadership to develop yourself into a ""Utopia leader”.&lt;/p&gt;")</f>
        <v/>
      </c>
      <c r="E590" s="7">
        <f>IFERROR(__xludf.DUMMYFUNCTION("""COMPUTED_VALUE"""),"youtube.com: A widely known video-sharing platform where users can watch videos on a vast array of topics, including educational content.")</f>
        <v/>
      </c>
      <c r="F590" s="7" t="n"/>
      <c r="G590" s="8" t="n">
        <v>1</v>
      </c>
      <c r="H590" s="8" t="n">
        <v>0</v>
      </c>
      <c r="I590" s="8" t="n">
        <v>0</v>
      </c>
      <c r="J590" s="8" t="n">
        <v>0</v>
      </c>
      <c r="K590" s="9" t="n">
        <v>1</v>
      </c>
      <c r="L590" s="9" t="n">
        <v>0</v>
      </c>
      <c r="M590" s="9" t="n">
        <v>0</v>
      </c>
      <c r="N590" s="9" t="n">
        <v>0</v>
      </c>
      <c r="O590" s="10" t="n">
        <v>1</v>
      </c>
      <c r="P590" s="10" t="n">
        <v>0</v>
      </c>
      <c r="Q590" s="10" t="n">
        <v>0</v>
      </c>
      <c r="R590" s="10" t="n">
        <v>0</v>
      </c>
      <c r="S590" s="10" t="n">
        <v>0</v>
      </c>
    </row>
    <row r="591" ht="37" customHeight="1">
      <c r="A591" s="6">
        <f>IFERROR(__xludf.DUMMYFUNCTION("""COMPUTED_VALUE"""),"PH OF SOLUTIONS")</f>
        <v/>
      </c>
      <c r="B591" s="6">
        <f>IFERROR(__xludf.DUMMYFUNCTION("""COMPUTED_VALUE"""),"Space")</f>
        <v/>
      </c>
      <c r="C591" s="6">
        <f>IFERROR(__xludf.DUMMYFUNCTION("""COMPUTED_VALUE"""),"ENGAGE")</f>
        <v/>
      </c>
      <c r="D591" s="7">
        <f>IFERROR(__xludf.DUMMYFUNCTION("""COMPUTED_VALUE"""),"&lt;p&gt;Form 2The ph of solutions lesson 2&lt;/p&gt;")</f>
        <v/>
      </c>
      <c r="E591" s="7">
        <f>IFERROR(__xludf.DUMMYFUNCTION("""COMPUTED_VALUE"""),"No artifact embedded")</f>
        <v/>
      </c>
      <c r="F591" s="7" t="n"/>
      <c r="G591" s="8" t="n">
        <v>0</v>
      </c>
      <c r="H591" s="8" t="n">
        <v>0</v>
      </c>
      <c r="I591" s="8" t="n">
        <v>0</v>
      </c>
      <c r="J591" s="8" t="n">
        <v>0</v>
      </c>
      <c r="K591" s="9" t="n">
        <v>0</v>
      </c>
      <c r="L591" s="9" t="n">
        <v>0</v>
      </c>
      <c r="M591" s="9" t="n">
        <v>0</v>
      </c>
      <c r="N591" s="9" t="n">
        <v>0</v>
      </c>
      <c r="O591" s="10" t="n">
        <v>0</v>
      </c>
      <c r="P591" s="10" t="n">
        <v>0</v>
      </c>
      <c r="Q591" s="10" t="n">
        <v>0</v>
      </c>
      <c r="R591" s="10" t="n">
        <v>0</v>
      </c>
      <c r="S591" s="10" t="n">
        <v>0</v>
      </c>
    </row>
    <row r="592" ht="97" customHeight="1">
      <c r="A592" s="6">
        <f>IFERROR(__xludf.DUMMYFUNCTION("""COMPUTED_VALUE"""),"PH OF SOLUTIONS")</f>
        <v/>
      </c>
      <c r="B592" s="6">
        <f>IFERROR(__xludf.DUMMYFUNCTION("""COMPUTED_VALUE"""),"Resource")</f>
        <v/>
      </c>
      <c r="C592" s="6">
        <f>IFERROR(__xludf.DUMMYFUNCTION("""COMPUTED_VALUE"""),"observe the folowing diagram and answer the questios that follow,.graasp")</f>
        <v/>
      </c>
      <c r="D592" s="7">
        <f>IFERROR(__xludf.DUMMYFUNCTION("""COMPUTED_VALUE"""),"&lt;p&gt;predict the colour changes.&lt;/p&gt;&lt;p&gt;what happens if water is add to the solution?&lt;/p&gt;&lt;p&gt;&lt;br&gt;&lt;/p&gt;")</f>
        <v/>
      </c>
      <c r="E592" s="7">
        <f>IFERROR(__xludf.DUMMYFUNCTION("""COMPUTED_VALUE"""),"No artifact embedded")</f>
        <v/>
      </c>
      <c r="F592" s="7" t="n"/>
      <c r="G592" s="8" t="n">
        <v>1</v>
      </c>
      <c r="H592" s="8" t="n">
        <v>0</v>
      </c>
      <c r="I592" s="8" t="n">
        <v>0</v>
      </c>
      <c r="J592" s="8" t="n">
        <v>0</v>
      </c>
      <c r="K592" s="9" t="n">
        <v>1</v>
      </c>
      <c r="L592" s="9" t="n">
        <v>0</v>
      </c>
      <c r="M592" s="9" t="n">
        <v>0</v>
      </c>
      <c r="N592" s="9" t="n">
        <v>0</v>
      </c>
      <c r="O592" s="10" t="n">
        <v>0</v>
      </c>
      <c r="P592" s="10" t="n">
        <v>1</v>
      </c>
      <c r="Q592" s="10" t="n">
        <v>0</v>
      </c>
      <c r="R592" s="10" t="n">
        <v>0</v>
      </c>
      <c r="S592" s="10" t="n">
        <v>0</v>
      </c>
    </row>
    <row r="593" ht="409.5" customHeight="1">
      <c r="A593" s="6">
        <f>IFERROR(__xludf.DUMMYFUNCTION("""COMPUTED_VALUE"""),"PH OF SOLUTIONS")</f>
        <v/>
      </c>
      <c r="B593" s="6">
        <f>IFERROR(__xludf.DUMMYFUNCTION("""COMPUTED_VALUE"""),"Application")</f>
        <v/>
      </c>
      <c r="C593" s="6">
        <f>IFERROR(__xludf.DUMMYFUNCTION("""COMPUTED_VALUE"""),"pH Scale: Basics")</f>
        <v/>
      </c>
      <c r="D593" s="7">
        <f>IFERROR(__xludf.DUMMYFUNCTION("""COMPUTED_VALUE"""),"No task description")</f>
        <v/>
      </c>
      <c r="E593" s="7">
        <f>IFERROR(__xludf.DUMMYFUNCTION("""COMPUTED_VALUE"""),"Golabz app/lab: &lt;p&gt;&lt;span style=""color: rgb(0, 0, 0); font-family: arial, sans, sans-serif; font-size: 13px; line-height: normal; white-space: pre-wrap;""&gt;Test the pH of things like coffee, spit, and soap to determine whether each is acidic, basic, or neu"&amp;"tral. Visualize the relative number of hydroxide ions and hydronium ions in solution. Switch between logarithmic and linear scales. Investigate whether changing the volume or diluting with water affects the pH. Or you can design your own liquid!&lt;/span&gt;&lt;/p"&amp;"&gt;'")</f>
        <v/>
      </c>
      <c r="F593" s="7" t="n"/>
      <c r="G593" s="8" t="n">
        <v>0</v>
      </c>
      <c r="H593" s="8" t="n">
        <v>1</v>
      </c>
      <c r="I593" s="8" t="n">
        <v>0</v>
      </c>
      <c r="J593" s="8" t="n">
        <v>0</v>
      </c>
      <c r="K593" s="9" t="n">
        <v>1</v>
      </c>
      <c r="L593" s="9" t="n">
        <v>0</v>
      </c>
      <c r="M593" s="9" t="n">
        <v>0</v>
      </c>
      <c r="N593" s="9" t="n">
        <v>0</v>
      </c>
      <c r="O593" s="10" t="n">
        <v>0</v>
      </c>
      <c r="P593" s="10" t="n">
        <v>0</v>
      </c>
      <c r="Q593" s="10" t="n">
        <v>1</v>
      </c>
      <c r="R593" s="10" t="n">
        <v>0</v>
      </c>
      <c r="S593" s="10" t="n">
        <v>0</v>
      </c>
    </row>
    <row r="594" ht="217" customHeight="1">
      <c r="A594" s="6">
        <f>IFERROR(__xludf.DUMMYFUNCTION("""COMPUTED_VALUE"""),"PH OF SOLUTIONS")</f>
        <v/>
      </c>
      <c r="B594" s="6">
        <f>IFERROR(__xludf.DUMMYFUNCTION("""COMPUTED_VALUE"""),"Space")</f>
        <v/>
      </c>
      <c r="C594" s="6">
        <f>IFERROR(__xludf.DUMMYFUNCTION("""COMPUTED_VALUE"""),"EXPLORE")</f>
        <v/>
      </c>
      <c r="D594" s="7">
        <f>IFERROR(__xludf.DUMMYFUNCTION("""COMPUTED_VALUE"""),"&lt;p&gt;Procedure:&lt;/p&gt;&lt;p&gt;1)Test the pH of  coffee  and soap to determine whether each is acidic, basic, or neutral. &lt;/p&gt;&lt;p&gt;&lt;br&gt;&lt;/p&gt;&lt;p&gt;2)Investigate whether changing the volume or diluting with water affects the pH.&lt;/p&gt;&lt;p&gt;&lt;br&gt;&lt;/p&gt;&lt;p&gt;&lt;br&gt;&lt;br&gt;&lt;/p&gt;")</f>
        <v/>
      </c>
      <c r="E594" s="7">
        <f>IFERROR(__xludf.DUMMYFUNCTION("""COMPUTED_VALUE"""),"No artifact embedded")</f>
        <v/>
      </c>
      <c r="F594" s="7" t="n"/>
      <c r="G594" s="8" t="n">
        <v>0</v>
      </c>
      <c r="H594" s="8" t="n">
        <v>1</v>
      </c>
      <c r="I594" s="8" t="n">
        <v>0</v>
      </c>
      <c r="J594" s="8" t="n">
        <v>0</v>
      </c>
      <c r="K594" s="9" t="n">
        <v>1</v>
      </c>
      <c r="L594" s="9" t="n">
        <v>0</v>
      </c>
      <c r="M594" s="9" t="n">
        <v>0</v>
      </c>
      <c r="N594" s="9" t="n">
        <v>0</v>
      </c>
      <c r="O594" s="10" t="n">
        <v>0</v>
      </c>
      <c r="P594" s="10" t="n">
        <v>0</v>
      </c>
      <c r="Q594" s="10" t="n">
        <v>1</v>
      </c>
      <c r="R594" s="10" t="n">
        <v>0</v>
      </c>
      <c r="S594" s="10" t="n">
        <v>0</v>
      </c>
    </row>
    <row r="595" ht="73" customHeight="1">
      <c r="A595" s="6">
        <f>IFERROR(__xludf.DUMMYFUNCTION("""COMPUTED_VALUE"""),"PH OF SOLUTIONS")</f>
        <v/>
      </c>
      <c r="B595" s="6">
        <f>IFERROR(__xludf.DUMMYFUNCTION("""COMPUTED_VALUE"""),"Application")</f>
        <v/>
      </c>
      <c r="C595" s="6">
        <f>IFERROR(__xludf.DUMMYFUNCTION("""COMPUTED_VALUE"""),"Determination of pH")</f>
        <v/>
      </c>
      <c r="D595" s="7">
        <f>IFERROR(__xludf.DUMMYFUNCTION("""COMPUTED_VALUE"""),"No task description")</f>
        <v/>
      </c>
      <c r="E595" s="7">
        <f>IFERROR(__xludf.DUMMYFUNCTION("""COMPUTED_VALUE"""),"Golabz app/lab: ""&lt;p&gt;With this lab you will learn how to determine the ph of bases and acids.&lt;/p&gt;""")</f>
        <v/>
      </c>
      <c r="F595" s="7" t="n"/>
      <c r="G595" s="8" t="n">
        <v>0</v>
      </c>
      <c r="H595" s="8" t="n">
        <v>1</v>
      </c>
      <c r="I595" s="8" t="n">
        <v>0</v>
      </c>
      <c r="J595" s="8" t="n">
        <v>0</v>
      </c>
      <c r="K595" s="9" t="n">
        <v>1</v>
      </c>
      <c r="L595" s="9" t="n">
        <v>0</v>
      </c>
      <c r="M595" s="9" t="n">
        <v>0</v>
      </c>
      <c r="N595" s="9" t="n">
        <v>0</v>
      </c>
      <c r="O595" s="10" t="n">
        <v>0</v>
      </c>
      <c r="P595" s="10" t="n">
        <v>0</v>
      </c>
      <c r="Q595" s="10" t="n">
        <v>1</v>
      </c>
      <c r="R595" s="10" t="n">
        <v>0</v>
      </c>
      <c r="S595" s="10" t="n">
        <v>0</v>
      </c>
    </row>
    <row r="596" ht="25" customHeight="1">
      <c r="A596" s="6">
        <f>IFERROR(__xludf.DUMMYFUNCTION("""COMPUTED_VALUE"""),"PH OF SOLUTIONS")</f>
        <v/>
      </c>
      <c r="B596" s="6">
        <f>IFERROR(__xludf.DUMMYFUNCTION("""COMPUTED_VALUE"""),"Space")</f>
        <v/>
      </c>
      <c r="C596" s="6">
        <f>IFERROR(__xludf.DUMMYFUNCTION("""COMPUTED_VALUE"""),"EXPLAIN")</f>
        <v/>
      </c>
      <c r="D596" s="7">
        <f>IFERROR(__xludf.DUMMYFUNCTION("""COMPUTED_VALUE"""),"No task description")</f>
        <v/>
      </c>
      <c r="E596" s="7">
        <f>IFERROR(__xludf.DUMMYFUNCTION("""COMPUTED_VALUE"""),"No artifact embedded")</f>
        <v/>
      </c>
      <c r="F596" s="7" t="n"/>
      <c r="G596" s="8" t="n">
        <v>0</v>
      </c>
      <c r="H596" s="8" t="n">
        <v>0</v>
      </c>
      <c r="I596" s="8" t="n">
        <v>0</v>
      </c>
      <c r="J596" s="8" t="n">
        <v>0</v>
      </c>
      <c r="K596" s="9" t="n">
        <v>0</v>
      </c>
      <c r="L596" s="9" t="n">
        <v>0</v>
      </c>
      <c r="M596" s="9" t="n">
        <v>0</v>
      </c>
      <c r="N596" s="9" t="n">
        <v>0</v>
      </c>
      <c r="O596" s="10" t="n">
        <v>0</v>
      </c>
      <c r="P596" s="10" t="n">
        <v>0</v>
      </c>
      <c r="Q596" s="10" t="n">
        <v>0</v>
      </c>
      <c r="R596" s="10" t="n">
        <v>0</v>
      </c>
      <c r="S596" s="10" t="n">
        <v>0</v>
      </c>
    </row>
    <row r="597" ht="109" customHeight="1">
      <c r="A597" s="6">
        <f>IFERROR(__xludf.DUMMYFUNCTION("""COMPUTED_VALUE"""),"PH OF SOLUTIONS")</f>
        <v/>
      </c>
      <c r="B597" s="6">
        <f>IFERROR(__xludf.DUMMYFUNCTION("""COMPUTED_VALUE"""),"Space")</f>
        <v/>
      </c>
      <c r="C597" s="6">
        <f>IFERROR(__xludf.DUMMYFUNCTION("""COMPUTED_VALUE"""),"ELABORATE")</f>
        <v/>
      </c>
      <c r="D597" s="7">
        <f>IFERROR(__xludf.DUMMYFUNCTION("""COMPUTED_VALUE"""),"&lt;p&gt;when an acid reacts with a basic solution it forms a neutral solution.&lt;/p&gt;&lt;p&gt;An acid has a ph of 1-6 while a base as a ph of 8-14.&lt;/p&gt;")</f>
        <v/>
      </c>
      <c r="E597" s="7">
        <f>IFERROR(__xludf.DUMMYFUNCTION("""COMPUTED_VALUE"""),"No artifact embedded")</f>
        <v/>
      </c>
      <c r="F597" s="7" t="n"/>
      <c r="G597" s="8" t="n">
        <v>1</v>
      </c>
      <c r="H597" s="8" t="n">
        <v>0</v>
      </c>
      <c r="I597" s="8" t="n">
        <v>0</v>
      </c>
      <c r="J597" s="8" t="n">
        <v>0</v>
      </c>
      <c r="K597" s="9" t="n">
        <v>1</v>
      </c>
      <c r="L597" s="9" t="n">
        <v>0</v>
      </c>
      <c r="M597" s="9" t="n">
        <v>0</v>
      </c>
      <c r="N597" s="9" t="n">
        <v>0</v>
      </c>
      <c r="O597" s="10" t="n">
        <v>1</v>
      </c>
      <c r="P597" s="10" t="n">
        <v>0</v>
      </c>
      <c r="Q597" s="10" t="n">
        <v>0</v>
      </c>
      <c r="R597" s="10" t="n">
        <v>0</v>
      </c>
      <c r="S597" s="10" t="n">
        <v>0</v>
      </c>
    </row>
    <row r="598" ht="409.5" customHeight="1">
      <c r="A598" s="6">
        <f>IFERROR(__xludf.DUMMYFUNCTION("""COMPUTED_VALUE"""),"PH OF SOLUTIONS")</f>
        <v/>
      </c>
      <c r="B598" s="6">
        <f>IFERROR(__xludf.DUMMYFUNCTION("""COMPUTED_VALUE"""),"Application")</f>
        <v/>
      </c>
      <c r="C598" s="6">
        <f>IFERROR(__xludf.DUMMYFUNCTION("""COMPUTED_VALUE"""),"Acid base solution")</f>
        <v/>
      </c>
      <c r="D598" s="7">
        <f>IFERROR(__xludf.DUMMYFUNCTION("""COMPUTED_VALUE"""),"No task description")</f>
        <v/>
      </c>
      <c r="E598" s="7">
        <f>IFERROR(__xludf.DUMMYFUNCTION("""COMPUTED_VALUE"""),"Golabz app/lab: ""&lt;p&gt;How do strong and weak acids differ? Use lab tools on your computer to find out! Dip the paper or the probe into solution to measure the pH, or put in the electrodes to measure the conductivity. Then see how concentration and strength"&amp;" affect pH. Can a weak acid solution have the same pH as a strong acid solution? Given acids or bases at the same concentration, demonstrate understanding of acid and base strength by: 1. Relating the strength of an acid or base to the extent to which it "&amp;"dissociates in water 2. Identifying all of the molecules and ions that are present in a given acid or base solution. 3.Comparing the relative concentrations of molecules and ions in weak versus strong acid (or base) solutions. 4.Describing the similaritie"&amp;"s and differences between strong acids and weak acids or strong bases and weak bases. Demonstrate understanding of solution concentration by: 1. Describing the similarities and differences between concentrated and dilute solutions. 2. Comparing the concen"&amp;"trations of all molecules and ions in concentrated versus dilute solutions of a particular acid or base. Use both the strength of the acid or base and the concentration of its solution in order to:1. Describe in words and pictures (graphs or molecular dra"&amp;"wings) what it means if you have a: Concentrated solution of a weak acid (or base) or Concentrated solution of a strong acid (or base) or other combinations. 2. Investigate different combinations of strength/concentrations that result in same pH values. D"&amp;"escribe how common tools (pH meter, conductivity, pH paper) help identify whether a solution is an acid or base and strong or weak and concentrated or dilute.&lt;/p&gt;\r\n""")</f>
        <v/>
      </c>
      <c r="F598" s="7" t="n"/>
      <c r="G598" s="8" t="n">
        <v>0</v>
      </c>
      <c r="H598" s="8" t="n">
        <v>1</v>
      </c>
      <c r="I598" s="8" t="n">
        <v>0</v>
      </c>
      <c r="J598" s="8" t="n">
        <v>0</v>
      </c>
      <c r="K598" s="9" t="n">
        <v>1</v>
      </c>
      <c r="L598" s="9" t="n">
        <v>0</v>
      </c>
      <c r="M598" s="9" t="n">
        <v>0</v>
      </c>
      <c r="N598" s="9" t="n">
        <v>0</v>
      </c>
      <c r="O598" s="10" t="n">
        <v>0</v>
      </c>
      <c r="P598" s="10" t="n">
        <v>0</v>
      </c>
      <c r="Q598" s="10" t="n">
        <v>1</v>
      </c>
      <c r="R598" s="10" t="n">
        <v>0</v>
      </c>
      <c r="S598" s="10" t="n">
        <v>0</v>
      </c>
    </row>
    <row r="599" ht="25" customHeight="1">
      <c r="A599" s="6">
        <f>IFERROR(__xludf.DUMMYFUNCTION("""COMPUTED_VALUE"""),"PH OF SOLUTIONS")</f>
        <v/>
      </c>
      <c r="B599" s="6">
        <f>IFERROR(__xludf.DUMMYFUNCTION("""COMPUTED_VALUE"""),"Space")</f>
        <v/>
      </c>
      <c r="C599" s="6">
        <f>IFERROR(__xludf.DUMMYFUNCTION("""COMPUTED_VALUE"""),"EVALUATE")</f>
        <v/>
      </c>
      <c r="D599" s="7">
        <f>IFERROR(__xludf.DUMMYFUNCTION("""COMPUTED_VALUE"""),"No task description")</f>
        <v/>
      </c>
      <c r="E599" s="7">
        <f>IFERROR(__xludf.DUMMYFUNCTION("""COMPUTED_VALUE"""),"No artifact embedded")</f>
        <v/>
      </c>
      <c r="F599" s="7" t="n"/>
      <c r="G599" s="8" t="n">
        <v>0</v>
      </c>
      <c r="H599" s="8" t="n">
        <v>0</v>
      </c>
      <c r="I599" s="8" t="n">
        <v>0</v>
      </c>
      <c r="J599" s="8" t="n">
        <v>0</v>
      </c>
      <c r="K599" s="9" t="n">
        <v>0</v>
      </c>
      <c r="L599" s="9" t="n">
        <v>0</v>
      </c>
      <c r="M599" s="9" t="n">
        <v>0</v>
      </c>
      <c r="N599" s="9" t="n">
        <v>0</v>
      </c>
      <c r="O599" s="10" t="n">
        <v>0</v>
      </c>
      <c r="P599" s="10" t="n">
        <v>0</v>
      </c>
      <c r="Q599" s="10" t="n">
        <v>0</v>
      </c>
      <c r="R599" s="10" t="n">
        <v>0</v>
      </c>
      <c r="S599" s="10" t="n">
        <v>0</v>
      </c>
    </row>
    <row r="600" ht="329" customHeight="1">
      <c r="A600" s="6">
        <f>IFERROR(__xludf.DUMMYFUNCTION("""COMPUTED_VALUE"""),"PH OF SOLUTIONS")</f>
        <v/>
      </c>
      <c r="B600" s="6">
        <f>IFERROR(__xludf.DUMMYFUNCTION("""COMPUTED_VALUE"""),"Application")</f>
        <v/>
      </c>
      <c r="C600" s="6">
        <f>IFERROR(__xludf.DUMMYFUNCTION("""COMPUTED_VALUE"""),"Input Box")</f>
        <v/>
      </c>
      <c r="D600" s="7">
        <f>IFERROR(__xludf.DUMMYFUNCTION("""COMPUTED_VALUE"""),"No task description")</f>
        <v/>
      </c>
      <c r="E6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0" s="7" t="n"/>
      <c r="G600" s="8" t="n">
        <v>0</v>
      </c>
      <c r="H600" s="8" t="n">
        <v>0</v>
      </c>
      <c r="I600" s="8" t="n">
        <v>0</v>
      </c>
      <c r="J600" s="8" t="n">
        <v>0</v>
      </c>
      <c r="K600" s="9" t="n">
        <v>0</v>
      </c>
      <c r="L600" s="9" t="n">
        <v>0</v>
      </c>
      <c r="M600" s="9" t="n">
        <v>0</v>
      </c>
      <c r="N600" s="9" t="n">
        <v>0</v>
      </c>
      <c r="O600" s="10" t="n">
        <v>0</v>
      </c>
      <c r="P600" s="10" t="n">
        <v>0</v>
      </c>
      <c r="Q600" s="10" t="n">
        <v>0</v>
      </c>
      <c r="R600" s="10" t="n">
        <v>0</v>
      </c>
      <c r="S600" s="10" t="n">
        <v>0</v>
      </c>
    </row>
    <row r="601" ht="157" customHeight="1">
      <c r="A601" s="6">
        <f>IFERROR(__xludf.DUMMYFUNCTION("""COMPUTED_VALUE"""),"PH OF SOLUTIONS")</f>
        <v/>
      </c>
      <c r="B601" s="6">
        <f>IFERROR(__xludf.DUMMYFUNCTION("""COMPUTED_VALUE"""),"Application")</f>
        <v/>
      </c>
      <c r="C601" s="6">
        <f>IFERROR(__xludf.DUMMYFUNCTION("""COMPUTED_VALUE"""),"File Drop")</f>
        <v/>
      </c>
      <c r="D601" s="7">
        <f>IFERROR(__xludf.DUMMYFUNCTION("""COMPUTED_VALUE"""),"No task description")</f>
        <v/>
      </c>
      <c r="E601" s="7">
        <f>IFERROR(__xludf.DUMMYFUNCTION("""COMPUTED_VALUE"""),"Golabz app/lab: ""&lt;p&gt;This app allows students to upload files, e.g., assignment and reports, to the Inquiry learning Space. The app also allows teachers to download the uploaded files.&lt;/p&gt;\r\n""")</f>
        <v/>
      </c>
      <c r="F601" s="7" t="n"/>
      <c r="G601" s="8" t="n">
        <v>0</v>
      </c>
      <c r="H601" s="8" t="n">
        <v>0</v>
      </c>
      <c r="I601" s="8" t="n">
        <v>0</v>
      </c>
      <c r="J601" s="8" t="n">
        <v>0</v>
      </c>
      <c r="K601" s="9" t="n">
        <v>0</v>
      </c>
      <c r="L601" s="9" t="n">
        <v>0</v>
      </c>
      <c r="M601" s="9" t="n">
        <v>0</v>
      </c>
      <c r="N601" s="9" t="n">
        <v>0</v>
      </c>
      <c r="O601" s="10" t="n">
        <v>0</v>
      </c>
      <c r="P601" s="10" t="n">
        <v>0</v>
      </c>
      <c r="Q601" s="10" t="n">
        <v>0</v>
      </c>
      <c r="R601" s="10" t="n">
        <v>0</v>
      </c>
      <c r="S601" s="10" t="n">
        <v>0</v>
      </c>
    </row>
    <row r="602" ht="329" customHeight="1">
      <c r="A602" s="6">
        <f>IFERROR(__xludf.DUMMYFUNCTION("""COMPUTED_VALUE"""),"PH OF SOLUTIONS")</f>
        <v/>
      </c>
      <c r="B602" s="6">
        <f>IFERROR(__xludf.DUMMYFUNCTION("""COMPUTED_VALUE"""),"Application")</f>
        <v/>
      </c>
      <c r="C602" s="6">
        <f>IFERROR(__xludf.DUMMYFUNCTION("""COMPUTED_VALUE"""),"Input Box (1)")</f>
        <v/>
      </c>
      <c r="D602" s="7">
        <f>IFERROR(__xludf.DUMMYFUNCTION("""COMPUTED_VALUE"""),"No task description")</f>
        <v/>
      </c>
      <c r="E6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2" s="7" t="n"/>
      <c r="G602" s="8" t="n">
        <v>0</v>
      </c>
      <c r="H602" s="8" t="n">
        <v>0</v>
      </c>
      <c r="I602" s="8" t="n">
        <v>0</v>
      </c>
      <c r="J602" s="8" t="n">
        <v>0</v>
      </c>
      <c r="K602" s="9" t="n">
        <v>0</v>
      </c>
      <c r="L602" s="9" t="n">
        <v>0</v>
      </c>
      <c r="M602" s="9" t="n">
        <v>0</v>
      </c>
      <c r="N602" s="9" t="n">
        <v>0</v>
      </c>
      <c r="O602" s="10" t="n">
        <v>0</v>
      </c>
      <c r="P602" s="10" t="n">
        <v>0</v>
      </c>
      <c r="Q602" s="10" t="n">
        <v>0</v>
      </c>
      <c r="R602" s="10" t="n">
        <v>0</v>
      </c>
      <c r="S602" s="10" t="n">
        <v>0</v>
      </c>
    </row>
    <row r="603" ht="329" customHeight="1">
      <c r="A603" s="6">
        <f>IFERROR(__xludf.DUMMYFUNCTION("""COMPUTED_VALUE"""),"PH OF SOLUTIONS")</f>
        <v/>
      </c>
      <c r="B603" s="6">
        <f>IFERROR(__xludf.DUMMYFUNCTION("""COMPUTED_VALUE"""),"Application")</f>
        <v/>
      </c>
      <c r="C603" s="6">
        <f>IFERROR(__xludf.DUMMYFUNCTION("""COMPUTED_VALUE"""),"Input Box (2)")</f>
        <v/>
      </c>
      <c r="D603" s="7">
        <f>IFERROR(__xludf.DUMMYFUNCTION("""COMPUTED_VALUE"""),"No task description")</f>
        <v/>
      </c>
      <c r="E6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3" s="7" t="n"/>
      <c r="G603" s="8" t="n">
        <v>0</v>
      </c>
      <c r="H603" s="8" t="n">
        <v>0</v>
      </c>
      <c r="I603" s="8" t="n">
        <v>0</v>
      </c>
      <c r="J603" s="8" t="n">
        <v>0</v>
      </c>
      <c r="K603" s="9" t="n">
        <v>0</v>
      </c>
      <c r="L603" s="9" t="n">
        <v>0</v>
      </c>
      <c r="M603" s="9" t="n">
        <v>0</v>
      </c>
      <c r="N603" s="9" t="n">
        <v>0</v>
      </c>
      <c r="O603" s="10" t="n">
        <v>0</v>
      </c>
      <c r="P603" s="10" t="n">
        <v>0</v>
      </c>
      <c r="Q603" s="10" t="n">
        <v>0</v>
      </c>
      <c r="R603" s="10" t="n">
        <v>0</v>
      </c>
      <c r="S603" s="10" t="n">
        <v>0</v>
      </c>
    </row>
    <row r="604" ht="109" customHeight="1">
      <c r="A604" s="6">
        <f>IFERROR(__xludf.DUMMYFUNCTION("""COMPUTED_VALUE"""),"Digital Divide")</f>
        <v/>
      </c>
      <c r="B604" s="6">
        <f>IFERROR(__xludf.DUMMYFUNCTION("""COMPUTED_VALUE"""),"Space")</f>
        <v/>
      </c>
      <c r="C604" s="6">
        <f>IFERROR(__xludf.DUMMYFUNCTION("""COMPUTED_VALUE"""),"Orientation")</f>
        <v/>
      </c>
      <c r="D604" s="7">
        <f>IFERROR(__xludf.DUMMYFUNCTION("""COMPUTED_VALUE"""),"&lt;p&gt;Hello students, we are going to learn about Digital Divide, i hope you find this lesson interesting and informative.&lt;/p&gt;")</f>
        <v/>
      </c>
      <c r="E604" s="7">
        <f>IFERROR(__xludf.DUMMYFUNCTION("""COMPUTED_VALUE"""),"No artifact embedded")</f>
        <v/>
      </c>
      <c r="F604" s="7" t="n"/>
      <c r="G604" s="8" t="n">
        <v>1</v>
      </c>
      <c r="H604" s="8" t="n">
        <v>0</v>
      </c>
      <c r="I604" s="8" t="n">
        <v>0</v>
      </c>
      <c r="J604" s="8" t="n">
        <v>0</v>
      </c>
      <c r="K604" s="9" t="n">
        <v>1</v>
      </c>
      <c r="L604" s="9" t="n">
        <v>0</v>
      </c>
      <c r="M604" s="9" t="n">
        <v>0</v>
      </c>
      <c r="N604" s="9" t="n">
        <v>0</v>
      </c>
      <c r="O604" s="10" t="n">
        <v>1</v>
      </c>
      <c r="P604" s="10" t="n">
        <v>0</v>
      </c>
      <c r="Q604" s="10" t="n">
        <v>0</v>
      </c>
      <c r="R604" s="10" t="n">
        <v>0</v>
      </c>
      <c r="S604" s="10" t="n">
        <v>0</v>
      </c>
    </row>
    <row r="605" ht="25" customHeight="1">
      <c r="A605" s="6">
        <f>IFERROR(__xludf.DUMMYFUNCTION("""COMPUTED_VALUE"""),"Digital Divide")</f>
        <v/>
      </c>
      <c r="B605" s="6">
        <f>IFERROR(__xludf.DUMMYFUNCTION("""COMPUTED_VALUE"""),"Space")</f>
        <v/>
      </c>
      <c r="C605" s="6">
        <f>IFERROR(__xludf.DUMMYFUNCTION("""COMPUTED_VALUE"""),"Conceptualisation")</f>
        <v/>
      </c>
      <c r="D605" s="7">
        <f>IFERROR(__xludf.DUMMYFUNCTION("""COMPUTED_VALUE"""),"No task description")</f>
        <v/>
      </c>
      <c r="E605" s="7">
        <f>IFERROR(__xludf.DUMMYFUNCTION("""COMPUTED_VALUE"""),"No artifact embedded")</f>
        <v/>
      </c>
      <c r="F605" s="7" t="n"/>
      <c r="G605" s="8" t="n">
        <v>0</v>
      </c>
      <c r="H605" s="8" t="n">
        <v>0</v>
      </c>
      <c r="I605" s="8" t="n">
        <v>0</v>
      </c>
      <c r="J605" s="8" t="n">
        <v>0</v>
      </c>
      <c r="K605" s="9" t="n">
        <v>0</v>
      </c>
      <c r="L605" s="9" t="n">
        <v>0</v>
      </c>
      <c r="M605" s="9" t="n">
        <v>0</v>
      </c>
      <c r="N605" s="9" t="n">
        <v>0</v>
      </c>
      <c r="O605" s="10" t="n">
        <v>0</v>
      </c>
      <c r="P605" s="10" t="n">
        <v>0</v>
      </c>
      <c r="Q605" s="10" t="n">
        <v>0</v>
      </c>
      <c r="R605" s="10" t="n">
        <v>0</v>
      </c>
      <c r="S605" s="10" t="n">
        <v>0</v>
      </c>
    </row>
    <row r="606" ht="181" customHeight="1">
      <c r="A606" s="6">
        <f>IFERROR(__xludf.DUMMYFUNCTION("""COMPUTED_VALUE"""),"Digital Divide")</f>
        <v/>
      </c>
      <c r="B606" s="6">
        <f>IFERROR(__xludf.DUMMYFUNCTION("""COMPUTED_VALUE"""),"Resource")</f>
        <v/>
      </c>
      <c r="C606" s="6">
        <f>IFERROR(__xludf.DUMMYFUNCTION("""COMPUTED_VALUE"""),"Learning Objectives.graasp")</f>
        <v/>
      </c>
      <c r="D606" s="7">
        <f>IFERROR(__xludf.DUMMYFUNCTION("""COMPUTED_VALUE"""),"&lt;p&gt;At the end of this lesson, students should be able to:&lt;/p&gt;&lt;p&gt;1. explain what is meant by digital divide&lt;br&gt;2. state the features of old and new economy&lt;br&gt;3. explain how digital divide has affect peoples lives&lt;/p&gt;")</f>
        <v/>
      </c>
      <c r="E606" s="7">
        <f>IFERROR(__xludf.DUMMYFUNCTION("""COMPUTED_VALUE"""),"No artifact embedded")</f>
        <v/>
      </c>
      <c r="F606" s="7" t="n"/>
      <c r="G606" s="8" t="n">
        <v>1</v>
      </c>
      <c r="H606" s="8" t="n">
        <v>0</v>
      </c>
      <c r="I606" s="8" t="n">
        <v>0</v>
      </c>
      <c r="J606" s="8" t="n">
        <v>0</v>
      </c>
      <c r="K606" s="9" t="n">
        <v>1</v>
      </c>
      <c r="L606" s="9" t="n">
        <v>0</v>
      </c>
      <c r="M606" s="9" t="n">
        <v>0</v>
      </c>
      <c r="N606" s="9" t="n">
        <v>0</v>
      </c>
      <c r="O606" s="10" t="n">
        <v>1</v>
      </c>
      <c r="P606" s="10" t="n">
        <v>0</v>
      </c>
      <c r="Q606" s="10" t="n">
        <v>0</v>
      </c>
      <c r="R606" s="10" t="n">
        <v>0</v>
      </c>
      <c r="S606" s="10" t="n">
        <v>0</v>
      </c>
    </row>
    <row r="607" ht="61" customHeight="1">
      <c r="A607" s="6">
        <f>IFERROR(__xludf.DUMMYFUNCTION("""COMPUTED_VALUE"""),"Digital Divide")</f>
        <v/>
      </c>
      <c r="B607" s="6">
        <f>IFERROR(__xludf.DUMMYFUNCTION("""COMPUTED_VALUE"""),"Space")</f>
        <v/>
      </c>
      <c r="C607" s="6">
        <f>IFERROR(__xludf.DUMMYFUNCTION("""COMPUTED_VALUE"""),"Investigation")</f>
        <v/>
      </c>
      <c r="D607" s="7">
        <f>IFERROR(__xludf.DUMMYFUNCTION("""COMPUTED_VALUE"""),"&lt;p&gt;See the below video for a better for a better understanding!&lt;/p&gt;")</f>
        <v/>
      </c>
      <c r="E607" s="7">
        <f>IFERROR(__xludf.DUMMYFUNCTION("""COMPUTED_VALUE"""),"No artifact embedded")</f>
        <v/>
      </c>
      <c r="F607" s="7" t="n"/>
      <c r="G607" s="8" t="n">
        <v>1</v>
      </c>
      <c r="H607" s="8" t="n">
        <v>0</v>
      </c>
      <c r="I607" s="8" t="n">
        <v>0</v>
      </c>
      <c r="J607" s="8" t="n">
        <v>0</v>
      </c>
      <c r="K607" s="9" t="n">
        <v>1</v>
      </c>
      <c r="L607" s="9" t="n">
        <v>0</v>
      </c>
      <c r="M607" s="9" t="n">
        <v>0</v>
      </c>
      <c r="N607" s="9" t="n">
        <v>0</v>
      </c>
      <c r="O607" s="10" t="n">
        <v>1</v>
      </c>
      <c r="P607" s="10" t="n">
        <v>0</v>
      </c>
      <c r="Q607" s="10" t="n">
        <v>0</v>
      </c>
      <c r="R607" s="10" t="n">
        <v>0</v>
      </c>
      <c r="S607" s="10" t="n">
        <v>0</v>
      </c>
    </row>
    <row r="608" ht="409.5" customHeight="1">
      <c r="A608" s="6">
        <f>IFERROR(__xludf.DUMMYFUNCTION("""COMPUTED_VALUE"""),"Digital Divide")</f>
        <v/>
      </c>
      <c r="B608" s="6">
        <f>IFERROR(__xludf.DUMMYFUNCTION("""COMPUTED_VALUE"""),"Resource")</f>
        <v/>
      </c>
      <c r="C608" s="6">
        <f>IFERROR(__xludf.DUMMYFUNCTION("""COMPUTED_VALUE"""),"What do you understand by the term""Digital Divide?"".graasp")</f>
        <v/>
      </c>
      <c r="D608" s="7">
        <f>IFERROR(__xludf.DUMMYFUNCTION("""COMPUTED_VALUE"""),"&lt;p&gt;The term Digital divide&lt;/p&gt;&lt;p&gt;describes the gap between people with effective access to information&lt;br&gt;technology and those with no access.&lt;br&gt;In other words, it is&lt;br&gt;the unequal access by some members of the society to Information and&lt;br&gt;Communicatio"&amp;"n Technology (ICT) and the unequal acquisition of related skills.&lt;br&gt;The digital divide may&lt;br&gt;be classified based on gender, income, race groups and by locations. Global digital divide refers to&lt;br&gt;differences in technological access between countries.&lt;/"&amp;"p&gt;")</f>
        <v/>
      </c>
      <c r="E608" s="7">
        <f>IFERROR(__xludf.DUMMYFUNCTION("""COMPUTED_VALUE"""),"No artifact embedded")</f>
        <v/>
      </c>
      <c r="F608" s="7" t="n"/>
      <c r="G608" s="8" t="n">
        <v>1</v>
      </c>
      <c r="H608" s="8" t="n">
        <v>0</v>
      </c>
      <c r="I608" s="8" t="n">
        <v>0</v>
      </c>
      <c r="J608" s="8" t="n">
        <v>0</v>
      </c>
      <c r="K608" s="9" t="n">
        <v>1</v>
      </c>
      <c r="L608" s="9" t="n">
        <v>0</v>
      </c>
      <c r="M608" s="9" t="n">
        <v>0</v>
      </c>
      <c r="N608" s="9" t="n">
        <v>0</v>
      </c>
      <c r="O608" s="10" t="n">
        <v>1</v>
      </c>
      <c r="P608" s="10" t="n">
        <v>0</v>
      </c>
      <c r="Q608" s="10" t="n">
        <v>0</v>
      </c>
      <c r="R608" s="10" t="n">
        <v>0</v>
      </c>
      <c r="S608" s="10" t="n">
        <v>0</v>
      </c>
    </row>
    <row r="609" ht="133" customHeight="1">
      <c r="A609" s="6">
        <f>IFERROR(__xludf.DUMMYFUNCTION("""COMPUTED_VALUE"""),"Digital Divide")</f>
        <v/>
      </c>
      <c r="B609" s="6">
        <f>IFERROR(__xludf.DUMMYFUNCTION("""COMPUTED_VALUE"""),"Resource")</f>
        <v/>
      </c>
      <c r="C609" s="6">
        <f>IFERROR(__xludf.DUMMYFUNCTION("""COMPUTED_VALUE"""),"What is digital divide? - Definition from WhatIs.com")</f>
        <v/>
      </c>
      <c r="D609" s="7">
        <f>IFERROR(__xludf.DUMMYFUNCTION("""COMPUTED_VALUE"""),"Digital divide is a term that refers to the gap between demographics and regions that have access to modern information and communications technology an...")</f>
        <v/>
      </c>
      <c r="E609" s="7">
        <f>IFERROR(__xludf.DUMMYFUNCTION("""COMPUTED_VALUE"""),"techtarget.com: Offers definitions and articles on technology-related topics, such as the digital divide.")</f>
        <v/>
      </c>
      <c r="F609" s="7" t="n"/>
      <c r="G609" s="8" t="n">
        <v>1</v>
      </c>
      <c r="H609" s="8" t="n">
        <v>0</v>
      </c>
      <c r="I609" s="8" t="n">
        <v>0</v>
      </c>
      <c r="J609" s="8" t="n">
        <v>0</v>
      </c>
      <c r="K609" s="9" t="n">
        <v>1</v>
      </c>
      <c r="L609" s="9" t="n">
        <v>0</v>
      </c>
      <c r="M609" s="9" t="n">
        <v>0</v>
      </c>
      <c r="N609" s="9" t="n">
        <v>0</v>
      </c>
      <c r="O609" s="10" t="n">
        <v>1</v>
      </c>
      <c r="P609" s="10" t="n">
        <v>0</v>
      </c>
      <c r="Q609" s="10" t="n">
        <v>0</v>
      </c>
      <c r="R609" s="10" t="n">
        <v>0</v>
      </c>
      <c r="S609" s="10" t="n">
        <v>0</v>
      </c>
    </row>
    <row r="610" ht="133" customHeight="1">
      <c r="A610" s="6">
        <f>IFERROR(__xludf.DUMMYFUNCTION("""COMPUTED_VALUE"""),"Digital Divide")</f>
        <v/>
      </c>
      <c r="B610" s="6">
        <f>IFERROR(__xludf.DUMMYFUNCTION("""COMPUTED_VALUE"""),"Resource")</f>
        <v/>
      </c>
      <c r="C610" s="6">
        <f>IFERROR(__xludf.DUMMYFUNCTION("""COMPUTED_VALUE"""),"What is the Digital Divide? - Definition from Techopedia")</f>
        <v/>
      </c>
      <c r="D610" s="7">
        <f>IFERROR(__xludf.DUMMYFUNCTION("""COMPUTED_VALUE"""),"Digital Divide Definition - The digital divide refers to the difference between people who have easy access to the Internet and those who do not. A...")</f>
        <v/>
      </c>
      <c r="E610" s="7">
        <f>IFERROR(__xludf.DUMMYFUNCTION("""COMPUTED_VALUE"""),"techopedia.com: Offers definitions and explanations of technology-related terms, such as the digital divide.")</f>
        <v/>
      </c>
      <c r="F610" s="7" t="n"/>
      <c r="G610" s="8" t="n">
        <v>1</v>
      </c>
      <c r="H610" s="8" t="n">
        <v>0</v>
      </c>
      <c r="I610" s="8" t="n">
        <v>0</v>
      </c>
      <c r="J610" s="8" t="n">
        <v>0</v>
      </c>
      <c r="K610" s="9" t="n">
        <v>1</v>
      </c>
      <c r="L610" s="9" t="n">
        <v>0</v>
      </c>
      <c r="M610" s="9" t="n">
        <v>0</v>
      </c>
      <c r="N610" s="9" t="n">
        <v>0</v>
      </c>
      <c r="O610" s="10" t="n">
        <v>1</v>
      </c>
      <c r="P610" s="10" t="n">
        <v>0</v>
      </c>
      <c r="Q610" s="10" t="n">
        <v>0</v>
      </c>
      <c r="R610" s="10" t="n">
        <v>0</v>
      </c>
      <c r="S610" s="10" t="n">
        <v>0</v>
      </c>
    </row>
    <row r="611" ht="409.5" customHeight="1">
      <c r="A611" s="6">
        <f>IFERROR(__xludf.DUMMYFUNCTION("""COMPUTED_VALUE"""),"Digital Divide")</f>
        <v/>
      </c>
      <c r="B611" s="6">
        <f>IFERROR(__xludf.DUMMYFUNCTION("""COMPUTED_VALUE"""),"Resource")</f>
        <v/>
      </c>
      <c r="C611" s="6">
        <f>IFERROR(__xludf.DUMMYFUNCTION("""COMPUTED_VALUE"""),"Digital Divide")</f>
        <v/>
      </c>
      <c r="D611" s="7">
        <f>IFERROR(__xludf.DUMMYFUNCTION("""COMPUTED_VALUE"""),"Today, half of the world’s population are still not online. While Asia has the highest number of people without access, Africa leads the world in the percentage of the population without connection at 88 percent. Furthermore, in the countries that are con"&amp;"nected, male internet users outnumber their female counterparts in every region of the world. The ‘digital divide’ we face globally does not just signify those who have access to the internet and those who do not, the gap also encompasses a number of othe"&amp;"r discrepancies, including the quality of digital infrastructure in rural communities, the speed of connectivity in remote areas, and the training and skills required to navigate such technology.   Digital technologies continue to spread rapidly while pro"&amp;"viding a myriad of benefits – boosting economic growth and efficiency, enabling a more productive workforce, improving service delivery, and expanding educational opportunity.  However, the advantages brought forth by digital innovation largely depend on "&amp;"internet connectivity, and thus the benefits remain unevenly distributed across the world. In order for everyone to participate in, and contribute to the digital economy, closing the gap in internet access is critical.    The Mohammed bin Rashid Initiativ"&amp;"e for Global Prosperity seeks new tools to deploy these existing technologies to remote populations in a sustainable and affordable way. To do so, the initiative welcomes manufactured products and solutions from innovators and makers around the world that"&amp;":  - Propose innovative methods to bolster and scale the use of existing technologies to accelerate the distribution of connection globally   - Create affordable opportunities for underserved communities to access digital technologies through ready-to-dep"&amp;"loy products and strategies  - Promote equitable use of digital services and technology, empowering marginalised communities to overcome barriers to digital literacy, education, and economic opportunities  Are you the 1 that can address the digital divide"&amp;"? Join the makers movement today: https://makingprosperity.com/")</f>
        <v/>
      </c>
      <c r="E611" s="7">
        <f>IFERROR(__xludf.DUMMYFUNCTION("""COMPUTED_VALUE"""),"youtube.com: A widely known video-sharing platform where users can watch videos on a vast array of topics, including educational content.")</f>
        <v/>
      </c>
      <c r="F611" s="7" t="n"/>
      <c r="G611" s="8" t="n">
        <v>1</v>
      </c>
      <c r="H611" s="8" t="n">
        <v>0</v>
      </c>
      <c r="I611" s="8" t="n">
        <v>0</v>
      </c>
      <c r="J611" s="8" t="n">
        <v>0</v>
      </c>
      <c r="K611" s="9" t="n">
        <v>1</v>
      </c>
      <c r="L611" s="9" t="n">
        <v>0</v>
      </c>
      <c r="M611" s="9" t="n">
        <v>0</v>
      </c>
      <c r="N611" s="9" t="n">
        <v>0</v>
      </c>
      <c r="O611" s="10" t="n">
        <v>1</v>
      </c>
      <c r="P611" s="10" t="n">
        <v>0</v>
      </c>
      <c r="Q611" s="10" t="n">
        <v>0</v>
      </c>
      <c r="R611" s="10" t="n">
        <v>0</v>
      </c>
      <c r="S611" s="10" t="n">
        <v>0</v>
      </c>
    </row>
    <row r="612" ht="121" customHeight="1">
      <c r="A612" s="6">
        <f>IFERROR(__xludf.DUMMYFUNCTION("""COMPUTED_VALUE"""),"Digital Divide")</f>
        <v/>
      </c>
      <c r="B612" s="6">
        <f>IFERROR(__xludf.DUMMYFUNCTION("""COMPUTED_VALUE"""),"Resource")</f>
        <v/>
      </c>
      <c r="C612" s="6">
        <f>IFERROR(__xludf.DUMMYFUNCTION("""COMPUTED_VALUE"""),"Digital Divide (2).mp4")</f>
        <v/>
      </c>
      <c r="D612" s="7">
        <f>IFERROR(__xludf.DUMMYFUNCTION("""COMPUTED_VALUE"""),"No task description")</f>
        <v/>
      </c>
      <c r="E612" s="7">
        <f>IFERROR(__xludf.DUMMYFUNCTION("""COMPUTED_VALUE"""),"video/mp4 – A video file containing moving images and possibly audio, suitable for playback on most modern devices and platforms.")</f>
        <v/>
      </c>
      <c r="F612" s="7" t="n"/>
      <c r="G612" s="8" t="n">
        <v>1</v>
      </c>
      <c r="H612" s="8" t="n">
        <v>0</v>
      </c>
      <c r="I612" s="8" t="n">
        <v>0</v>
      </c>
      <c r="J612" s="8" t="n">
        <v>0</v>
      </c>
      <c r="K612" s="9" t="n">
        <v>1</v>
      </c>
      <c r="L612" s="9" t="n">
        <v>0</v>
      </c>
      <c r="M612" s="9" t="n">
        <v>0</v>
      </c>
      <c r="N612" s="9" t="n">
        <v>0</v>
      </c>
      <c r="O612" s="10" t="n">
        <v>0</v>
      </c>
      <c r="P612" s="10" t="n">
        <v>0</v>
      </c>
      <c r="Q612" s="10" t="n">
        <v>0</v>
      </c>
      <c r="R612" s="10" t="n">
        <v>0</v>
      </c>
      <c r="S612" s="10" t="n">
        <v>0</v>
      </c>
    </row>
    <row r="613" ht="121" customHeight="1">
      <c r="A613" s="6">
        <f>IFERROR(__xludf.DUMMYFUNCTION("""COMPUTED_VALUE"""),"Digital Divide")</f>
        <v/>
      </c>
      <c r="B613" s="6">
        <f>IFERROR(__xludf.DUMMYFUNCTION("""COMPUTED_VALUE"""),"Resource")</f>
        <v/>
      </c>
      <c r="C613" s="6">
        <f>IFERROR(__xludf.DUMMYFUNCTION("""COMPUTED_VALUE"""),"digital 1.jpg")</f>
        <v/>
      </c>
      <c r="D613" s="7">
        <f>IFERROR(__xludf.DUMMYFUNCTION("""COMPUTED_VALUE"""),"[17' V mm")</f>
        <v/>
      </c>
      <c r="E613" s="7">
        <f>IFERROR(__xludf.DUMMYFUNCTION("""COMPUTED_VALUE"""),"image/jpeg – A digital photograph or web image stored in a compressed format, often used for photography and web graphics.")</f>
        <v/>
      </c>
      <c r="F613" s="7" t="n"/>
      <c r="G613" s="8" t="n">
        <v>1</v>
      </c>
      <c r="H613" s="8" t="n">
        <v>0</v>
      </c>
      <c r="I613" s="8" t="n">
        <v>0</v>
      </c>
      <c r="J613" s="8" t="n">
        <v>0</v>
      </c>
      <c r="K613" s="9" t="n">
        <v>1</v>
      </c>
      <c r="L613" s="9" t="n">
        <v>0</v>
      </c>
      <c r="M613" s="9" t="n">
        <v>0</v>
      </c>
      <c r="N613" s="9" t="n">
        <v>0</v>
      </c>
      <c r="O613" s="10" t="n">
        <v>0</v>
      </c>
      <c r="P613" s="10" t="n">
        <v>0</v>
      </c>
      <c r="Q613" s="10" t="n">
        <v>0</v>
      </c>
      <c r="R613" s="10" t="n">
        <v>0</v>
      </c>
      <c r="S613" s="10" t="n">
        <v>0</v>
      </c>
    </row>
    <row r="614" ht="97" customHeight="1">
      <c r="A614" s="6">
        <f>IFERROR(__xludf.DUMMYFUNCTION("""COMPUTED_VALUE"""),"Digital Divide")</f>
        <v/>
      </c>
      <c r="B614" s="6">
        <f>IFERROR(__xludf.DUMMYFUNCTION("""COMPUTED_VALUE"""),"Resource")</f>
        <v/>
      </c>
      <c r="C614" s="6">
        <f>IFERROR(__xludf.DUMMYFUNCTION("""COMPUTED_VALUE"""),"digital3.png")</f>
        <v/>
      </c>
      <c r="D614" s="7">
        <f>IFERROR(__xludf.DUMMYFUNCTION("""COMPUTED_VALUE"""),"M mm m m m4 w uu/emmmtv ""hm III NCES")</f>
        <v/>
      </c>
      <c r="E614" s="7">
        <f>IFERROR(__xludf.DUMMYFUNCTION("""COMPUTED_VALUE"""),"image/png – A high-quality image with support for transparency, often used in design and web applications.")</f>
        <v/>
      </c>
      <c r="F614" s="7" t="n"/>
      <c r="G614" s="8" t="n">
        <v>1</v>
      </c>
      <c r="H614" s="8" t="n">
        <v>0</v>
      </c>
      <c r="I614" s="8" t="n">
        <v>0</v>
      </c>
      <c r="J614" s="8" t="n">
        <v>0</v>
      </c>
      <c r="K614" s="9" t="n">
        <v>1</v>
      </c>
      <c r="L614" s="9" t="n">
        <v>0</v>
      </c>
      <c r="M614" s="9" t="n">
        <v>0</v>
      </c>
      <c r="N614" s="9" t="n">
        <v>0</v>
      </c>
      <c r="O614" s="10" t="n">
        <v>0</v>
      </c>
      <c r="P614" s="10" t="n">
        <v>0</v>
      </c>
      <c r="Q614" s="10" t="n">
        <v>0</v>
      </c>
      <c r="R614" s="10" t="n">
        <v>0</v>
      </c>
      <c r="S614" s="10" t="n">
        <v>0</v>
      </c>
    </row>
    <row r="615" ht="121" customHeight="1">
      <c r="A615" s="6">
        <f>IFERROR(__xludf.DUMMYFUNCTION("""COMPUTED_VALUE"""),"Digital Divide")</f>
        <v/>
      </c>
      <c r="B615" s="6">
        <f>IFERROR(__xludf.DUMMYFUNCTION("""COMPUTED_VALUE"""),"Resource")</f>
        <v/>
      </c>
      <c r="C615" s="6">
        <f>IFERROR(__xludf.DUMMYFUNCTION("""COMPUTED_VALUE"""),"digital2.jpg")</f>
        <v/>
      </c>
      <c r="D615" s="7">
        <f>IFERROR(__xludf.DUMMYFUNCTION("""COMPUTED_VALUE"""),"No task description")</f>
        <v/>
      </c>
      <c r="E615" s="7">
        <f>IFERROR(__xludf.DUMMYFUNCTION("""COMPUTED_VALUE"""),"image/jpeg – A digital photograph or web image stored in a compressed format, often used for photography and web graphics.")</f>
        <v/>
      </c>
      <c r="F615" s="7" t="n"/>
      <c r="G615" s="8" t="n">
        <v>1</v>
      </c>
      <c r="H615" s="8" t="n">
        <v>0</v>
      </c>
      <c r="I615" s="8" t="n">
        <v>0</v>
      </c>
      <c r="J615" s="8" t="n">
        <v>0</v>
      </c>
      <c r="K615" s="9" t="n">
        <v>1</v>
      </c>
      <c r="L615" s="9" t="n">
        <v>0</v>
      </c>
      <c r="M615" s="9" t="n">
        <v>0</v>
      </c>
      <c r="N615" s="9" t="n">
        <v>0</v>
      </c>
      <c r="O615" s="10" t="n">
        <v>0</v>
      </c>
      <c r="P615" s="10" t="n">
        <v>0</v>
      </c>
      <c r="Q615" s="10" t="n">
        <v>0</v>
      </c>
      <c r="R615" s="10" t="n">
        <v>0</v>
      </c>
      <c r="S615" s="10" t="n">
        <v>0</v>
      </c>
    </row>
    <row r="616" ht="169" customHeight="1">
      <c r="A616" s="6">
        <f>IFERROR(__xludf.DUMMYFUNCTION("""COMPUTED_VALUE"""),"Digital Divide")</f>
        <v/>
      </c>
      <c r="B616" s="6">
        <f>IFERROR(__xludf.DUMMYFUNCTION("""COMPUTED_VALUE"""),"Space")</f>
        <v/>
      </c>
      <c r="C616" s="6">
        <f>IFERROR(__xludf.DUMMYFUNCTION("""COMPUTED_VALUE"""),"Conclusion")</f>
        <v/>
      </c>
      <c r="D616" s="7">
        <f>IFERROR(__xludf.DUMMYFUNCTION("""COMPUTED_VALUE"""),"&lt;p&gt;Do you think, you are that child who have access to Information Communication and Technology? if yes then suggest ways you could possibly help those who dont have access to such opportunity.&lt;/p&gt;")</f>
        <v/>
      </c>
      <c r="E616" s="7">
        <f>IFERROR(__xludf.DUMMYFUNCTION("""COMPUTED_VALUE"""),"No artifact embedded")</f>
        <v/>
      </c>
      <c r="F616" s="7" t="n"/>
      <c r="G616" s="8" t="n">
        <v>0</v>
      </c>
      <c r="H616" s="8" t="n">
        <v>0</v>
      </c>
      <c r="I616" s="8" t="n">
        <v>1</v>
      </c>
      <c r="J616" s="8" t="n">
        <v>0</v>
      </c>
      <c r="K616" s="9" t="n">
        <v>0</v>
      </c>
      <c r="L616" s="9" t="n">
        <v>1</v>
      </c>
      <c r="M616" s="9" t="n">
        <v>0</v>
      </c>
      <c r="N616" s="9" t="n">
        <v>0</v>
      </c>
      <c r="O616" s="10" t="n">
        <v>0</v>
      </c>
      <c r="P616" s="10" t="n">
        <v>0</v>
      </c>
      <c r="Q616" s="10" t="n">
        <v>0</v>
      </c>
      <c r="R616" s="10" t="n">
        <v>0</v>
      </c>
      <c r="S616" s="10" t="n">
        <v>1</v>
      </c>
    </row>
    <row r="617" ht="217" customHeight="1">
      <c r="A617" s="6">
        <f>IFERROR(__xludf.DUMMYFUNCTION("""COMPUTED_VALUE"""),"Digital Divide")</f>
        <v/>
      </c>
      <c r="B617" s="6">
        <f>IFERROR(__xludf.DUMMYFUNCTION("""COMPUTED_VALUE"""),"Space")</f>
        <v/>
      </c>
      <c r="C617" s="6">
        <f>IFERROR(__xludf.DUMMYFUNCTION("""COMPUTED_VALUE"""),"Discussion")</f>
        <v/>
      </c>
      <c r="D617" s="7">
        <f>IFERROR(__xludf.DUMMYFUNCTION("""COMPUTED_VALUE"""),"&lt;p&gt;1. Write an Essay, on ""The Digital Divide In a Globalized World Suggesting Ways to Bridge the Gap""&lt;/p&gt;&lt;p&gt;2. How has the economy brought about the efficient use of time&lt;/p&gt;&lt;p&gt;3. Write a short description on the old economy&lt;/p&gt;")</f>
        <v/>
      </c>
      <c r="E617" s="7">
        <f>IFERROR(__xludf.DUMMYFUNCTION("""COMPUTED_VALUE"""),"No artifact embedded")</f>
        <v/>
      </c>
      <c r="F617" s="7" t="n"/>
      <c r="G617" s="8" t="n">
        <v>0</v>
      </c>
      <c r="H617" s="8" t="n">
        <v>0</v>
      </c>
      <c r="I617" s="8" t="n">
        <v>1</v>
      </c>
      <c r="J617" s="8" t="n">
        <v>0</v>
      </c>
      <c r="K617" s="9" t="n">
        <v>0</v>
      </c>
      <c r="L617" s="9" t="n">
        <v>1</v>
      </c>
      <c r="M617" s="9" t="n">
        <v>0</v>
      </c>
      <c r="N617" s="9" t="n">
        <v>0</v>
      </c>
      <c r="O617" s="10" t="n">
        <v>0</v>
      </c>
      <c r="P617" s="10" t="n">
        <v>0</v>
      </c>
      <c r="Q617" s="10" t="n">
        <v>0</v>
      </c>
      <c r="R617" s="10" t="n">
        <v>0</v>
      </c>
      <c r="S617" s="10" t="n">
        <v>1</v>
      </c>
    </row>
    <row r="618" ht="25" customHeight="1">
      <c r="A618" s="6">
        <f>IFERROR(__xludf.DUMMYFUNCTION("""COMPUTED_VALUE"""),"Is it Good to be Beautiful?")</f>
        <v/>
      </c>
      <c r="B618" s="6">
        <f>IFERROR(__xludf.DUMMYFUNCTION("""COMPUTED_VALUE"""),"Space")</f>
        <v/>
      </c>
      <c r="C618" s="6">
        <f>IFERROR(__xludf.DUMMYFUNCTION("""COMPUTED_VALUE"""),"Orientation")</f>
        <v/>
      </c>
      <c r="D618" s="7">
        <f>IFERROR(__xludf.DUMMYFUNCTION("""COMPUTED_VALUE"""),"No task description")</f>
        <v/>
      </c>
      <c r="E618" s="7">
        <f>IFERROR(__xludf.DUMMYFUNCTION("""COMPUTED_VALUE"""),"No artifact embedded")</f>
        <v/>
      </c>
      <c r="F618" s="7" t="n"/>
      <c r="G618" s="8" t="n">
        <v>0</v>
      </c>
      <c r="H618" s="8" t="n">
        <v>0</v>
      </c>
      <c r="I618" s="8" t="n">
        <v>0</v>
      </c>
      <c r="J618" s="8" t="n">
        <v>0</v>
      </c>
      <c r="K618" s="9" t="n">
        <v>0</v>
      </c>
      <c r="L618" s="9" t="n">
        <v>0</v>
      </c>
      <c r="M618" s="9" t="n">
        <v>0</v>
      </c>
      <c r="N618" s="9" t="n">
        <v>0</v>
      </c>
      <c r="O618" s="10" t="n">
        <v>0</v>
      </c>
      <c r="P618" s="10" t="n">
        <v>0</v>
      </c>
      <c r="Q618" s="10" t="n">
        <v>0</v>
      </c>
      <c r="R618" s="10" t="n">
        <v>0</v>
      </c>
      <c r="S618" s="10" t="n">
        <v>0</v>
      </c>
    </row>
    <row r="619" ht="409.5" customHeight="1">
      <c r="A619" s="6">
        <f>IFERROR(__xludf.DUMMYFUNCTION("""COMPUTED_VALUE"""),"Is it Good to be Beautiful?")</f>
        <v/>
      </c>
      <c r="B619" s="6">
        <f>IFERROR(__xludf.DUMMYFUNCTION("""COMPUTED_VALUE"""),"Resource")</f>
        <v/>
      </c>
      <c r="C619" s="6">
        <f>IFERROR(__xludf.DUMMYFUNCTION("""COMPUTED_VALUE"""),"Text 1.graasp")</f>
        <v/>
      </c>
      <c r="D619" s="7">
        <f>IFERROR(__xludf.DUMMYFUNCTION("""COMPUTED_VALUE"""),"&lt;p&gt;&lt;em&gt;&lt;strong&gt;Dear Student,&lt;/strong&gt;&lt;/em&gt;&lt;/p&gt;&lt;p class=""MsoNormal""&gt;&lt;em&gt;&lt;strong&gt;In today's lesson you will learn about the importance of natural and sexual selection processes in understanding evolution. To study these topics you will work through five i"&amp;"nquiry phases (Orientation, Conceptualization, Investigation, Conclusion and Discussion). In addition to learning about biology you will also acquire important skills for conducting scientific inquiry. You will perform experiments with the online virtual "&amp;"laboratory Sexual Selection in Guppies and collect and analyze data just like the biologist John Endler did when he first investigated the balance of natural and sexual selection in guppy fish in the 1970s.&lt;/strong&gt;&lt;/em&gt;&lt;/p&gt;&lt;p class=""MsoNormal""&gt;&lt;strong&gt;"&amp;"&lt;br&gt;&lt;/strong&gt;&lt;/p&gt;&lt;p class=""MsoNormal""&gt;Let's begin with a question: &lt;/p&gt;&lt;p class=""MsoNormal""&gt;&lt;em&gt;&lt;strong&gt;Is it always good for a person or an animal to look beautiful?&lt;/strong&gt;&lt;/em&gt;&lt;/p&gt;&lt;p class=""MsoNormal""&gt;&lt;em&gt;&lt;br&gt;&lt;/em&gt;&lt;/p&gt;&lt;p class=""MsoNormal""&gt;Toda"&amp;"y you will answer this question using evidence gathered from an inquiry investigation. The answer relates very much to understanding the evolutionary processes of natural and sexual selection. In this first phase (i.e. the Orientation inquiry phase) you w"&amp;"ill gather background information to formulate your initial thoughts and ideas and create a personalized &lt;a href=""http://en.wikipedia.org/wiki/Concept_map"" target=""_blank""&gt;concept map&lt;/a&gt;.&lt;/p&gt;&lt;p class=""MsoNormal""&gt;&lt;br&gt;&lt;/p&gt;&lt;p class=""MsoNormal""&gt;&lt;stro"&amp;"ng&gt;Step 1: Terminology&lt;/strong&gt;&lt;/p&gt;&lt;p class=""MsoNormal""&gt;Familiarize yourself with terminology relevant to today's topic by reading the text below and following the links.  &lt;/p&gt;&lt;p&gt;&lt;em&gt;Sexual selection is a part of natural selection. &lt;a href=""http://en.w"&amp;"ikipedia.org/wiki/Natural_selection"" target=""_blank""&gt;Natural selection&lt;/a&gt; is the process by which individuals with certain characteristics survive and reproduce better than other individuals without these characteristics. Success in reproduction is di"&amp;"rectly influenced by sexual selection. &lt;a href=""http://en.wikipedia.org/wiki/Sexual_selection"" target=""_blank""&gt;Sexual selection&lt;/a&gt; is the mechanism by which organisms secure mates and depends on attracting mates through the display of certain charact"&amp;"eristics.&lt;/em&gt;&lt;/p&gt;")</f>
        <v/>
      </c>
      <c r="E619" s="7">
        <f>IFERROR(__xludf.DUMMYFUNCTION("""COMPUTED_VALUE"""),"No artifact embedded")</f>
        <v/>
      </c>
      <c r="F619" s="7" t="n"/>
      <c r="G619" s="8" t="n">
        <v>0</v>
      </c>
      <c r="H619" s="8" t="n">
        <v>0</v>
      </c>
      <c r="I619" s="8" t="n">
        <v>1</v>
      </c>
      <c r="J619" s="8" t="n">
        <v>0</v>
      </c>
      <c r="K619" s="9" t="n">
        <v>0</v>
      </c>
      <c r="L619" s="9" t="n">
        <v>1</v>
      </c>
      <c r="M619" s="9" t="n">
        <v>0</v>
      </c>
      <c r="N619" s="9" t="n">
        <v>0</v>
      </c>
      <c r="O619" s="10" t="n">
        <v>1</v>
      </c>
      <c r="P619" s="10" t="n">
        <v>1</v>
      </c>
      <c r="Q619" s="10" t="n">
        <v>1</v>
      </c>
      <c r="R619" s="10" t="n">
        <v>1</v>
      </c>
      <c r="S619" s="10" t="n">
        <v>1</v>
      </c>
    </row>
    <row r="620" ht="217" customHeight="1">
      <c r="A620" s="6">
        <f>IFERROR(__xludf.DUMMYFUNCTION("""COMPUTED_VALUE"""),"Is it Good to be Beautiful?")</f>
        <v/>
      </c>
      <c r="B620" s="6">
        <f>IFERROR(__xludf.DUMMYFUNCTION("""COMPUTED_VALUE"""),"Resource")</f>
        <v/>
      </c>
      <c r="C620" s="6">
        <f>IFERROR(__xludf.DUMMYFUNCTION("""COMPUTED_VALUE"""),"Text 3.graasp")</f>
        <v/>
      </c>
      <c r="D620" s="7">
        <f>IFERROR(__xludf.DUMMYFUNCTION("""COMPUTED_VALUE"""),"&lt;p&gt;&lt;strong&gt;Step 2: Informative Video&lt;/strong&gt;&lt;/p&gt;&lt;p&gt;According to evolutionary theory many animals, including humans, are attracted to certain physical characteristics. Let's watch a video from Hank's Science Show about Why Sexy is Sexy.&lt;/p&gt;")</f>
        <v/>
      </c>
      <c r="E620" s="7">
        <f>IFERROR(__xludf.DUMMYFUNCTION("""COMPUTED_VALUE"""),"No artifact embedded")</f>
        <v/>
      </c>
      <c r="F620" s="7" t="n"/>
      <c r="G620" s="8" t="n">
        <v>1</v>
      </c>
      <c r="H620" s="8" t="n">
        <v>0</v>
      </c>
      <c r="I620" s="8" t="n">
        <v>0</v>
      </c>
      <c r="J620" s="8" t="n">
        <v>0</v>
      </c>
      <c r="K620" s="9" t="n">
        <v>1</v>
      </c>
      <c r="L620" s="9" t="n">
        <v>0</v>
      </c>
      <c r="M620" s="9" t="n">
        <v>0</v>
      </c>
      <c r="N620" s="9" t="n">
        <v>0</v>
      </c>
      <c r="O620" s="10" t="n">
        <v>1</v>
      </c>
      <c r="P620" s="10" t="n">
        <v>0</v>
      </c>
      <c r="Q620" s="10" t="n">
        <v>0</v>
      </c>
      <c r="R620" s="10" t="n">
        <v>0</v>
      </c>
      <c r="S620" s="10" t="n">
        <v>0</v>
      </c>
    </row>
    <row r="621" ht="73" customHeight="1">
      <c r="A621" s="6">
        <f>IFERROR(__xludf.DUMMYFUNCTION("""COMPUTED_VALUE"""),"Is it Good to be Beautiful?")</f>
        <v/>
      </c>
      <c r="B621" s="6">
        <f>IFERROR(__xludf.DUMMYFUNCTION("""COMPUTED_VALUE"""),"Resource")</f>
        <v/>
      </c>
      <c r="C621" s="6">
        <f>IFERROR(__xludf.DUMMYFUNCTION("""COMPUTED_VALUE"""),"YouTube video")</f>
        <v/>
      </c>
      <c r="D621" s="7">
        <f>IFERROR(__xludf.DUMMYFUNCTION("""COMPUTED_VALUE"""),"No task description")</f>
        <v/>
      </c>
      <c r="E621" s="7">
        <f>IFERROR(__xludf.DUMMYFUNCTION("""COMPUTED_VALUE"""),"youtu.be: A shortened URL service for YouTube, leading to various videos on the platform.")</f>
        <v/>
      </c>
      <c r="F621" s="7" t="n"/>
      <c r="G621" s="8" t="n">
        <v>1</v>
      </c>
      <c r="H621" s="8" t="n">
        <v>0</v>
      </c>
      <c r="I621" s="8" t="n">
        <v>0</v>
      </c>
      <c r="J621" s="8" t="n">
        <v>0</v>
      </c>
      <c r="K621" s="9" t="n">
        <v>1</v>
      </c>
      <c r="L621" s="9" t="n">
        <v>0</v>
      </c>
      <c r="M621" s="9" t="n">
        <v>0</v>
      </c>
      <c r="N621" s="9" t="n">
        <v>0</v>
      </c>
      <c r="O621" s="10" t="n">
        <v>0</v>
      </c>
      <c r="P621" s="10" t="n">
        <v>0</v>
      </c>
      <c r="Q621" s="10" t="n">
        <v>0</v>
      </c>
      <c r="R621" s="10" t="n">
        <v>0</v>
      </c>
      <c r="S621" s="10" t="n">
        <v>0</v>
      </c>
    </row>
    <row r="622" ht="409.5" customHeight="1">
      <c r="A622" s="6">
        <f>IFERROR(__xludf.DUMMYFUNCTION("""COMPUTED_VALUE"""),"Is it Good to be Beautiful?")</f>
        <v/>
      </c>
      <c r="B622" s="6">
        <f>IFERROR(__xludf.DUMMYFUNCTION("""COMPUTED_VALUE"""),"Resource")</f>
        <v/>
      </c>
      <c r="C622" s="6">
        <f>IFERROR(__xludf.DUMMYFUNCTION("""COMPUTED_VALUE"""),"Text 4.graasp")</f>
        <v/>
      </c>
      <c r="D622" s="7">
        <f>IFERROR(__xludf.DUMMYFUNCTION("""COMPUTED_VALUE"""),"&lt;p&gt;&lt;strong&gt;Step 3: Concept Map&lt;/strong&gt;&lt;/p&gt;&lt;p class=""MsoNormal""&gt;Now think about and list several characteristics you are personally looking for in a future spouse. For each characteristic think of potential negative consequences. For example, if ""sexy "&amp;"body"" is listed as an attractive trait then this likely implies that the person has to exercise for several hours each day. If they spend so much time exercising then they do not have enough time to study in school. If they do not study enough in school "&amp;"then their career options will be limited.&lt;/p&gt;&lt;p class=""MsoNormal""&gt;&lt;em&gt;Please use the Concept Mapper app to create your concept map. Press the help button (?) to learn how to use the Concept Mapper app.&lt;/em&gt;&lt;br&gt;&lt;/p&gt;")</f>
        <v/>
      </c>
      <c r="E622" s="7">
        <f>IFERROR(__xludf.DUMMYFUNCTION("""COMPUTED_VALUE"""),"No artifact embedded")</f>
        <v/>
      </c>
      <c r="F622" s="7" t="n"/>
      <c r="G622" s="8" t="n">
        <v>0</v>
      </c>
      <c r="H622" s="8" t="n">
        <v>0</v>
      </c>
      <c r="I622" s="8" t="n">
        <v>1</v>
      </c>
      <c r="J622" s="8" t="n">
        <v>0</v>
      </c>
      <c r="K622" s="9" t="n">
        <v>0</v>
      </c>
      <c r="L622" s="9" t="n">
        <v>1</v>
      </c>
      <c r="M622" s="9" t="n">
        <v>0</v>
      </c>
      <c r="N622" s="9" t="n">
        <v>0</v>
      </c>
      <c r="O622" s="10" t="n">
        <v>0</v>
      </c>
      <c r="P622" s="10" t="n">
        <v>1</v>
      </c>
      <c r="Q622" s="10" t="n">
        <v>0</v>
      </c>
      <c r="R622" s="10" t="n">
        <v>0</v>
      </c>
      <c r="S622" s="10" t="n">
        <v>0</v>
      </c>
    </row>
    <row r="623" ht="409.5" customHeight="1">
      <c r="A623" s="6">
        <f>IFERROR(__xludf.DUMMYFUNCTION("""COMPUTED_VALUE"""),"Is it Good to be Beautiful?")</f>
        <v/>
      </c>
      <c r="B623" s="6">
        <f>IFERROR(__xludf.DUMMYFUNCTION("""COMPUTED_VALUE"""),"Resource")</f>
        <v/>
      </c>
      <c r="C623" s="6">
        <f>IFERROR(__xludf.DUMMYFUNCTION("""COMPUTED_VALUE"""),"Text 5.graasp")</f>
        <v/>
      </c>
      <c r="D623" s="7">
        <f>IFERROR(__xludf.DUMMYFUNCTION("""COMPUTED_VALUE"""),"&lt;p&gt;&lt;strong&gt;Step 4: Background Information on Guppies&lt;/strong&gt;&lt;/p&gt;&lt;p class=""MsoNormal""&gt;Our inquiry investigation about natural and sexual selection will use the online virtual laboratory Sexual Selection in Guppies. The guppy is a fascinating type of fis"&amp;"h. Please read the introduction about &lt;a href=""http://en.wikipedia.org/wiki/Guppy"" target=""_blank""&gt;guppies in the Wikipedia article&lt;/a&gt; to acquire background information about them.&lt;/p&gt;&lt;p class=""MsoNormal""&gt;&lt;br&gt;&lt;/p&gt;&lt;p&gt;&lt;strong&gt;Have you finished readin"&amp;"g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amp;"&gt;&lt;strong&gt;&lt;br&gt;&lt;/strong&gt;&lt;/p&gt;&lt;p&gt;&lt;strong&gt;&lt;br&gt;&lt;/strong&gt;&lt;/p&gt;&lt;p&gt;&lt;strong&gt;&lt;br&gt;&lt;/strong&gt;&lt;/p&gt;")</f>
        <v/>
      </c>
      <c r="E623" s="7">
        <f>IFERROR(__xludf.DUMMYFUNCTION("""COMPUTED_VALUE"""),"No artifact embedded")</f>
        <v/>
      </c>
      <c r="F623" s="7" t="n"/>
      <c r="G623" s="8" t="n">
        <v>0</v>
      </c>
      <c r="H623" s="8" t="n">
        <v>1</v>
      </c>
      <c r="I623" s="8" t="n">
        <v>0</v>
      </c>
      <c r="J623" s="8" t="n">
        <v>0</v>
      </c>
      <c r="K623" s="9" t="n">
        <v>1</v>
      </c>
      <c r="L623" s="9" t="n">
        <v>0</v>
      </c>
      <c r="M623" s="9" t="n">
        <v>0</v>
      </c>
      <c r="N623" s="9" t="n">
        <v>0</v>
      </c>
      <c r="O623" s="10" t="n">
        <v>1</v>
      </c>
      <c r="P623" s="10" t="n">
        <v>0</v>
      </c>
      <c r="Q623" s="10" t="n">
        <v>1</v>
      </c>
      <c r="R623" s="10" t="n">
        <v>0</v>
      </c>
      <c r="S623" s="10" t="n">
        <v>0</v>
      </c>
    </row>
    <row r="624" ht="25" customHeight="1">
      <c r="A624" s="6">
        <f>IFERROR(__xludf.DUMMYFUNCTION("""COMPUTED_VALUE"""),"Is it Good to be Beautiful?")</f>
        <v/>
      </c>
      <c r="B624" s="6">
        <f>IFERROR(__xludf.DUMMYFUNCTION("""COMPUTED_VALUE"""),"Space")</f>
        <v/>
      </c>
      <c r="C624" s="6">
        <f>IFERROR(__xludf.DUMMYFUNCTION("""COMPUTED_VALUE"""),"Conceptualization")</f>
        <v/>
      </c>
      <c r="D624" s="7">
        <f>IFERROR(__xludf.DUMMYFUNCTION("""COMPUTED_VALUE"""),"No task description")</f>
        <v/>
      </c>
      <c r="E624" s="7">
        <f>IFERROR(__xludf.DUMMYFUNCTION("""COMPUTED_VALUE"""),"No artifact embedded")</f>
        <v/>
      </c>
      <c r="F624" s="7" t="n"/>
      <c r="G624" s="8" t="n">
        <v>0</v>
      </c>
      <c r="H624" s="8" t="n">
        <v>0</v>
      </c>
      <c r="I624" s="8" t="n">
        <v>0</v>
      </c>
      <c r="J624" s="8" t="n">
        <v>0</v>
      </c>
      <c r="K624" s="9" t="n">
        <v>0</v>
      </c>
      <c r="L624" s="9" t="n">
        <v>0</v>
      </c>
      <c r="M624" s="9" t="n">
        <v>0</v>
      </c>
      <c r="N624" s="9" t="n">
        <v>0</v>
      </c>
      <c r="O624" s="10" t="n">
        <v>0</v>
      </c>
      <c r="P624" s="10" t="n">
        <v>0</v>
      </c>
      <c r="Q624" s="10" t="n">
        <v>0</v>
      </c>
      <c r="R624" s="10" t="n">
        <v>0</v>
      </c>
      <c r="S624" s="10" t="n">
        <v>0</v>
      </c>
    </row>
    <row r="625" ht="409.5" customHeight="1">
      <c r="A625" s="6">
        <f>IFERROR(__xludf.DUMMYFUNCTION("""COMPUTED_VALUE"""),"Is it Good to be Beautiful?")</f>
        <v/>
      </c>
      <c r="B625" s="6">
        <f>IFERROR(__xludf.DUMMYFUNCTION("""COMPUTED_VALUE"""),"Resource")</f>
        <v/>
      </c>
      <c r="C625" s="6">
        <f>IFERROR(__xludf.DUMMYFUNCTION("""COMPUTED_VALUE"""),"Text 1.graasp")</f>
        <v/>
      </c>
      <c r="D625" s="7">
        <f>IFERROR(__xludf.DUMMYFUNCTION("""COMPUTED_VALUE"""),"&lt;p&gt;&lt;strong&gt;Welcome to the Conceptualization phase. In this phase you will formulate research questions and hypotheses that will be tested with the virtual online laboratory &lt;em&gt;Sexual Selection in Guppies&lt;/em&gt;.&lt;/strong&gt;&lt;/p&gt;&lt;p class=""MsoNormal""&gt;&lt;em&gt;When "&amp;"the biologist John Endler observed wild guppies in Trinidad in the 1970s, he was puzzled by the fact that male guppies exhibited a wide variation in physical appearance depending on which part of a stream they lived in. Male guppies in one part of a strea"&amp;"m had many colourful spots on their sides, whereas male guppies in another location were relatively dull and showed only a few spots. Something must have been responsible for causing these variations.&lt;/em&gt;&lt;/p&gt;&lt;p class=""MsoNormal""&gt;&lt;br&gt;&lt;/p&gt;&lt;p class=""MsoN"&amp;"ormal""&gt;&lt;strong&gt;Step 1: Introduction to Guppy Experiments&lt;/strong&gt;&lt;/p&gt;&lt;p class=""MsoNormal""&gt;To investigate the variation of spots in guppies the biologist John Endler performed experiments in an artificial pond and varied certain variables he thought inf"&amp;"luenced the average number of spots per male guppy. Over time different pond conditions affected the average number of spots in the male guppy population. Why?&lt;/p&gt;&lt;p class=""MsoNormal""&gt;In the &lt;em&gt;Sexual Selection in Guppies&lt;/em&gt; virtual laboratory you wi"&amp;"ll run simulations to determine what variables influence the average number of spots per male guppy. Figure 1 below shows three trends &lt;strong&gt;you must simulate&lt;/strong&gt;. In plot A the number of spots increases over time and reaches a relatively large num"&amp;"ber. In plot B the number of spots occasionally increases or decreases, but overall remains the same. Finally, in plot C the number of spots decreases until reaching a relatively low number.&lt;/p&gt;")</f>
        <v/>
      </c>
      <c r="E625" s="7">
        <f>IFERROR(__xludf.DUMMYFUNCTION("""COMPUTED_VALUE"""),"No artifact embedded")</f>
        <v/>
      </c>
      <c r="F625" s="7" t="n"/>
      <c r="G625" s="8" t="n">
        <v>0</v>
      </c>
      <c r="H625" s="8" t="n">
        <v>0</v>
      </c>
      <c r="I625" s="8" t="n">
        <v>1</v>
      </c>
      <c r="J625" s="8" t="n">
        <v>0</v>
      </c>
      <c r="K625" s="9" t="n">
        <v>0</v>
      </c>
      <c r="L625" s="9" t="n">
        <v>1</v>
      </c>
      <c r="M625" s="9" t="n">
        <v>0</v>
      </c>
      <c r="N625" s="9" t="n">
        <v>0</v>
      </c>
      <c r="O625" s="10" t="n">
        <v>1</v>
      </c>
      <c r="P625" s="10" t="n">
        <v>1</v>
      </c>
      <c r="Q625" s="10" t="n">
        <v>1</v>
      </c>
      <c r="R625" s="10" t="n">
        <v>0</v>
      </c>
      <c r="S625" s="10" t="n">
        <v>0</v>
      </c>
    </row>
    <row r="626" ht="121" customHeight="1">
      <c r="A626" s="6">
        <f>IFERROR(__xludf.DUMMYFUNCTION("""COMPUTED_VALUE"""),"Is it Good to be Beautiful?")</f>
        <v/>
      </c>
      <c r="B626" s="6">
        <f>IFERROR(__xludf.DUMMYFUNCTION("""COMPUTED_VALUE"""),"Resource")</f>
        <v/>
      </c>
      <c r="C626" s="6">
        <f>IFERROR(__xludf.DUMMYFUNCTION("""COMPUTED_VALUE"""),"Figure1.jpg")</f>
        <v/>
      </c>
      <c r="D626" s="7">
        <f>IFERROR(__xludf.DUMMYFUNCTION("""COMPUTED_VALUE"""),"#spots per fish Time")</f>
        <v/>
      </c>
      <c r="E626" s="7">
        <f>IFERROR(__xludf.DUMMYFUNCTION("""COMPUTED_VALUE"""),"image/jpeg – A digital photograph or web image stored in a compressed format, often used for photography and web graphics.")</f>
        <v/>
      </c>
      <c r="F626" s="7" t="n"/>
      <c r="G626" s="8" t="n">
        <v>1</v>
      </c>
      <c r="H626" s="8" t="n">
        <v>0</v>
      </c>
      <c r="I626" s="8" t="n">
        <v>0</v>
      </c>
      <c r="J626" s="8" t="n">
        <v>0</v>
      </c>
      <c r="K626" s="9" t="n">
        <v>1</v>
      </c>
      <c r="L626" s="9" t="n">
        <v>0</v>
      </c>
      <c r="M626" s="9" t="n">
        <v>0</v>
      </c>
      <c r="N626" s="9" t="n">
        <v>0</v>
      </c>
      <c r="O626" s="10" t="n">
        <v>0</v>
      </c>
      <c r="P626" s="10" t="n">
        <v>0</v>
      </c>
      <c r="Q626" s="10" t="n">
        <v>0</v>
      </c>
      <c r="R626" s="10" t="n">
        <v>0</v>
      </c>
      <c r="S626" s="10" t="n">
        <v>0</v>
      </c>
    </row>
    <row r="627" ht="329" customHeight="1">
      <c r="A627" s="6">
        <f>IFERROR(__xludf.DUMMYFUNCTION("""COMPUTED_VALUE"""),"Is it Good to be Beautiful?")</f>
        <v/>
      </c>
      <c r="B627" s="6">
        <f>IFERROR(__xludf.DUMMYFUNCTION("""COMPUTED_VALUE"""),"Resource")</f>
        <v/>
      </c>
      <c r="C627" s="6">
        <f>IFERROR(__xludf.DUMMYFUNCTION("""COMPUTED_VALUE"""),"Text 2.graasp")</f>
        <v/>
      </c>
      <c r="D627" s="7">
        <f>IFERROR(__xludf.DUMMYFUNCTION("""COMPUTED_VALUE"""),"&lt;p&gt;Figure 1. Three plots (A, B and C) of long-term trends in the average number of spots per male guppy.&lt;/p&gt;&lt;p&gt;In order to determine which variables are responsible for the trends in plots A, B and C you should familiarize yourself with the descriptions o"&amp;"f important variables that can be varied in the virtual laboratory. Table 1 shows these variables and their descriptions.&lt;br&gt;&lt;/p&gt;")</f>
        <v/>
      </c>
      <c r="E627" s="7">
        <f>IFERROR(__xludf.DUMMYFUNCTION("""COMPUTED_VALUE"""),"No artifact embedded")</f>
        <v/>
      </c>
      <c r="F627" s="7" t="n"/>
      <c r="G627" s="8" t="n">
        <v>1</v>
      </c>
      <c r="H627" s="8" t="n">
        <v>0</v>
      </c>
      <c r="I627" s="8" t="n">
        <v>0</v>
      </c>
      <c r="J627" s="8" t="n">
        <v>0</v>
      </c>
      <c r="K627" s="9" t="n">
        <v>1</v>
      </c>
      <c r="L627" s="9" t="n">
        <v>0</v>
      </c>
      <c r="M627" s="9" t="n">
        <v>0</v>
      </c>
      <c r="N627" s="9" t="n">
        <v>0</v>
      </c>
      <c r="O627" s="10" t="n">
        <v>1</v>
      </c>
      <c r="P627" s="10" t="n">
        <v>0</v>
      </c>
      <c r="Q627" s="10" t="n">
        <v>0</v>
      </c>
      <c r="R627" s="10" t="n">
        <v>0</v>
      </c>
      <c r="S627" s="10" t="n">
        <v>0</v>
      </c>
    </row>
    <row r="628" ht="409.5" customHeight="1">
      <c r="A628" s="6">
        <f>IFERROR(__xludf.DUMMYFUNCTION("""COMPUTED_VALUE"""),"Is it Good to be Beautiful?")</f>
        <v/>
      </c>
      <c r="B628" s="6">
        <f>IFERROR(__xludf.DUMMYFUNCTION("""COMPUTED_VALUE"""),"Resource")</f>
        <v/>
      </c>
      <c r="C628" s="6">
        <f>IFERROR(__xludf.DUMMYFUNCTION("""COMPUTED_VALUE"""),"Table1.html")</f>
        <v/>
      </c>
      <c r="D628" s="7">
        <f>IFERROR(__xludf.DUMMYFUNCTION("""COMPUTED_VALUE"""),"&lt;!DOCTYPE HTML&gt; &lt;html&gt; &lt;head&gt; &lt;meta charset=""utf-8""&gt; &lt;title&gt;Sexual Selection in Guppies&lt;/title&gt;    &lt;style&gt; body {  font-family: Helvetica; } table {  width:100%; } table, th, td {  border: 1px solid black;  border-collapse: collapse; } th, td {  padding"&amp;": 5px;  text-align:left; } table#tguppy tr:nth-child(even) {  background-color: #eee; } table#tguppy tr:nth-child(odd) {  background-color:#fff; } table#tguppy th {  background-color: #5050d2;  color: white; } &lt;/style&gt; &lt;/head&gt;   &lt;body&gt;  &lt;h3&gt;Table 1. Varia"&amp;"bles and their descriptions in the virtual laboratory &lt;i&gt;Sexual Selection in Guppies.&lt;/i&gt; &lt;/h3&gt;  &lt;table id=""tguppy""&gt;  &lt;tr&gt;   &lt;th&gt;Variable&lt;/th&gt;   &lt;th&gt;Description&lt;/th&gt;  &lt;/tr&gt;  &lt;tr&gt;   &lt;td&gt;Number of guppies&lt;/td&gt;   &lt;td&gt;The starting population size of guppies"&amp;"&lt;/td&gt;  &lt;/tr&gt;  &lt;tr&gt;   &lt;td&gt;Female preference&lt;/td&gt;   &lt;td&gt;The likelihood that a female guppy will reject a male with less than the average number of spots&lt;/td&gt;  &lt;/tr&gt;  &lt;tr&gt;   &lt;td&gt;Number of predators&lt;/td&gt;   &lt;td&gt;The number of pike predators in the environment&lt;/"&amp;"td&gt;  &lt;/tr&gt; &lt;/table&gt;  &lt;/body&gt; &lt;/html&gt;")</f>
        <v/>
      </c>
      <c r="E628" s="7">
        <f>IFERROR(__xludf.DUMMYFUNCTION("""COMPUTED_VALUE"""),"text/html – A webpage or web document that contains structured text, images, and links, designed for display in a web browser.")</f>
        <v/>
      </c>
      <c r="F628" s="7" t="n"/>
      <c r="G628" s="8" t="n">
        <v>1</v>
      </c>
      <c r="H628" s="8" t="n">
        <v>0</v>
      </c>
      <c r="I628" s="8" t="n">
        <v>0</v>
      </c>
      <c r="J628" s="8" t="n">
        <v>0</v>
      </c>
      <c r="K628" s="9" t="n">
        <v>1</v>
      </c>
      <c r="L628" s="9" t="n">
        <v>0</v>
      </c>
      <c r="M628" s="9" t="n">
        <v>0</v>
      </c>
      <c r="N628" s="9" t="n">
        <v>0</v>
      </c>
      <c r="O628" s="10" t="n">
        <v>1</v>
      </c>
      <c r="P628" s="10" t="n">
        <v>0</v>
      </c>
      <c r="Q628" s="10" t="n">
        <v>0</v>
      </c>
      <c r="R628" s="10" t="n">
        <v>0</v>
      </c>
      <c r="S628" s="10" t="n">
        <v>0</v>
      </c>
    </row>
    <row r="629" ht="409.5" customHeight="1">
      <c r="A629" s="6">
        <f>IFERROR(__xludf.DUMMYFUNCTION("""COMPUTED_VALUE"""),"Is it Good to be Beautiful?")</f>
        <v/>
      </c>
      <c r="B629" s="6">
        <f>IFERROR(__xludf.DUMMYFUNCTION("""COMPUTED_VALUE"""),"Resource")</f>
        <v/>
      </c>
      <c r="C629" s="6">
        <f>IFERROR(__xludf.DUMMYFUNCTION("""COMPUTED_VALUE"""),"Text 3.graasp")</f>
        <v/>
      </c>
      <c r="D629" s="7">
        <f>IFERROR(__xludf.DUMMYFUNCTION("""COMPUTED_VALUE"""),"&lt;p&gt;&lt;strong&gt;Step 2: Research Question Formulation&lt;/strong&gt;&lt;/p&gt;&lt;p class=""MsoNormal""&gt;You have now been introduced to the different variables in the &lt;em&gt;Sexual Selection in Guppies&lt;/em&gt; virtual laboratory. Before performing experiments you need to form an o"&amp;"verview of your research topic and decide what you want to know. You do this by formulating research questions. A research question is a question you can answer by doing experiments.&lt;/p&gt;&lt;p class=""MsoNormal""&gt;&lt;em&gt;Use the Question Scratchpad app to formula"&amp;"te your questions. &lt;/em&gt;&lt;em&gt;Please think of research questions that can be answered by doing experiments in the Sexual Selection in Guppies virtual laboratory. &lt;/em&gt;&lt;em&gt;Press the help button (?) to learn how to use the Question Scratchpad app.&lt;/em&gt;&lt;/p&gt;")</f>
        <v/>
      </c>
      <c r="E629" s="7">
        <f>IFERROR(__xludf.DUMMYFUNCTION("""COMPUTED_VALUE"""),"No artifact embedded")</f>
        <v/>
      </c>
      <c r="F629" s="7" t="n"/>
      <c r="G629" s="8" t="n">
        <v>0</v>
      </c>
      <c r="H629" s="8" t="n">
        <v>0</v>
      </c>
      <c r="I629" s="8" t="n">
        <v>1</v>
      </c>
      <c r="J629" s="8" t="n">
        <v>0</v>
      </c>
      <c r="K629" s="9" t="n">
        <v>0</v>
      </c>
      <c r="L629" s="9" t="n">
        <v>1</v>
      </c>
      <c r="M629" s="9" t="n">
        <v>0</v>
      </c>
      <c r="N629" s="9" t="n">
        <v>0</v>
      </c>
      <c r="O629" s="10" t="n">
        <v>1</v>
      </c>
      <c r="P629" s="10" t="n">
        <v>1</v>
      </c>
      <c r="Q629" s="10" t="n">
        <v>0</v>
      </c>
      <c r="R629" s="10" t="n">
        <v>0</v>
      </c>
      <c r="S629" s="10" t="n">
        <v>0</v>
      </c>
    </row>
    <row r="630" ht="409.5" customHeight="1">
      <c r="A630" s="6">
        <f>IFERROR(__xludf.DUMMYFUNCTION("""COMPUTED_VALUE"""),"Is it Good to be Beautiful?")</f>
        <v/>
      </c>
      <c r="B630" s="6">
        <f>IFERROR(__xludf.DUMMYFUNCTION("""COMPUTED_VALUE"""),"Application")</f>
        <v/>
      </c>
      <c r="C630" s="6">
        <f>IFERROR(__xludf.DUMMYFUNCTION("""COMPUTED_VALUE"""),"Question Scratchpad")</f>
        <v/>
      </c>
      <c r="D630" s="7">
        <f>IFERROR(__xludf.DUMMYFUNCTION("""COMPUTED_VALUE"""),"No task description")</f>
        <v/>
      </c>
      <c r="E630"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630" s="7" t="n"/>
      <c r="G630" s="8" t="n">
        <v>0</v>
      </c>
      <c r="H630" s="8" t="n">
        <v>0</v>
      </c>
      <c r="I630" s="8" t="n">
        <v>1</v>
      </c>
      <c r="J630" s="8" t="n">
        <v>0</v>
      </c>
      <c r="K630" s="9" t="n">
        <v>0</v>
      </c>
      <c r="L630" s="9" t="n">
        <v>1</v>
      </c>
      <c r="M630" s="9" t="n">
        <v>0</v>
      </c>
      <c r="N630" s="9" t="n">
        <v>0</v>
      </c>
      <c r="O630" s="10" t="n">
        <v>0</v>
      </c>
      <c r="P630" s="10" t="n">
        <v>1</v>
      </c>
      <c r="Q630" s="10" t="n">
        <v>0</v>
      </c>
      <c r="R630" s="10" t="n">
        <v>0</v>
      </c>
      <c r="S630" s="10" t="n">
        <v>0</v>
      </c>
    </row>
    <row r="631" ht="409.5" customHeight="1">
      <c r="A631" s="6">
        <f>IFERROR(__xludf.DUMMYFUNCTION("""COMPUTED_VALUE"""),"Is it Good to be Beautiful?")</f>
        <v/>
      </c>
      <c r="B631" s="6">
        <f>IFERROR(__xludf.DUMMYFUNCTION("""COMPUTED_VALUE"""),"Resource")</f>
        <v/>
      </c>
      <c r="C631" s="6">
        <f>IFERROR(__xludf.DUMMYFUNCTION("""COMPUTED_VALUE"""),"Text 4.graasp")</f>
        <v/>
      </c>
      <c r="D631" s="7">
        <f>IFERROR(__xludf.DUMMYFUNCTION("""COMPUTED_VALUE"""),"&lt;p&gt;&lt;strong&gt;Step 3: Hypothesis Generation&lt;/strong&gt;&lt;/p&gt;&lt;p class=""MsoNormal""&gt;Your next step is to formulate &lt;strong&gt;three &lt;/strong&gt;&lt;strong&gt;hypotheses&lt;/strong&gt;. Hypotheses give predictions of the effects of certain variables. Scientists use all the knowledg"&amp;"e and information they have collected about their research topic to make an educated guess about the outcome of the experiments. Take a look at your research question(s). Can you make an educated guess about the answer of your question(s) based on the kno"&amp;"wledge you have collected in the previous phase? This educated guess will be your hypothesis. Sometimes you might be able to formulate more than one hypothesis per question.&lt;/p&gt;&lt;p class=""MsoNormal""&gt;When you have formulated your hypotheses, think about h"&amp;"ow confident are you that they are true? Use the confidence indicator on the right side of the hypothesis to indicate this level of confidence. If the indicator is purple you are 100% confident. If the circle is grey you are not at all confident.&lt;/p&gt;&lt;p&gt;&lt;e"&amp;"m&gt;Please use the Hypothesis Scratchpad app below to formulate your 3 hypotheses. &lt;/em&gt;&lt;/p&gt;")</f>
        <v/>
      </c>
      <c r="E631" s="7">
        <f>IFERROR(__xludf.DUMMYFUNCTION("""COMPUTED_VALUE"""),"No artifact embedded")</f>
        <v/>
      </c>
      <c r="F631" s="7" t="n"/>
      <c r="G631" s="8" t="n">
        <v>0</v>
      </c>
      <c r="H631" s="8" t="n">
        <v>0</v>
      </c>
      <c r="I631" s="8" t="n">
        <v>1</v>
      </c>
      <c r="J631" s="8" t="n">
        <v>0</v>
      </c>
      <c r="K631" s="9" t="n">
        <v>0</v>
      </c>
      <c r="L631" s="9" t="n">
        <v>1</v>
      </c>
      <c r="M631" s="9" t="n">
        <v>0</v>
      </c>
      <c r="N631" s="9" t="n">
        <v>0</v>
      </c>
      <c r="O631" s="10" t="n">
        <v>1</v>
      </c>
      <c r="P631" s="10" t="n">
        <v>1</v>
      </c>
      <c r="Q631" s="10" t="n">
        <v>0</v>
      </c>
      <c r="R631" s="10" t="n">
        <v>0</v>
      </c>
      <c r="S631" s="10" t="n">
        <v>0</v>
      </c>
    </row>
    <row r="632" ht="409.5" customHeight="1">
      <c r="A632" s="6">
        <f>IFERROR(__xludf.DUMMYFUNCTION("""COMPUTED_VALUE"""),"Is it Good to be Beautiful?")</f>
        <v/>
      </c>
      <c r="B632" s="6">
        <f>IFERROR(__xludf.DUMMYFUNCTION("""COMPUTED_VALUE"""),"Application")</f>
        <v/>
      </c>
      <c r="C632" s="6">
        <f>IFERROR(__xludf.DUMMYFUNCTION("""COMPUTED_VALUE"""),"Hypothesis Scratchpad")</f>
        <v/>
      </c>
      <c r="D632" s="7">
        <f>IFERROR(__xludf.DUMMYFUNCTION("""COMPUTED_VALUE"""),"No task description")</f>
        <v/>
      </c>
      <c r="E63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32" s="7" t="n"/>
      <c r="G632" s="8" t="n">
        <v>0</v>
      </c>
      <c r="H632" s="8" t="n">
        <v>0</v>
      </c>
      <c r="I632" s="8" t="n">
        <v>1</v>
      </c>
      <c r="J632" s="8" t="n">
        <v>0</v>
      </c>
      <c r="K632" s="9" t="n">
        <v>0</v>
      </c>
      <c r="L632" s="9" t="n">
        <v>1</v>
      </c>
      <c r="M632" s="9" t="n">
        <v>0</v>
      </c>
      <c r="N632" s="9" t="n">
        <v>0</v>
      </c>
      <c r="O632" s="10" t="n">
        <v>0</v>
      </c>
      <c r="P632" s="10" t="n">
        <v>1</v>
      </c>
      <c r="Q632" s="10" t="n">
        <v>0</v>
      </c>
      <c r="R632" s="10" t="n">
        <v>0</v>
      </c>
      <c r="S632" s="10" t="n">
        <v>0</v>
      </c>
    </row>
    <row r="633" ht="351" customHeight="1">
      <c r="A633" s="6">
        <f>IFERROR(__xludf.DUMMYFUNCTION("""COMPUTED_VALUE"""),"Is it Good to be Beautiful?")</f>
        <v/>
      </c>
      <c r="B633" s="6">
        <f>IFERROR(__xludf.DUMMYFUNCTION("""COMPUTED_VALUE"""),"Resource")</f>
        <v/>
      </c>
      <c r="C633" s="6">
        <f>IFERROR(__xludf.DUMMYFUNCTION("""COMPUTED_VALUE"""),"Text 5.graasp")</f>
        <v/>
      </c>
      <c r="D633" s="7">
        <f>IFERROR(__xludf.DUMMYFUNCTION("""COMPUTED_VALUE"""),"&lt;p&gt;&lt;strong&gt;Step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amp;"&gt;&lt;p&gt;&lt;strong&gt;&lt;br&gt;&lt;/strong&gt;&lt;/p&gt;&lt;p&gt;&lt;strong&gt;&lt;br&gt;&lt;/strong&gt;&lt;/p&gt;&lt;p&gt;&lt;strong&gt;&lt;br&gt;&lt;/strong&gt;&lt;/p&gt;&lt;p&gt;&lt;strong&gt;&lt;br&gt;&lt;/strong&gt;&lt;/p&gt;&lt;p&gt;&lt;strong&gt;&lt;br&gt;&lt;/strong&gt;&lt;/p&gt;&lt;p&gt;&lt;br&gt;&lt;/p&gt;")</f>
        <v/>
      </c>
      <c r="E633" s="7">
        <f>IFERROR(__xludf.DUMMYFUNCTION("""COMPUTED_VALUE"""),"No artifact embedded")</f>
        <v/>
      </c>
      <c r="F633" s="7" t="n"/>
      <c r="G633" s="8" t="n">
        <v>0</v>
      </c>
      <c r="H633" s="8" t="n">
        <v>0</v>
      </c>
      <c r="I633" s="8" t="n">
        <v>0</v>
      </c>
      <c r="J633" s="8" t="n">
        <v>0</v>
      </c>
      <c r="K633" s="9" t="n">
        <v>0</v>
      </c>
      <c r="L633" s="9" t="n">
        <v>0</v>
      </c>
      <c r="M633" s="9" t="n">
        <v>0</v>
      </c>
      <c r="N633" s="9" t="n">
        <v>0</v>
      </c>
      <c r="O633" s="10" t="n">
        <v>0</v>
      </c>
      <c r="P633" s="10" t="n">
        <v>0</v>
      </c>
      <c r="Q633" s="10" t="n">
        <v>0</v>
      </c>
      <c r="R633" s="10" t="n">
        <v>0</v>
      </c>
      <c r="S633" s="10" t="n">
        <v>0</v>
      </c>
    </row>
    <row r="634" ht="25" customHeight="1">
      <c r="A634" s="6">
        <f>IFERROR(__xludf.DUMMYFUNCTION("""COMPUTED_VALUE"""),"Is it Good to be Beautiful?")</f>
        <v/>
      </c>
      <c r="B634" s="6">
        <f>IFERROR(__xludf.DUMMYFUNCTION("""COMPUTED_VALUE"""),"Space")</f>
        <v/>
      </c>
      <c r="C634" s="6">
        <f>IFERROR(__xludf.DUMMYFUNCTION("""COMPUTED_VALUE"""),"Investigation")</f>
        <v/>
      </c>
      <c r="D634" s="7">
        <f>IFERROR(__xludf.DUMMYFUNCTION("""COMPUTED_VALUE"""),"No task description")</f>
        <v/>
      </c>
      <c r="E634" s="7">
        <f>IFERROR(__xludf.DUMMYFUNCTION("""COMPUTED_VALUE"""),"No artifact embedded")</f>
        <v/>
      </c>
      <c r="F634" s="7" t="n"/>
      <c r="G634" s="8" t="n">
        <v>0</v>
      </c>
      <c r="H634" s="8" t="n">
        <v>0</v>
      </c>
      <c r="I634" s="8" t="n">
        <v>0</v>
      </c>
      <c r="J634" s="8" t="n">
        <v>0</v>
      </c>
      <c r="K634" s="9" t="n">
        <v>0</v>
      </c>
      <c r="L634" s="9" t="n">
        <v>0</v>
      </c>
      <c r="M634" s="9" t="n">
        <v>0</v>
      </c>
      <c r="N634" s="9" t="n">
        <v>0</v>
      </c>
      <c r="O634" s="10" t="n">
        <v>0</v>
      </c>
      <c r="P634" s="10" t="n">
        <v>0</v>
      </c>
      <c r="Q634" s="10" t="n">
        <v>0</v>
      </c>
      <c r="R634" s="10" t="n">
        <v>0</v>
      </c>
      <c r="S634" s="10" t="n">
        <v>0</v>
      </c>
    </row>
    <row r="635" ht="409.5" customHeight="1">
      <c r="A635" s="6">
        <f>IFERROR(__xludf.DUMMYFUNCTION("""COMPUTED_VALUE"""),"Is it Good to be Beautiful?")</f>
        <v/>
      </c>
      <c r="B635" s="6">
        <f>IFERROR(__xludf.DUMMYFUNCTION("""COMPUTED_VALUE"""),"Resource")</f>
        <v/>
      </c>
      <c r="C635" s="6">
        <f>IFERROR(__xludf.DUMMYFUNCTION("""COMPUTED_VALUE"""),"Text 1.graasp")</f>
        <v/>
      </c>
      <c r="D635" s="7">
        <f>IFERROR(__xludf.DUMMYFUNCTION("""COMPUTED_VALUE"""),"&lt;p style=""margin-bottom: 10.5px; font-size: 20px; line-height: 30px;""&gt;&lt;strong&gt;Welcome to the Investigation phase. You have stated your research questions and hypotheses and are now ready to use the virtual laboratory &lt;em&gt;Sexual Selection in Guppies&lt;/em&gt;"&amp;". Your aim in the Investigation phase is to gather evidence to answer your research questions and accept or reject your hypotheses.&lt;/strong&gt;&lt;/p&gt;&lt;p&gt;&lt;strong&gt;&lt;br&gt;&lt;/strong&gt;&lt;/p&gt;&lt;p&gt;&lt;strong&gt;&lt;br&gt;&lt;/strong&gt;&lt;/p&gt;&lt;p&gt;&lt;strong&gt;Step 1: The virtual laboratory &lt;em&gt;Sexual Se"&amp;"lection in Guppies&lt;/em&gt;&lt;/strong&gt;&lt;/p&gt;&lt;p&gt;Experiment with the virtual laboratory to test your hypotheses. In order to change variable values use the sliders in the simulation. After setting your variables press the Play/Pause button to run the simulation. Pr"&amp;"ess the Reset button to restart an experiment.&lt;br&gt;&lt;/p&gt;&lt;p&gt;Please use the Observation tool located just below the virtual laboratory to record all your observations and measurements. Your observations are a summary of the experimental results and will be us"&amp;"ed to compare with your initial hypotheses in the Conclusion phase.&lt;/p&gt;")</f>
        <v/>
      </c>
      <c r="E635" s="7">
        <f>IFERROR(__xludf.DUMMYFUNCTION("""COMPUTED_VALUE"""),"No artifact embedded")</f>
        <v/>
      </c>
      <c r="F635" s="7" t="n"/>
      <c r="G635" s="8" t="n">
        <v>0</v>
      </c>
      <c r="H635" s="8" t="n">
        <v>0</v>
      </c>
      <c r="I635" s="8" t="n">
        <v>1</v>
      </c>
      <c r="J635" s="8" t="n">
        <v>0</v>
      </c>
      <c r="K635" s="9" t="n">
        <v>0</v>
      </c>
      <c r="L635" s="9" t="n">
        <v>1</v>
      </c>
      <c r="M635" s="9" t="n">
        <v>0</v>
      </c>
      <c r="N635" s="9" t="n">
        <v>0</v>
      </c>
      <c r="O635" s="10" t="n">
        <v>0</v>
      </c>
      <c r="P635" s="10" t="n">
        <v>0</v>
      </c>
      <c r="Q635" s="10" t="n">
        <v>1</v>
      </c>
      <c r="R635" s="10" t="n">
        <v>0</v>
      </c>
      <c r="S635" s="10" t="n">
        <v>0</v>
      </c>
    </row>
    <row r="636" ht="285" customHeight="1">
      <c r="A636" s="6">
        <f>IFERROR(__xludf.DUMMYFUNCTION("""COMPUTED_VALUE"""),"Is it Good to be Beautiful?")</f>
        <v/>
      </c>
      <c r="B636" s="6">
        <f>IFERROR(__xludf.DUMMYFUNCTION("""COMPUTED_VALUE"""),"Application")</f>
        <v/>
      </c>
      <c r="C636" s="6">
        <f>IFERROR(__xludf.DUMMYFUNCTION("""COMPUTED_VALUE"""),"Sexual Selection in Guppies (HTML5)")</f>
        <v/>
      </c>
      <c r="D636" s="7">
        <f>IFERROR(__xludf.DUMMYFUNCTION("""COMPUTED_VALUE"""),"No task description")</f>
        <v/>
      </c>
      <c r="E636" s="7">
        <f>IFERROR(__xludf.DUMMYFUNCTION("""COMPUTED_VALUE"""),"Golabz app/lab: ""&lt;p&gt;This model simulates Endler&amp;#39;s 1980 classic experiment on the balance of sexual selection and natural selection. In guppies, females prefer to mate with males that have lots of spots, but those males are more easily seen by predato"&amp;"rs. You can manipulate strength of female preference and the number of predators.&lt;/p&gt;""")</f>
        <v/>
      </c>
      <c r="F636" s="7" t="n"/>
      <c r="G636" s="8" t="n">
        <v>0</v>
      </c>
      <c r="H636" s="8" t="n">
        <v>1</v>
      </c>
      <c r="I636" s="8" t="n">
        <v>0</v>
      </c>
      <c r="J636" s="8" t="n">
        <v>0</v>
      </c>
      <c r="K636" s="9" t="n">
        <v>1</v>
      </c>
      <c r="L636" s="9" t="n">
        <v>0</v>
      </c>
      <c r="M636" s="9" t="n">
        <v>0</v>
      </c>
      <c r="N636" s="9" t="n">
        <v>0</v>
      </c>
      <c r="O636" s="10" t="n">
        <v>0</v>
      </c>
      <c r="P636" s="10" t="n">
        <v>0</v>
      </c>
      <c r="Q636" s="10" t="n">
        <v>1</v>
      </c>
      <c r="R636" s="10" t="n">
        <v>0</v>
      </c>
      <c r="S636" s="10" t="n">
        <v>0</v>
      </c>
    </row>
    <row r="637" ht="229" customHeight="1">
      <c r="A637" s="6">
        <f>IFERROR(__xludf.DUMMYFUNCTION("""COMPUTED_VALUE"""),"Is it Good to be Beautiful?")</f>
        <v/>
      </c>
      <c r="B637" s="6">
        <f>IFERROR(__xludf.DUMMYFUNCTION("""COMPUTED_VALUE"""),"Resource")</f>
        <v/>
      </c>
      <c r="C637" s="6">
        <f>IFERROR(__xludf.DUMMYFUNCTION("""COMPUTED_VALUE"""),"Text 2.graasp")</f>
        <v/>
      </c>
      <c r="D637" s="7">
        <f>IFERROR(__xludf.DUMMYFUNCTION("""COMPUTED_VALUE"""),"&lt;p&gt;&lt;strong&gt;Observation Tool&lt;/strong&gt;&lt;/p&gt;&lt;p class=""MsoNormal""&gt;You can add a new observations by clicking on the + button. Make sure you use a new line for each observation.&lt;/p&gt;&lt;p&gt;&lt;em&gt;Press the help button (?) to learn how to use the Observation Tool app."&amp;"&lt;/em&gt;&lt;/p&gt;")</f>
        <v/>
      </c>
      <c r="E637" s="7">
        <f>IFERROR(__xludf.DUMMYFUNCTION("""COMPUTED_VALUE"""),"No artifact embedded")</f>
        <v/>
      </c>
      <c r="F637" s="7" t="n"/>
      <c r="G637" s="8" t="n">
        <v>0</v>
      </c>
      <c r="H637" s="8" t="n">
        <v>0</v>
      </c>
      <c r="I637" s="8" t="n">
        <v>1</v>
      </c>
      <c r="J637" s="8" t="n">
        <v>0</v>
      </c>
      <c r="K637" s="9" t="n">
        <v>0</v>
      </c>
      <c r="L637" s="9" t="n">
        <v>1</v>
      </c>
      <c r="M637" s="9" t="n">
        <v>0</v>
      </c>
      <c r="N637" s="9" t="n">
        <v>0</v>
      </c>
      <c r="O637" s="10" t="n">
        <v>1</v>
      </c>
      <c r="P637" s="10" t="n">
        <v>0</v>
      </c>
      <c r="Q637" s="10" t="n">
        <v>1</v>
      </c>
      <c r="R637" s="10" t="n">
        <v>0</v>
      </c>
      <c r="S637" s="10" t="n">
        <v>0</v>
      </c>
    </row>
    <row r="638" ht="395" customHeight="1">
      <c r="A638" s="6">
        <f>IFERROR(__xludf.DUMMYFUNCTION("""COMPUTED_VALUE"""),"Is it Good to be Beautiful?")</f>
        <v/>
      </c>
      <c r="B638" s="6">
        <f>IFERROR(__xludf.DUMMYFUNCTION("""COMPUTED_VALUE"""),"Application")</f>
        <v/>
      </c>
      <c r="C638" s="6">
        <f>IFERROR(__xludf.DUMMYFUNCTION("""COMPUTED_VALUE"""),"Observation Tool")</f>
        <v/>
      </c>
      <c r="D638" s="7">
        <f>IFERROR(__xludf.DUMMYFUNCTION("""COMPUTED_VALUE"""),"No task description")</f>
        <v/>
      </c>
      <c r="E63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38" s="7" t="n"/>
      <c r="G638" s="8" t="n">
        <v>0</v>
      </c>
      <c r="H638" s="8" t="n">
        <v>0</v>
      </c>
      <c r="I638" s="8" t="n">
        <v>1</v>
      </c>
      <c r="J638" s="8" t="n">
        <v>0</v>
      </c>
      <c r="K638" s="9" t="n">
        <v>0</v>
      </c>
      <c r="L638" s="9" t="n">
        <v>1</v>
      </c>
      <c r="M638" s="9" t="n">
        <v>0</v>
      </c>
      <c r="N638" s="9" t="n">
        <v>0</v>
      </c>
      <c r="O638" s="10" t="n">
        <v>0</v>
      </c>
      <c r="P638" s="10" t="n">
        <v>0</v>
      </c>
      <c r="Q638" s="10" t="n">
        <v>1</v>
      </c>
      <c r="R638" s="10" t="n">
        <v>0</v>
      </c>
      <c r="S638" s="10" t="n">
        <v>0</v>
      </c>
    </row>
    <row r="639" ht="409.5" customHeight="1">
      <c r="A639" s="6">
        <f>IFERROR(__xludf.DUMMYFUNCTION("""COMPUTED_VALUE"""),"Is it Good to be Beautiful?")</f>
        <v/>
      </c>
      <c r="B639" s="6">
        <f>IFERROR(__xludf.DUMMYFUNCTION("""COMPUTED_VALUE"""),"Resource")</f>
        <v/>
      </c>
      <c r="C639" s="6">
        <f>IFERROR(__xludf.DUMMYFUNCTION("""COMPUTED_VALUE"""),"Text 3.graasp")</f>
        <v/>
      </c>
      <c r="D639" s="7">
        <f>IFERROR(__xludf.DUMMYFUNCTION("""COMPUTED_VALUE"""),"&lt;p&gt;&lt;strong&gt;Step 2:&lt;/strong&gt;&lt;/p&gt;&lt;p&gt;&lt;strong&gt;Did you collect enough experimental data and record the observations using the observation tool to accept or reject your hypotheses? If so then please move on to the Conclusion phase.&lt;/strong&gt;&lt;/p&gt;&lt;p&gt;&lt;strong&gt;&lt;br&gt;&lt;/"&amp;"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amp;"ong&gt;&lt;/p&gt;&lt;p&gt;&lt;strong&gt;&lt;br&gt;&lt;/strong&gt;&lt;/p&gt;&lt;p&gt;&lt;strong&gt;&lt;br&gt;&lt;/strong&gt;&lt;/p&gt;")</f>
        <v/>
      </c>
      <c r="E639" s="7">
        <f>IFERROR(__xludf.DUMMYFUNCTION("""COMPUTED_VALUE"""),"No artifact embedded")</f>
        <v/>
      </c>
      <c r="F639" s="7" t="n"/>
      <c r="G639" s="8" t="n">
        <v>0</v>
      </c>
      <c r="H639" s="8" t="n">
        <v>0</v>
      </c>
      <c r="I639" s="8" t="n">
        <v>1</v>
      </c>
      <c r="J639" s="8" t="n">
        <v>0</v>
      </c>
      <c r="K639" s="9" t="n">
        <v>0</v>
      </c>
      <c r="L639" s="9" t="n">
        <v>1</v>
      </c>
      <c r="M639" s="9" t="n">
        <v>0</v>
      </c>
      <c r="N639" s="9" t="n">
        <v>0</v>
      </c>
      <c r="O639" s="10" t="n">
        <v>0</v>
      </c>
      <c r="P639" s="10" t="n">
        <v>0</v>
      </c>
      <c r="Q639" s="10" t="n">
        <v>1</v>
      </c>
      <c r="R639" s="10" t="n">
        <v>0</v>
      </c>
      <c r="S639" s="10" t="n">
        <v>0</v>
      </c>
    </row>
    <row r="640" ht="25" customHeight="1">
      <c r="A640" s="6">
        <f>IFERROR(__xludf.DUMMYFUNCTION("""COMPUTED_VALUE"""),"Is it Good to be Beautiful?")</f>
        <v/>
      </c>
      <c r="B640" s="6">
        <f>IFERROR(__xludf.DUMMYFUNCTION("""COMPUTED_VALUE"""),"Space")</f>
        <v/>
      </c>
      <c r="C640" s="6">
        <f>IFERROR(__xludf.DUMMYFUNCTION("""COMPUTED_VALUE"""),"Conclusion")</f>
        <v/>
      </c>
      <c r="D640" s="7">
        <f>IFERROR(__xludf.DUMMYFUNCTION("""COMPUTED_VALUE"""),"No task description")</f>
        <v/>
      </c>
      <c r="E640" s="7">
        <f>IFERROR(__xludf.DUMMYFUNCTION("""COMPUTED_VALUE"""),"No artifact embedded")</f>
        <v/>
      </c>
      <c r="F640" s="7" t="n"/>
      <c r="G640" s="8" t="n">
        <v>0</v>
      </c>
      <c r="H640" s="8" t="n">
        <v>0</v>
      </c>
      <c r="I640" s="8" t="n">
        <v>0</v>
      </c>
      <c r="J640" s="8" t="n">
        <v>0</v>
      </c>
      <c r="K640" s="9" t="n">
        <v>0</v>
      </c>
      <c r="L640" s="9" t="n">
        <v>0</v>
      </c>
      <c r="M640" s="9" t="n">
        <v>0</v>
      </c>
      <c r="N640" s="9" t="n">
        <v>0</v>
      </c>
      <c r="O640" s="10" t="n">
        <v>0</v>
      </c>
      <c r="P640" s="10" t="n">
        <v>0</v>
      </c>
      <c r="Q640" s="10" t="n">
        <v>0</v>
      </c>
      <c r="R640" s="10" t="n">
        <v>0</v>
      </c>
      <c r="S640" s="10" t="n">
        <v>0</v>
      </c>
    </row>
    <row r="641" ht="409.5" customHeight="1">
      <c r="A641" s="6">
        <f>IFERROR(__xludf.DUMMYFUNCTION("""COMPUTED_VALUE"""),"Is it Good to be Beautiful?")</f>
        <v/>
      </c>
      <c r="B641" s="6">
        <f>IFERROR(__xludf.DUMMYFUNCTION("""COMPUTED_VALUE"""),"Resource")</f>
        <v/>
      </c>
      <c r="C641" s="6">
        <f>IFERROR(__xludf.DUMMYFUNCTION("""COMPUTED_VALUE"""),"Text 1.graasp")</f>
        <v/>
      </c>
      <c r="D641" s="7">
        <f>IFERROR(__xludf.DUMMYFUNCTION("""COMPUTED_VALUE"""),"&lt;p&gt;&lt;strong&gt;Welcome to the Conclusion phase. You have made investigations using the virtual laboratory and increased your knowledge about evolution and the processes of natural and sexual selection. Based on the evidence you collected you are ready to stat"&amp;"e your final conclusions.&lt;/strong&gt;&lt;/p&gt;&lt;p class=""MsoNormal""&gt;&lt;br&gt;&lt;/p&gt;&lt;p class=""MsoNormal""&gt;&lt;strong&gt;Step 1:&lt;/strong&gt;&lt;br&gt;&lt;/p&gt;&lt;p class=""MsoNormal""&gt;You have collected all data needed to draw your conclusions. Now you have to see whether these data can help"&amp;" accept or reject your hypotheses. You can find your hypotheses at the top of the Conclusion tool below. Let's start with your first hypothesis. &lt;strong&gt;Click on it&lt;/strong&gt; to select it. Now think about the observations that you have added in the Observa"&amp;"tion tool. Can any of these observations help you accept or reject your hypothesis? &lt;strong&gt;Add all relevant observations by clicking on the + button&lt;/strong&gt; and selecting the ones that you think are useful.&lt;/p&gt;&lt;p class=""MsoNormal""&gt;&lt;br&gt;&lt;/p&gt;&lt;p class=""M"&amp;"soNormal""&gt;&lt;strong&gt;Step 2:&lt;/strong&gt;&lt;/p&gt;&lt;p class=""MsoNormal""&gt;Now you need to &lt;strong&gt;compare your observations with your hypothesis&lt;/strong&gt;. In scientific research the more evidence and observations you collect that support your hypothesis, the more con"&amp;"fident you become. Did you find any evidence that your hypothesis is valid? Or did you find evidence that your hypothesis is not? Do you have more confidence in your hypothesis based on your data and observations? How much confidence do you have now conce"&amp;"rning your hypothesis? &lt;strong&gt;Let the confidence circle reflect your current confidence. You might want to keep it the same or change it.&lt;/strong&gt;&lt;/p&gt;&lt;p class=""MsoNormal""&gt;&lt;br&gt;&lt;/p&gt;&lt;p class=""MsoNormal""&gt;&lt;strong&gt;Step 3:&lt;/strong&gt;&lt;/p&gt;&lt;p class=""MsoNormal"""&amp;"&gt;In the box below the confidence circle, you can &lt;strong&gt;write down your conclusion(s).&lt;/strong&gt; Think about the experiments that you did in the virtual lab. Why did your confidence in yourhypothesis change or why did it remain the same? &lt;strong&gt;Write you"&amp;"r arguments down in the box as well.&lt;/strong&gt;&lt;/p&gt;&lt;p class=""MsoNormal""&gt;If you are not certain yet, whether you can accept or reject your hypothesis, you might need to perform more experiments. You can always go back to the Investigation phase to perform "&amp;"additional experiments if you believe you need more evidence.&lt;/p&gt;&lt;p class=""MsoNormal""&gt;&lt;br&gt;&lt;/p&gt;&lt;p class=""MsoNormal""&gt;&lt;strong&gt;Step 4:&lt;/strong&gt;&lt;/p&gt;&lt;p&gt;When you have finished your conclusion about your first hypothesis, you can continue with your second hyp"&amp;"othesis. &lt;strong&gt;Select your second hypothesis and repeat steps 1 to 3.&lt;/strong&gt;&lt;br&gt;&lt;/p&gt;&lt;p&gt;&lt;br&gt;&lt;/p&gt;&lt;p&gt;&lt;br&gt;&lt;/p&gt;")</f>
        <v/>
      </c>
      <c r="E641" s="7">
        <f>IFERROR(__xludf.DUMMYFUNCTION("""COMPUTED_VALUE"""),"No artifact embedded")</f>
        <v/>
      </c>
      <c r="F641" s="7" t="n"/>
      <c r="G641" s="8" t="n">
        <v>0</v>
      </c>
      <c r="H641" s="8" t="n">
        <v>0</v>
      </c>
      <c r="I641" s="8" t="n">
        <v>1</v>
      </c>
      <c r="J641" s="8" t="n">
        <v>0</v>
      </c>
      <c r="K641" s="9" t="n">
        <v>0</v>
      </c>
      <c r="L641" s="9" t="n">
        <v>1</v>
      </c>
      <c r="M641" s="9" t="n">
        <v>0</v>
      </c>
      <c r="N641" s="9" t="n">
        <v>0</v>
      </c>
      <c r="O641" s="10" t="n">
        <v>1</v>
      </c>
      <c r="P641" s="10" t="n">
        <v>0</v>
      </c>
      <c r="Q641" s="10" t="n">
        <v>0</v>
      </c>
      <c r="R641" s="10" t="n">
        <v>1</v>
      </c>
      <c r="S641" s="10" t="n">
        <v>0</v>
      </c>
    </row>
    <row r="642" ht="409.5" customHeight="1">
      <c r="A642" s="6">
        <f>IFERROR(__xludf.DUMMYFUNCTION("""COMPUTED_VALUE"""),"Is it Good to be Beautiful?")</f>
        <v/>
      </c>
      <c r="B642" s="6">
        <f>IFERROR(__xludf.DUMMYFUNCTION("""COMPUTED_VALUE"""),"Application")</f>
        <v/>
      </c>
      <c r="C642" s="6">
        <f>IFERROR(__xludf.DUMMYFUNCTION("""COMPUTED_VALUE"""),"Conclusion Tool")</f>
        <v/>
      </c>
      <c r="D642" s="7">
        <f>IFERROR(__xludf.DUMMYFUNCTION("""COMPUTED_VALUE"""),"No task description")</f>
        <v/>
      </c>
      <c r="E64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42" s="7" t="n"/>
      <c r="G642" s="8" t="n">
        <v>0</v>
      </c>
      <c r="H642" s="8" t="n">
        <v>0</v>
      </c>
      <c r="I642" s="8" t="n">
        <v>1</v>
      </c>
      <c r="J642" s="8" t="n">
        <v>0</v>
      </c>
      <c r="K642" s="9" t="n">
        <v>0</v>
      </c>
      <c r="L642" s="9" t="n">
        <v>1</v>
      </c>
      <c r="M642" s="9" t="n">
        <v>0</v>
      </c>
      <c r="N642" s="9" t="n">
        <v>0</v>
      </c>
      <c r="O642" s="10" t="n">
        <v>0</v>
      </c>
      <c r="P642" s="10" t="n">
        <v>0</v>
      </c>
      <c r="Q642" s="10" t="n">
        <v>0</v>
      </c>
      <c r="R642" s="10" t="n">
        <v>1</v>
      </c>
      <c r="S642" s="10" t="n">
        <v>0</v>
      </c>
    </row>
    <row r="643" ht="409.5" customHeight="1">
      <c r="A643" s="6">
        <f>IFERROR(__xludf.DUMMYFUNCTION("""COMPUTED_VALUE"""),"Is it Good to be Beautiful?")</f>
        <v/>
      </c>
      <c r="B643" s="6">
        <f>IFERROR(__xludf.DUMMYFUNCTION("""COMPUTED_VALUE"""),"Resource")</f>
        <v/>
      </c>
      <c r="C643" s="6">
        <f>IFERROR(__xludf.DUMMYFUNCTION("""COMPUTED_VALUE"""),"Text 2.graasp")</f>
        <v/>
      </c>
      <c r="D643" s="7">
        <f>IFERROR(__xludf.DUMMYFUNCTION("""COMPUTED_VALUE"""),"&lt;p class=""MsoNormal""&gt;&lt;strong&gt;Step 5:&lt;/strong&gt;&lt;/p&gt;&lt;p class=""MsoNormal""&gt;All done? Very well! Now you can continue to the last phase - the Discussion phase.&lt;strong&gt; Click on the tab Discussion on the top of your screen.&lt;/strong&gt;&lt;/p&gt;&lt;p class=""MsoNormal"""&amp;"&gt;&lt;strong&gt;&lt;br&gt;&lt;/strong&gt;&lt;/p&gt;&lt;p class=""MsoNormal""&gt;&lt;strong&gt;&lt;br&gt;&lt;/strong&gt;&lt;/p&gt;&lt;p class=""MsoNormal""&gt;&lt;strong&gt;&lt;br&gt;&lt;/strong&gt;&lt;/p&gt;&lt;p class=""MsoNormal""&gt;&lt;strong&gt;&lt;br&gt;&lt;/strong&gt;&lt;/p&gt;&lt;p class=""MsoNormal""&gt;&lt;strong&gt;&lt;br&gt;&lt;/strong&gt;&lt;/p&gt;&lt;p class=""MsoNormal""&gt;&lt;strong&gt;&lt;br&gt;&lt;/"&amp;"strong&gt;&lt;/p&gt;&lt;p class=""MsoNormal""&gt;&lt;strong&gt;&lt;br&gt;&lt;/strong&gt;&lt;/p&gt;&lt;p class=""MsoNormal""&gt;&lt;strong&gt;&lt;br&gt;&lt;/strong&gt;&lt;/p&gt;&lt;p class=""MsoNormal""&gt;&lt;strong&gt;&lt;br&gt;&lt;/strong&gt;&lt;/p&gt;")</f>
        <v/>
      </c>
      <c r="E643" s="7">
        <f>IFERROR(__xludf.DUMMYFUNCTION("""COMPUTED_VALUE"""),"No artifact embedded")</f>
        <v/>
      </c>
      <c r="F643" s="7" t="n"/>
      <c r="G643" s="8" t="n">
        <v>0</v>
      </c>
      <c r="H643" s="8" t="n">
        <v>0</v>
      </c>
      <c r="I643" s="8" t="n">
        <v>0</v>
      </c>
      <c r="J643" s="8" t="n">
        <v>0</v>
      </c>
      <c r="K643" s="9" t="n">
        <v>0</v>
      </c>
      <c r="L643" s="9" t="n">
        <v>0</v>
      </c>
      <c r="M643" s="9" t="n">
        <v>0</v>
      </c>
      <c r="N643" s="9" t="n">
        <v>0</v>
      </c>
      <c r="O643" s="10" t="n">
        <v>0</v>
      </c>
      <c r="P643" s="10" t="n">
        <v>0</v>
      </c>
      <c r="Q643" s="10" t="n">
        <v>0</v>
      </c>
      <c r="R643" s="10" t="n">
        <v>0</v>
      </c>
      <c r="S643" s="10" t="n">
        <v>0</v>
      </c>
    </row>
    <row r="644" ht="25" customHeight="1">
      <c r="A644" s="6">
        <f>IFERROR(__xludf.DUMMYFUNCTION("""COMPUTED_VALUE"""),"Is it Good to be Beautiful?")</f>
        <v/>
      </c>
      <c r="B644" s="6">
        <f>IFERROR(__xludf.DUMMYFUNCTION("""COMPUTED_VALUE"""),"Space")</f>
        <v/>
      </c>
      <c r="C644" s="6">
        <f>IFERROR(__xludf.DUMMYFUNCTION("""COMPUTED_VALUE"""),"Discussion")</f>
        <v/>
      </c>
      <c r="D644" s="7">
        <f>IFERROR(__xludf.DUMMYFUNCTION("""COMPUTED_VALUE"""),"No task description")</f>
        <v/>
      </c>
      <c r="E644" s="7">
        <f>IFERROR(__xludf.DUMMYFUNCTION("""COMPUTED_VALUE"""),"No artifact embedded")</f>
        <v/>
      </c>
      <c r="F644" s="7" t="n"/>
      <c r="G644" s="8" t="n">
        <v>0</v>
      </c>
      <c r="H644" s="8" t="n">
        <v>0</v>
      </c>
      <c r="I644" s="8" t="n">
        <v>0</v>
      </c>
      <c r="J644" s="8" t="n">
        <v>0</v>
      </c>
      <c r="K644" s="9" t="n">
        <v>0</v>
      </c>
      <c r="L644" s="9" t="n">
        <v>0</v>
      </c>
      <c r="M644" s="9" t="n">
        <v>0</v>
      </c>
      <c r="N644" s="9" t="n">
        <v>0</v>
      </c>
      <c r="O644" s="10" t="n">
        <v>0</v>
      </c>
      <c r="P644" s="10" t="n">
        <v>0</v>
      </c>
      <c r="Q644" s="10" t="n">
        <v>0</v>
      </c>
      <c r="R644" s="10" t="n">
        <v>0</v>
      </c>
      <c r="S644" s="10" t="n">
        <v>0</v>
      </c>
    </row>
    <row r="645" ht="395" customHeight="1">
      <c r="A645" s="6">
        <f>IFERROR(__xludf.DUMMYFUNCTION("""COMPUTED_VALUE"""),"Is it Good to be Beautiful?")</f>
        <v/>
      </c>
      <c r="B645" s="6">
        <f>IFERROR(__xludf.DUMMYFUNCTION("""COMPUTED_VALUE"""),"Resource")</f>
        <v/>
      </c>
      <c r="C645" s="6">
        <f>IFERROR(__xludf.DUMMYFUNCTION("""COMPUTED_VALUE"""),"Text 1.graasp")</f>
        <v/>
      </c>
      <c r="D645" s="7">
        <f>IFERROR(__xludf.DUMMYFUNCTION("""COMPUTED_VALUE"""),"&lt;p&gt;&lt;strong&gt;You are now in the Discussion phase. Here you will look back on your work and reflect on your learning. Reflection is very important strategy to improve your learning and derive meaningful insight from your experiences. &lt;/strong&gt;&lt;/p&gt;&lt;p&gt;&lt;br&gt;&lt;/p&gt;"&amp;"&lt;p class=""MsoNormal""&gt;&lt;strong&gt;Step 1: Reflection&lt;/strong&gt; &lt;/p&gt;&lt;p&gt;To reflect on your activities please click on the circular black arrows icon to refresh the reflection tool. Then answer the questions that follow.&lt;/p&gt;")</f>
        <v/>
      </c>
      <c r="E645" s="7">
        <f>IFERROR(__xludf.DUMMYFUNCTION("""COMPUTED_VALUE"""),"No artifact embedded")</f>
        <v/>
      </c>
      <c r="F645" s="7" t="n"/>
      <c r="G645" s="8" t="n">
        <v>0</v>
      </c>
      <c r="H645" s="8" t="n">
        <v>0</v>
      </c>
      <c r="I645" s="8" t="n">
        <v>1</v>
      </c>
      <c r="J645" s="8" t="n">
        <v>0</v>
      </c>
      <c r="K645" s="9" t="n">
        <v>0</v>
      </c>
      <c r="L645" s="9" t="n">
        <v>1</v>
      </c>
      <c r="M645" s="9" t="n">
        <v>0</v>
      </c>
      <c r="N645" s="9" t="n">
        <v>0</v>
      </c>
      <c r="O645" s="10" t="n">
        <v>0</v>
      </c>
      <c r="P645" s="10" t="n">
        <v>0</v>
      </c>
      <c r="Q645" s="10" t="n">
        <v>0</v>
      </c>
      <c r="R645" s="10" t="n">
        <v>0</v>
      </c>
      <c r="S645" s="10" t="n">
        <v>1</v>
      </c>
    </row>
    <row r="646" ht="229" customHeight="1">
      <c r="A646" s="6">
        <f>IFERROR(__xludf.DUMMYFUNCTION("""COMPUTED_VALUE"""),"Is it Good to be Beautiful?")</f>
        <v/>
      </c>
      <c r="B646" s="6">
        <f>IFERROR(__xludf.DUMMYFUNCTION("""COMPUTED_VALUE"""),"Application")</f>
        <v/>
      </c>
      <c r="C646" s="6">
        <f>IFERROR(__xludf.DUMMYFUNCTION("""COMPUTED_VALUE"""),"Reflection Tool")</f>
        <v/>
      </c>
      <c r="D646" s="7">
        <f>IFERROR(__xludf.DUMMYFUNCTION("""COMPUTED_VALUE"""),"No task description")</f>
        <v/>
      </c>
      <c r="E646"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646" s="7" t="n"/>
      <c r="G646" s="8" t="n">
        <v>1</v>
      </c>
      <c r="H646" s="8" t="n">
        <v>0</v>
      </c>
      <c r="I646" s="8" t="n">
        <v>0</v>
      </c>
      <c r="J646" s="8" t="n">
        <v>0</v>
      </c>
      <c r="K646" s="9" t="n">
        <v>1</v>
      </c>
      <c r="L646" s="9" t="n">
        <v>0</v>
      </c>
      <c r="M646" s="9" t="n">
        <v>0</v>
      </c>
      <c r="N646" s="9" t="n">
        <v>0</v>
      </c>
      <c r="O646" s="10" t="n">
        <v>0</v>
      </c>
      <c r="P646" s="10" t="n">
        <v>0</v>
      </c>
      <c r="Q646" s="10" t="n">
        <v>0</v>
      </c>
      <c r="R646" s="10" t="n">
        <v>0</v>
      </c>
      <c r="S646" s="10" t="n">
        <v>1</v>
      </c>
    </row>
    <row r="647" ht="263" customHeight="1">
      <c r="A647" s="6">
        <f>IFERROR(__xludf.DUMMYFUNCTION("""COMPUTED_VALUE"""),"Is it Good to be Beautiful?")</f>
        <v/>
      </c>
      <c r="B647" s="6">
        <f>IFERROR(__xludf.DUMMYFUNCTION("""COMPUTED_VALUE"""),"Resource")</f>
        <v/>
      </c>
      <c r="C647" s="6">
        <f>IFERROR(__xludf.DUMMYFUNCTION("""COMPUTED_VALUE"""),"Text 2.graasp")</f>
        <v/>
      </c>
      <c r="D647" s="7">
        <f>IFERROR(__xludf.DUMMYFUNCTION("""COMPUTED_VALUE"""),"&lt;p&gt;&lt;strong&gt;Step 2:&lt;/strong&gt;&lt;/p&gt;&lt;p&gt;You have finished with this inquiry activity and are better informed to answer the question ""Is it good to be beautiful?"" in the case of guppy fish. But regarding people is it always good to be beautiful? Think back on "&amp;"your concept map and answer in the text box below.&lt;/p&gt;")</f>
        <v/>
      </c>
      <c r="E647" s="7">
        <f>IFERROR(__xludf.DUMMYFUNCTION("""COMPUTED_VALUE"""),"No artifact embedded")</f>
        <v/>
      </c>
      <c r="F647" s="7" t="n"/>
      <c r="G647" s="8" t="n">
        <v>0</v>
      </c>
      <c r="H647" s="8" t="n">
        <v>0</v>
      </c>
      <c r="I647" s="8" t="n">
        <v>1</v>
      </c>
      <c r="J647" s="8" t="n">
        <v>0</v>
      </c>
      <c r="K647" s="9" t="n">
        <v>0</v>
      </c>
      <c r="L647" s="9" t="n">
        <v>1</v>
      </c>
      <c r="M647" s="9" t="n">
        <v>0</v>
      </c>
      <c r="N647" s="9" t="n">
        <v>0</v>
      </c>
      <c r="O647" s="10" t="n">
        <v>0</v>
      </c>
      <c r="P647" s="10" t="n">
        <v>0</v>
      </c>
      <c r="Q647" s="10" t="n">
        <v>0</v>
      </c>
      <c r="R647" s="10" t="n">
        <v>0</v>
      </c>
      <c r="S647" s="10" t="n">
        <v>1</v>
      </c>
    </row>
    <row r="648" ht="329" customHeight="1">
      <c r="A648" s="6">
        <f>IFERROR(__xludf.DUMMYFUNCTION("""COMPUTED_VALUE"""),"Is it Good to be Beautiful?")</f>
        <v/>
      </c>
      <c r="B648" s="6">
        <f>IFERROR(__xludf.DUMMYFUNCTION("""COMPUTED_VALUE"""),"Application")</f>
        <v/>
      </c>
      <c r="C648" s="6">
        <f>IFERROR(__xludf.DUMMYFUNCTION("""COMPUTED_VALUE"""),"Input Box")</f>
        <v/>
      </c>
      <c r="D648" s="7">
        <f>IFERROR(__xludf.DUMMYFUNCTION("""COMPUTED_VALUE"""),"No task description")</f>
        <v/>
      </c>
      <c r="E6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48" s="7" t="n"/>
      <c r="G648" s="8" t="n">
        <v>0</v>
      </c>
      <c r="H648" s="8" t="n">
        <v>0</v>
      </c>
      <c r="I648" s="8" t="n">
        <v>1</v>
      </c>
      <c r="J648" s="8" t="n">
        <v>0</v>
      </c>
      <c r="K648" s="9" t="n">
        <v>0</v>
      </c>
      <c r="L648" s="9" t="n">
        <v>1</v>
      </c>
      <c r="M648" s="9" t="n">
        <v>0</v>
      </c>
      <c r="N648" s="9" t="n">
        <v>0</v>
      </c>
      <c r="O648" s="10" t="n">
        <v>0</v>
      </c>
      <c r="P648" s="10" t="n">
        <v>0</v>
      </c>
      <c r="Q648" s="10" t="n">
        <v>0</v>
      </c>
      <c r="R648" s="10" t="n">
        <v>0</v>
      </c>
      <c r="S648" s="10" t="n">
        <v>0</v>
      </c>
    </row>
    <row r="649" ht="409.5" customHeight="1">
      <c r="A649" s="6">
        <f>IFERROR(__xludf.DUMMYFUNCTION("""COMPUTED_VALUE"""),"Is it Good to be Beautiful?")</f>
        <v/>
      </c>
      <c r="B649" s="6">
        <f>IFERROR(__xludf.DUMMYFUNCTION("""COMPUTED_VALUE"""),"Resource")</f>
        <v/>
      </c>
      <c r="C649" s="6">
        <f>IFERROR(__xludf.DUMMYFUNCTION("""COMPUTED_VALUE"""),"Text 3.graasp")</f>
        <v/>
      </c>
      <c r="D649" s="7">
        <f>IFERROR(__xludf.DUMMYFUNCTION("""COMPUTED_VALUE"""),"&lt;p&gt;&lt;strong&gt;Congratulations! &lt;/strong&gt;&lt;/p&gt;&lt;p&gt;You have now completed your inquiry learning experience. &lt;/p&gt;&lt;p&gt;&lt;br&gt;&lt;/p&gt;&lt;p&gt;&lt;strong&gt;Additional information:&lt;/strong&gt;&lt;br&gt;&lt;/p&gt;&lt;p class=""MsoNormal""&gt;The original research article by John Endler on natural selection"&amp;" in guppies is entitled &lt;a href=""http://www.mhhe.com/biosci/genbio/raven6/lab6/labs/lab6/resources/original.pdf"" target=""_blank""&gt;""Natural selection on color patterns in Poecillia reticulata""&lt;/a&gt; and was published in 1980 in the journal Evolution.&lt;/p"&amp;"&gt;&lt;p class=""MsoNormal""&gt;&lt;br&gt;&lt;/p&gt;&lt;p class=""MsoNormal""&gt;&lt;br&gt;&lt;/p&gt;&lt;p class=""MsoNormal""&gt;&lt;br&gt;&lt;/p&gt;&lt;p class=""MsoNormal""&gt;&lt;br&gt;&lt;/p&gt;&lt;p class=""MsoNormal""&gt;&lt;br&gt;&lt;/p&gt;&lt;p class=""MsoNormal""&gt;&lt;br&gt;&lt;/p&gt;&lt;p class=""MsoNormal""&gt;&lt;br&gt;&lt;/p&gt;&lt;p class=""MsoNormal""&gt;&lt;br&gt;&lt;/p&gt;&lt;p cla"&amp;"ss=""MsoNormal""&gt;&lt;br&gt;&lt;/p&gt;&lt;p class=""MsoNormal""&gt;&lt;br&gt;&lt;/p&gt;")</f>
        <v/>
      </c>
      <c r="E649" s="7">
        <f>IFERROR(__xludf.DUMMYFUNCTION("""COMPUTED_VALUE"""),"No artifact embedded")</f>
        <v/>
      </c>
      <c r="F649" s="7" t="n"/>
      <c r="G649" s="8" t="n">
        <v>1</v>
      </c>
      <c r="H649" s="8" t="n">
        <v>0</v>
      </c>
      <c r="I649" s="8" t="n">
        <v>0</v>
      </c>
      <c r="J649" s="8" t="n">
        <v>0</v>
      </c>
      <c r="K649" s="9" t="n">
        <v>1</v>
      </c>
      <c r="L649" s="9" t="n">
        <v>0</v>
      </c>
      <c r="M649" s="9" t="n">
        <v>0</v>
      </c>
      <c r="N649" s="9" t="n">
        <v>0</v>
      </c>
      <c r="O649" s="10" t="n">
        <v>1</v>
      </c>
      <c r="P649" s="10" t="n">
        <v>0</v>
      </c>
      <c r="Q649" s="10" t="n">
        <v>0</v>
      </c>
      <c r="R649" s="10" t="n">
        <v>0</v>
      </c>
      <c r="S649" s="10" t="n">
        <v>0</v>
      </c>
    </row>
    <row r="650" ht="25" customHeight="1">
      <c r="A650" s="6">
        <f>IFERROR(__xludf.DUMMYFUNCTION("""COMPUTED_VALUE"""),"THREE DIMENSIONAL GEOMETRY")</f>
        <v/>
      </c>
      <c r="B650" s="6">
        <f>IFERROR(__xludf.DUMMYFUNCTION("""COMPUTED_VALUE"""),"Space")</f>
        <v/>
      </c>
      <c r="C650" s="6">
        <f>IFERROR(__xludf.DUMMYFUNCTION("""COMPUTED_VALUE"""),"Engage")</f>
        <v/>
      </c>
      <c r="D650" s="7">
        <f>IFERROR(__xludf.DUMMYFUNCTION("""COMPUTED_VALUE"""),"No task description")</f>
        <v/>
      </c>
      <c r="E650" s="7">
        <f>IFERROR(__xludf.DUMMYFUNCTION("""COMPUTED_VALUE"""),"No artifact embedded")</f>
        <v/>
      </c>
      <c r="F650" s="7" t="n"/>
      <c r="G650" s="8" t="n">
        <v>0</v>
      </c>
      <c r="H650" s="8" t="n">
        <v>0</v>
      </c>
      <c r="I650" s="8" t="n">
        <v>0</v>
      </c>
      <c r="J650" s="8" t="n">
        <v>0</v>
      </c>
      <c r="K650" s="9" t="n">
        <v>0</v>
      </c>
      <c r="L650" s="9" t="n">
        <v>0</v>
      </c>
      <c r="M650" s="9" t="n">
        <v>0</v>
      </c>
      <c r="N650" s="9" t="n">
        <v>0</v>
      </c>
      <c r="O650" s="10" t="n">
        <v>0</v>
      </c>
      <c r="P650" s="10" t="n">
        <v>0</v>
      </c>
      <c r="Q650" s="10" t="n">
        <v>0</v>
      </c>
      <c r="R650" s="10" t="n">
        <v>0</v>
      </c>
      <c r="S650" s="10" t="n">
        <v>0</v>
      </c>
    </row>
    <row r="651" ht="49" customHeight="1">
      <c r="A651" s="6">
        <f>IFERROR(__xludf.DUMMYFUNCTION("""COMPUTED_VALUE"""),"THREE DIMENSIONAL GEOMETRY")</f>
        <v/>
      </c>
      <c r="B651" s="6">
        <f>IFERROR(__xludf.DUMMYFUNCTION("""COMPUTED_VALUE"""),"Resource")</f>
        <v/>
      </c>
      <c r="C651" s="6">
        <f>IFERROR(__xludf.DUMMYFUNCTION("""COMPUTED_VALUE"""),"Specific Objectives.graasp")</f>
        <v/>
      </c>
      <c r="D651" s="7">
        <f>IFERROR(__xludf.DUMMYFUNCTION("""COMPUTED_VALUE"""),"&lt;p&gt;Objectives of Three Dimensional Geometry&lt;/p&gt;")</f>
        <v/>
      </c>
      <c r="E651" s="7">
        <f>IFERROR(__xludf.DUMMYFUNCTION("""COMPUTED_VALUE"""),"No artifact embedded")</f>
        <v/>
      </c>
      <c r="F651" s="7" t="n"/>
      <c r="G651" s="8" t="n">
        <v>0</v>
      </c>
      <c r="H651" s="8" t="n">
        <v>0</v>
      </c>
      <c r="I651" s="8" t="n">
        <v>0</v>
      </c>
      <c r="J651" s="8" t="n">
        <v>0</v>
      </c>
      <c r="K651" s="9" t="n">
        <v>0</v>
      </c>
      <c r="L651" s="9" t="n">
        <v>0</v>
      </c>
      <c r="M651" s="9" t="n">
        <v>0</v>
      </c>
      <c r="N651" s="9" t="n">
        <v>0</v>
      </c>
      <c r="O651" s="10" t="n">
        <v>0</v>
      </c>
      <c r="P651" s="10" t="n">
        <v>0</v>
      </c>
      <c r="Q651" s="10" t="n">
        <v>0</v>
      </c>
      <c r="R651" s="10" t="n">
        <v>0</v>
      </c>
      <c r="S651" s="10" t="n">
        <v>0</v>
      </c>
    </row>
    <row r="652" ht="25" customHeight="1">
      <c r="A652" s="6">
        <f>IFERROR(__xludf.DUMMYFUNCTION("""COMPUTED_VALUE"""),"THREE DIMENSIONAL GEOMETRY")</f>
        <v/>
      </c>
      <c r="B652" s="6">
        <f>IFERROR(__xludf.DUMMYFUNCTION("""COMPUTED_VALUE"""),"Space")</f>
        <v/>
      </c>
      <c r="C652" s="6">
        <f>IFERROR(__xludf.DUMMYFUNCTION("""COMPUTED_VALUE"""),"Explore")</f>
        <v/>
      </c>
      <c r="D652" s="7">
        <f>IFERROR(__xludf.DUMMYFUNCTION("""COMPUTED_VALUE"""),"No task description")</f>
        <v/>
      </c>
      <c r="E652" s="7">
        <f>IFERROR(__xludf.DUMMYFUNCTION("""COMPUTED_VALUE"""),"No artifact embedded")</f>
        <v/>
      </c>
      <c r="F652" s="7" t="n"/>
      <c r="G652" s="8" t="n">
        <v>0</v>
      </c>
      <c r="H652" s="8" t="n">
        <v>0</v>
      </c>
      <c r="I652" s="8" t="n">
        <v>0</v>
      </c>
      <c r="J652" s="8" t="n">
        <v>0</v>
      </c>
      <c r="K652" s="9" t="n">
        <v>0</v>
      </c>
      <c r="L652" s="9" t="n">
        <v>0</v>
      </c>
      <c r="M652" s="9" t="n">
        <v>0</v>
      </c>
      <c r="N652" s="9" t="n">
        <v>0</v>
      </c>
      <c r="O652" s="10" t="n">
        <v>0</v>
      </c>
      <c r="P652" s="10" t="n">
        <v>0</v>
      </c>
      <c r="Q652" s="10" t="n">
        <v>0</v>
      </c>
      <c r="R652" s="10" t="n">
        <v>0</v>
      </c>
      <c r="S652" s="10" t="n">
        <v>0</v>
      </c>
    </row>
    <row r="653" ht="25" customHeight="1">
      <c r="A653" s="6">
        <f>IFERROR(__xludf.DUMMYFUNCTION("""COMPUTED_VALUE"""),"THREE DIMENSIONAL GEOMETRY")</f>
        <v/>
      </c>
      <c r="B653" s="6">
        <f>IFERROR(__xludf.DUMMYFUNCTION("""COMPUTED_VALUE"""),"Space")</f>
        <v/>
      </c>
      <c r="C653" s="6">
        <f>IFERROR(__xludf.DUMMYFUNCTION("""COMPUTED_VALUE"""),"Explain")</f>
        <v/>
      </c>
      <c r="D653" s="7">
        <f>IFERROR(__xludf.DUMMYFUNCTION("""COMPUTED_VALUE"""),"No task description")</f>
        <v/>
      </c>
      <c r="E653" s="7">
        <f>IFERROR(__xludf.DUMMYFUNCTION("""COMPUTED_VALUE"""),"No artifact embedded")</f>
        <v/>
      </c>
      <c r="F653" s="7" t="n"/>
      <c r="G653" s="8" t="n">
        <v>0</v>
      </c>
      <c r="H653" s="8" t="n">
        <v>0</v>
      </c>
      <c r="I653" s="8" t="n">
        <v>0</v>
      </c>
      <c r="J653" s="8" t="n">
        <v>0</v>
      </c>
      <c r="K653" s="9" t="n">
        <v>0</v>
      </c>
      <c r="L653" s="9" t="n">
        <v>0</v>
      </c>
      <c r="M653" s="9" t="n">
        <v>0</v>
      </c>
      <c r="N653" s="9" t="n">
        <v>0</v>
      </c>
      <c r="O653" s="10" t="n">
        <v>0</v>
      </c>
      <c r="P653" s="10" t="n">
        <v>0</v>
      </c>
      <c r="Q653" s="10" t="n">
        <v>0</v>
      </c>
      <c r="R653" s="10" t="n">
        <v>0</v>
      </c>
      <c r="S653" s="10" t="n">
        <v>0</v>
      </c>
    </row>
    <row r="654" ht="25" customHeight="1">
      <c r="A654" s="6">
        <f>IFERROR(__xludf.DUMMYFUNCTION("""COMPUTED_VALUE"""),"THREE DIMENSIONAL GEOMETRY")</f>
        <v/>
      </c>
      <c r="B654" s="6">
        <f>IFERROR(__xludf.DUMMYFUNCTION("""COMPUTED_VALUE"""),"Space")</f>
        <v/>
      </c>
      <c r="C654" s="6">
        <f>IFERROR(__xludf.DUMMYFUNCTION("""COMPUTED_VALUE"""),"Elaborate")</f>
        <v/>
      </c>
      <c r="D654" s="7">
        <f>IFERROR(__xludf.DUMMYFUNCTION("""COMPUTED_VALUE"""),"No task description")</f>
        <v/>
      </c>
      <c r="E654" s="7">
        <f>IFERROR(__xludf.DUMMYFUNCTION("""COMPUTED_VALUE"""),"No artifact embedded")</f>
        <v/>
      </c>
      <c r="F654" s="7" t="n"/>
      <c r="G654" s="8" t="n">
        <v>0</v>
      </c>
      <c r="H654" s="8" t="n">
        <v>0</v>
      </c>
      <c r="I654" s="8" t="n">
        <v>0</v>
      </c>
      <c r="J654" s="8" t="n">
        <v>0</v>
      </c>
      <c r="K654" s="9" t="n">
        <v>0</v>
      </c>
      <c r="L654" s="9" t="n">
        <v>0</v>
      </c>
      <c r="M654" s="9" t="n">
        <v>0</v>
      </c>
      <c r="N654" s="9" t="n">
        <v>0</v>
      </c>
      <c r="O654" s="10" t="n">
        <v>0</v>
      </c>
      <c r="P654" s="10" t="n">
        <v>0</v>
      </c>
      <c r="Q654" s="10" t="n">
        <v>0</v>
      </c>
      <c r="R654" s="10" t="n">
        <v>0</v>
      </c>
      <c r="S654" s="10" t="n">
        <v>0</v>
      </c>
    </row>
    <row r="655" ht="25" customHeight="1">
      <c r="A655" s="6">
        <f>IFERROR(__xludf.DUMMYFUNCTION("""COMPUTED_VALUE"""),"THREE DIMENSIONAL GEOMETRY")</f>
        <v/>
      </c>
      <c r="B655" s="6">
        <f>IFERROR(__xludf.DUMMYFUNCTION("""COMPUTED_VALUE"""),"Space")</f>
        <v/>
      </c>
      <c r="C655" s="6">
        <f>IFERROR(__xludf.DUMMYFUNCTION("""COMPUTED_VALUE"""),"Evaluate")</f>
        <v/>
      </c>
      <c r="D655" s="7">
        <f>IFERROR(__xludf.DUMMYFUNCTION("""COMPUTED_VALUE"""),"No task description")</f>
        <v/>
      </c>
      <c r="E655" s="7">
        <f>IFERROR(__xludf.DUMMYFUNCTION("""COMPUTED_VALUE"""),"No artifact embedded")</f>
        <v/>
      </c>
      <c r="F655" s="7" t="n"/>
      <c r="G655" s="8" t="n">
        <v>0</v>
      </c>
      <c r="H655" s="8" t="n">
        <v>0</v>
      </c>
      <c r="I655" s="8" t="n">
        <v>0</v>
      </c>
      <c r="J655" s="8" t="n">
        <v>0</v>
      </c>
      <c r="K655" s="9" t="n">
        <v>0</v>
      </c>
      <c r="L655" s="9" t="n">
        <v>0</v>
      </c>
      <c r="M655" s="9" t="n">
        <v>0</v>
      </c>
      <c r="N655" s="9" t="n">
        <v>0</v>
      </c>
      <c r="O655" s="10" t="n">
        <v>0</v>
      </c>
      <c r="P655" s="10" t="n">
        <v>0</v>
      </c>
      <c r="Q655" s="10" t="n">
        <v>0</v>
      </c>
      <c r="R655" s="10" t="n">
        <v>0</v>
      </c>
      <c r="S655" s="10" t="n">
        <v>0</v>
      </c>
    </row>
    <row r="656" ht="85" customHeight="1">
      <c r="A656" s="6">
        <f>IFERROR(__xludf.DUMMYFUNCTION("""COMPUTED_VALUE"""),"UV light: friend or foe?")</f>
        <v/>
      </c>
      <c r="B656" s="6">
        <f>IFERROR(__xludf.DUMMYFUNCTION("""COMPUTED_VALUE"""),"Space")</f>
        <v/>
      </c>
      <c r="C656" s="6">
        <f>IFERROR(__xludf.DUMMYFUNCTION("""COMPUTED_VALUE"""),"Learning about UV, light and the Sun")</f>
        <v/>
      </c>
      <c r="D656" s="7">
        <f>IFERROR(__xludf.DUMMYFUNCTION("""COMPUTED_VALUE"""),"&lt;p&gt;What would happen if you spent an afternoon in the beach wearing no clothes and no sunscreen?&lt;/p&gt;")</f>
        <v/>
      </c>
      <c r="E656" s="7">
        <f>IFERROR(__xludf.DUMMYFUNCTION("""COMPUTED_VALUE"""),"No artifact embedded")</f>
        <v/>
      </c>
      <c r="F656" s="7" t="n"/>
      <c r="G656" s="8" t="n">
        <v>1</v>
      </c>
      <c r="H656" s="8" t="n">
        <v>0</v>
      </c>
      <c r="I656" s="8" t="n">
        <v>0</v>
      </c>
      <c r="J656" s="8" t="n">
        <v>0</v>
      </c>
      <c r="K656" s="9" t="n">
        <v>1</v>
      </c>
      <c r="L656" s="9" t="n">
        <v>0</v>
      </c>
      <c r="M656" s="9" t="n">
        <v>0</v>
      </c>
      <c r="N656" s="9" t="n">
        <v>0</v>
      </c>
      <c r="O656" s="10" t="n">
        <v>1</v>
      </c>
      <c r="P656" s="10" t="n">
        <v>0</v>
      </c>
      <c r="Q656" s="10" t="n">
        <v>0</v>
      </c>
      <c r="R656" s="10" t="n">
        <v>0</v>
      </c>
      <c r="S656" s="10" t="n">
        <v>0</v>
      </c>
    </row>
    <row r="657" ht="97" customHeight="1">
      <c r="A657" s="6">
        <f>IFERROR(__xludf.DUMMYFUNCTION("""COMPUTED_VALUE"""),"UV light: friend or foe?")</f>
        <v/>
      </c>
      <c r="B657" s="6">
        <f>IFERROR(__xludf.DUMMYFUNCTION("""COMPUTED_VALUE"""),"Resource")</f>
        <v/>
      </c>
      <c r="C657" s="6">
        <f>IFERROR(__xludf.DUMMYFUNCTION("""COMPUTED_VALUE"""),"download.png")</f>
        <v/>
      </c>
      <c r="D657" s="7">
        <f>IFERROR(__xludf.DUMMYFUNCTION("""COMPUTED_VALUE"""),"&lt;p&gt;Maybe this would happen?&lt;/p&gt;")</f>
        <v/>
      </c>
      <c r="E657" s="7">
        <f>IFERROR(__xludf.DUMMYFUNCTION("""COMPUTED_VALUE"""),"image/png – A high-quality image with support for transparency, often used in design and web applications.")</f>
        <v/>
      </c>
      <c r="F657" s="7" t="n"/>
      <c r="G657" s="8" t="n">
        <v>1</v>
      </c>
      <c r="H657" s="8" t="n">
        <v>0</v>
      </c>
      <c r="I657" s="8" t="n">
        <v>0</v>
      </c>
      <c r="J657" s="8" t="n">
        <v>0</v>
      </c>
      <c r="K657" s="9" t="n">
        <v>1</v>
      </c>
      <c r="L657" s="9" t="n">
        <v>0</v>
      </c>
      <c r="M657" s="9" t="n">
        <v>0</v>
      </c>
      <c r="N657" s="9" t="n">
        <v>0</v>
      </c>
      <c r="O657" s="10" t="n">
        <v>1</v>
      </c>
      <c r="P657" s="10" t="n">
        <v>0</v>
      </c>
      <c r="Q657" s="10" t="n">
        <v>0</v>
      </c>
      <c r="R657" s="10" t="n">
        <v>0</v>
      </c>
      <c r="S657" s="10" t="n">
        <v>0</v>
      </c>
    </row>
    <row r="658" ht="109" customHeight="1">
      <c r="A658" s="6">
        <f>IFERROR(__xludf.DUMMYFUNCTION("""COMPUTED_VALUE"""),"UV light: friend or foe?")</f>
        <v/>
      </c>
      <c r="B658" s="6">
        <f>IFERROR(__xludf.DUMMYFUNCTION("""COMPUTED_VALUE"""),"Resource")</f>
        <v/>
      </c>
      <c r="C658" s="6">
        <f>IFERROR(__xludf.DUMMYFUNCTION("""COMPUTED_VALUE"""),"1.graasp")</f>
        <v/>
      </c>
      <c r="D658" s="7">
        <f>IFERROR(__xludf.DUMMYFUNCTION("""COMPUTED_VALUE"""),"&lt;p&gt;Did you ever get a sunburn? Discover how many of your colleagues have already got a sunburn and write it in the box below.&lt;/p&gt;")</f>
        <v/>
      </c>
      <c r="E658" s="7">
        <f>IFERROR(__xludf.DUMMYFUNCTION("""COMPUTED_VALUE"""),"No artifact embedded")</f>
        <v/>
      </c>
      <c r="F658" s="7" t="n"/>
      <c r="G658" s="8" t="n">
        <v>0</v>
      </c>
      <c r="H658" s="8" t="n">
        <v>0</v>
      </c>
      <c r="I658" s="8" t="n">
        <v>0</v>
      </c>
      <c r="J658" s="8" t="n">
        <v>1</v>
      </c>
      <c r="K658" s="9" t="n">
        <v>0</v>
      </c>
      <c r="L658" s="9" t="n">
        <v>1</v>
      </c>
      <c r="M658" s="9" t="n">
        <v>1</v>
      </c>
      <c r="N658" s="9" t="n">
        <v>0</v>
      </c>
      <c r="O658" s="10" t="n">
        <v>1</v>
      </c>
      <c r="P658" s="10" t="n">
        <v>0</v>
      </c>
      <c r="Q658" s="10" t="n">
        <v>1</v>
      </c>
      <c r="R658" s="10" t="n">
        <v>0</v>
      </c>
      <c r="S658" s="10" t="n">
        <v>1</v>
      </c>
    </row>
    <row r="659" ht="329" customHeight="1">
      <c r="A659" s="6">
        <f>IFERROR(__xludf.DUMMYFUNCTION("""COMPUTED_VALUE"""),"UV light: friend or foe?")</f>
        <v/>
      </c>
      <c r="B659" s="6">
        <f>IFERROR(__xludf.DUMMYFUNCTION("""COMPUTED_VALUE"""),"Application")</f>
        <v/>
      </c>
      <c r="C659" s="6">
        <f>IFERROR(__xludf.DUMMYFUNCTION("""COMPUTED_VALUE"""),"Input Box")</f>
        <v/>
      </c>
      <c r="D659" s="7">
        <f>IFERROR(__xludf.DUMMYFUNCTION("""COMPUTED_VALUE"""),"No task description")</f>
        <v/>
      </c>
      <c r="E65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59" s="7" t="n"/>
      <c r="G659" s="8" t="n">
        <v>0</v>
      </c>
      <c r="H659" s="8" t="n">
        <v>0</v>
      </c>
      <c r="I659" s="8" t="n">
        <v>1</v>
      </c>
      <c r="J659" s="8" t="n">
        <v>0</v>
      </c>
      <c r="K659" s="9" t="n">
        <v>0</v>
      </c>
      <c r="L659" s="9" t="n">
        <v>1</v>
      </c>
      <c r="M659" s="9" t="n">
        <v>0</v>
      </c>
      <c r="N659" s="9" t="n">
        <v>0</v>
      </c>
      <c r="O659" s="10" t="n">
        <v>0</v>
      </c>
      <c r="P659" s="10" t="n">
        <v>0</v>
      </c>
      <c r="Q659" s="10" t="n">
        <v>0</v>
      </c>
      <c r="R659" s="10" t="n">
        <v>0</v>
      </c>
      <c r="S659" s="10" t="n">
        <v>0</v>
      </c>
    </row>
    <row r="660" ht="409.5" customHeight="1">
      <c r="A660" s="6">
        <f>IFERROR(__xludf.DUMMYFUNCTION("""COMPUTED_VALUE"""),"UV light: friend or foe?")</f>
        <v/>
      </c>
      <c r="B660" s="6">
        <f>IFERROR(__xludf.DUMMYFUNCTION("""COMPUTED_VALUE"""),"Resource")</f>
        <v/>
      </c>
      <c r="C660" s="6">
        <f>IFERROR(__xludf.DUMMYFUNCTION("""COMPUTED_VALUE"""),"2.graasp")</f>
        <v/>
      </c>
      <c r="D660" s="7">
        <f>IFERROR(__xludf.DUMMYFUNCTION("""COMPUTED_VALUE"""),"&lt;p&gt;You can choose one, two or the three following activities to learn more about the Sun, the UV rays and their effect on the human body. Make sure that you do explore the 3rd one as this is the most important for this activity.&lt;/p&gt;&lt;p&gt;&lt;br&gt;1.    &lt;a href="""&amp;"https://idiverse.eu/wp-content/uploads/2019/03/IDiverSE_Activity_UV_Light_1-DiscoveringTheSun.pdf"" target=""_blank""&gt;Discovering the Sun&lt;/a&gt; (Astronomy) – Learn about what the sun is, its size and its place in our Universe.&lt;br&gt;&lt;/p&gt;&lt;p&gt;2.    &lt;a href=""http"&amp;"s://idiverse.eu/wp-content/uploads/2019/03/IDiverSE_Activity_UV_Light_2-Humans_and_the_Sun.pdf"" target=""_blank""&gt;Humans and the Sun&lt;/a&gt; (Biology and physics)  – What does the sun give us and how important is it for our life? Discover about light,  its d"&amp;"ifferent properties and how different animals see it.&lt;br&gt;3.    &lt;a href=""https://idiverse.eu/wp-content/uploads/2019/03/IDiverSE_Activity_UV_Light_3-UV_and_the_Human_Body.pdf"" target=""_blank""&gt;UV light and the human body&lt;/a&gt; (Biology, health) – Is UV a "&amp;"good or a bad guy in our lives? What is the difference between a sunburn and a burn you get from touching something hot?&lt;/p&gt;&lt;p&gt;&lt;br&gt;&lt;/p&gt;&lt;p&gt;Are you done? Great, so now fill in the table below with what you have learned about the benefits and dangers of UV l"&amp;"ight. Make a websearch in order to discover more benefits and more dangers than the ones you already know. &lt;/p&gt;")</f>
        <v/>
      </c>
      <c r="E660" s="7">
        <f>IFERROR(__xludf.DUMMYFUNCTION("""COMPUTED_VALUE"""),"No artifact embedded")</f>
        <v/>
      </c>
      <c r="F660" s="7" t="n"/>
      <c r="G660" s="8" t="n">
        <v>0</v>
      </c>
      <c r="H660" s="8" t="n">
        <v>0</v>
      </c>
      <c r="I660" s="8" t="n">
        <v>1</v>
      </c>
      <c r="J660" s="8" t="n">
        <v>0</v>
      </c>
      <c r="K660" s="9" t="n">
        <v>0</v>
      </c>
      <c r="L660" s="9" t="n">
        <v>1</v>
      </c>
      <c r="M660" s="9" t="n">
        <v>0</v>
      </c>
      <c r="N660" s="9" t="n">
        <v>0</v>
      </c>
      <c r="O660" s="10" t="n">
        <v>1</v>
      </c>
      <c r="P660" s="10" t="n">
        <v>0</v>
      </c>
      <c r="Q660" s="10" t="n">
        <v>0</v>
      </c>
      <c r="R660" s="10" t="n">
        <v>0</v>
      </c>
      <c r="S660" s="10" t="n">
        <v>0</v>
      </c>
    </row>
    <row r="661" ht="409.5" customHeight="1">
      <c r="A661" s="6">
        <f>IFERROR(__xludf.DUMMYFUNCTION("""COMPUTED_VALUE"""),"UV light: friend or foe?")</f>
        <v/>
      </c>
      <c r="B661" s="6">
        <f>IFERROR(__xludf.DUMMYFUNCTION("""COMPUTED_VALUE"""),"Application")</f>
        <v/>
      </c>
      <c r="C661" s="6">
        <f>IFERROR(__xludf.DUMMYFUNCTION("""COMPUTED_VALUE"""),"Table Tool")</f>
        <v/>
      </c>
      <c r="D661" s="7">
        <f>IFERROR(__xludf.DUMMYFUNCTION("""COMPUTED_VALUE"""),"No task description")</f>
        <v/>
      </c>
      <c r="E661"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61" s="7" t="n"/>
      <c r="G661" s="8" t="n">
        <v>0</v>
      </c>
      <c r="H661" s="8" t="n">
        <v>0</v>
      </c>
      <c r="I661" s="8" t="n">
        <v>1</v>
      </c>
      <c r="J661" s="8" t="n">
        <v>0</v>
      </c>
      <c r="K661" s="9" t="n">
        <v>0</v>
      </c>
      <c r="L661" s="9" t="n">
        <v>1</v>
      </c>
      <c r="M661" s="9" t="n">
        <v>0</v>
      </c>
      <c r="N661" s="9" t="n">
        <v>0</v>
      </c>
      <c r="O661" s="10" t="n">
        <v>0</v>
      </c>
      <c r="P661" s="10" t="n">
        <v>0</v>
      </c>
      <c r="Q661" s="10" t="n">
        <v>0</v>
      </c>
      <c r="R661" s="10" t="n">
        <v>0</v>
      </c>
      <c r="S661" s="10" t="n">
        <v>0</v>
      </c>
    </row>
    <row r="662" ht="329" customHeight="1">
      <c r="A662" s="6">
        <f>IFERROR(__xludf.DUMMYFUNCTION("""COMPUTED_VALUE"""),"UV light: friend or foe?")</f>
        <v/>
      </c>
      <c r="B662" s="6">
        <f>IFERROR(__xludf.DUMMYFUNCTION("""COMPUTED_VALUE"""),"Application")</f>
        <v/>
      </c>
      <c r="C662" s="6">
        <f>IFERROR(__xludf.DUMMYFUNCTION("""COMPUTED_VALUE"""),"Input Box (1)")</f>
        <v/>
      </c>
      <c r="D662" s="7">
        <f>IFERROR(__xludf.DUMMYFUNCTION("""COMPUTED_VALUE"""),"&lt;p&gt;Add here any relevant conclusions and move on to the next phase&lt;/p&gt;")</f>
        <v/>
      </c>
      <c r="E66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2" s="7" t="n"/>
      <c r="G662" s="8" t="n">
        <v>0</v>
      </c>
      <c r="H662" s="8" t="n">
        <v>0</v>
      </c>
      <c r="I662" s="8" t="n">
        <v>1</v>
      </c>
      <c r="J662" s="8" t="n">
        <v>0</v>
      </c>
      <c r="K662" s="9" t="n">
        <v>0</v>
      </c>
      <c r="L662" s="9" t="n">
        <v>1</v>
      </c>
      <c r="M662" s="9" t="n">
        <v>0</v>
      </c>
      <c r="N662" s="9" t="n">
        <v>0</v>
      </c>
      <c r="O662" s="10" t="n">
        <v>0</v>
      </c>
      <c r="P662" s="10" t="n">
        <v>0</v>
      </c>
      <c r="Q662" s="10" t="n">
        <v>0</v>
      </c>
      <c r="R662" s="10" t="n">
        <v>1</v>
      </c>
      <c r="S662" s="10" t="n">
        <v>0</v>
      </c>
    </row>
    <row r="663" ht="25" customHeight="1">
      <c r="A663" s="6">
        <f>IFERROR(__xludf.DUMMYFUNCTION("""COMPUTED_VALUE"""),"UV light: friend or foe?")</f>
        <v/>
      </c>
      <c r="B663" s="6">
        <f>IFERROR(__xludf.DUMMYFUNCTION("""COMPUTED_VALUE"""),"Space")</f>
        <v/>
      </c>
      <c r="C663" s="6">
        <f>IFERROR(__xludf.DUMMYFUNCTION("""COMPUTED_VALUE"""),"UV in my community")</f>
        <v/>
      </c>
      <c r="D663" s="7">
        <f>IFERROR(__xludf.DUMMYFUNCTION("""COMPUTED_VALUE"""),"No task description")</f>
        <v/>
      </c>
      <c r="E663" s="7">
        <f>IFERROR(__xludf.DUMMYFUNCTION("""COMPUTED_VALUE"""),"No artifact embedded")</f>
        <v/>
      </c>
      <c r="F663" s="7" t="n"/>
      <c r="G663" s="8" t="n">
        <v>0</v>
      </c>
      <c r="H663" s="8" t="n">
        <v>0</v>
      </c>
      <c r="I663" s="8" t="n">
        <v>0</v>
      </c>
      <c r="J663" s="8" t="n">
        <v>0</v>
      </c>
      <c r="K663" s="9" t="n">
        <v>0</v>
      </c>
      <c r="L663" s="9" t="n">
        <v>0</v>
      </c>
      <c r="M663" s="9" t="n">
        <v>0</v>
      </c>
      <c r="N663" s="9" t="n">
        <v>0</v>
      </c>
      <c r="O663" s="10" t="n">
        <v>0</v>
      </c>
      <c r="P663" s="10" t="n">
        <v>0</v>
      </c>
      <c r="Q663" s="10" t="n">
        <v>0</v>
      </c>
      <c r="R663" s="10" t="n">
        <v>0</v>
      </c>
      <c r="S663" s="10" t="n">
        <v>0</v>
      </c>
    </row>
    <row r="664" ht="409.5" customHeight="1">
      <c r="A664" s="6">
        <f>IFERROR(__xludf.DUMMYFUNCTION("""COMPUTED_VALUE"""),"UV light: friend or foe?")</f>
        <v/>
      </c>
      <c r="B664" s="6">
        <f>IFERROR(__xludf.DUMMYFUNCTION("""COMPUTED_VALUE"""),"Resource")</f>
        <v/>
      </c>
      <c r="C664" s="6">
        <f>IFERROR(__xludf.DUMMYFUNCTION("""COMPUTED_VALUE"""),"1 (1).graasp")</f>
        <v/>
      </c>
      <c r="D664" s="7">
        <f>IFERROR(__xludf.DUMMYFUNCTION("""COMPUTED_VALUE"""),"&lt;p&gt;So, now that you know a lot more about the sun, UV and the health-related issues it brings, it is time for you to make a  research about UV rays where you live and in other places of the world.&lt;/p&gt;&lt;p&gt;&lt;br&gt;&lt;/p&gt;&lt;p style=""margin-left: 20px;""&gt;Let’s begin "&amp;"with 2 questions:&lt;br&gt;&lt;strong&gt;1.    Are UV levels the same throughout the day and across the globe?&lt;br&gt;2.    Are people in your community aware of the dangers and benefits of UV radiation?&lt;/strong&gt;&lt;/p&gt;&lt;p&gt;&lt;br&gt;What do you think? Write down your hypothesis.&lt;/"&amp;"p&gt;")</f>
        <v/>
      </c>
      <c r="E664" s="7">
        <f>IFERROR(__xludf.DUMMYFUNCTION("""COMPUTED_VALUE"""),"No artifact embedded")</f>
        <v/>
      </c>
      <c r="F664" s="7" t="n"/>
      <c r="G664" s="8" t="n">
        <v>0</v>
      </c>
      <c r="H664" s="8" t="n">
        <v>0</v>
      </c>
      <c r="I664" s="8" t="n">
        <v>1</v>
      </c>
      <c r="J664" s="8" t="n">
        <v>0</v>
      </c>
      <c r="K664" s="9" t="n">
        <v>0</v>
      </c>
      <c r="L664" s="9" t="n">
        <v>1</v>
      </c>
      <c r="M664" s="9" t="n">
        <v>0</v>
      </c>
      <c r="N664" s="9" t="n">
        <v>0</v>
      </c>
      <c r="O664" s="10" t="n">
        <v>0</v>
      </c>
      <c r="P664" s="10" t="n">
        <v>1</v>
      </c>
      <c r="Q664" s="10" t="n">
        <v>0</v>
      </c>
      <c r="R664" s="10" t="n">
        <v>0</v>
      </c>
      <c r="S664" s="10" t="n">
        <v>0</v>
      </c>
    </row>
    <row r="665" ht="121" customHeight="1">
      <c r="A665" s="6">
        <f>IFERROR(__xludf.DUMMYFUNCTION("""COMPUTED_VALUE"""),"UV light: friend or foe?")</f>
        <v/>
      </c>
      <c r="B665" s="6">
        <f>IFERROR(__xludf.DUMMYFUNCTION("""COMPUTED_VALUE"""),"Resource")</f>
        <v/>
      </c>
      <c r="C665" s="6">
        <f>IFERROR(__xludf.DUMMYFUNCTION("""COMPUTED_VALUE"""),"woman-591576_1280.jpg")</f>
        <v/>
      </c>
      <c r="D665" s="7">
        <f>IFERROR(__xludf.DUMMYFUNCTION("""COMPUTED_VALUE"""),"No task description")</f>
        <v/>
      </c>
      <c r="E665" s="7">
        <f>IFERROR(__xludf.DUMMYFUNCTION("""COMPUTED_VALUE"""),"image/jpeg – A digital photograph or web image stored in a compressed format, often used for photography and web graphics.")</f>
        <v/>
      </c>
      <c r="F665" s="7" t="n"/>
      <c r="G665" s="8" t="n">
        <v>0</v>
      </c>
      <c r="H665" s="8" t="n">
        <v>0</v>
      </c>
      <c r="I665" s="8" t="n">
        <v>0</v>
      </c>
      <c r="J665" s="8" t="n">
        <v>0</v>
      </c>
      <c r="K665" s="9" t="n">
        <v>0</v>
      </c>
      <c r="L665" s="9" t="n">
        <v>0</v>
      </c>
      <c r="M665" s="9" t="n">
        <v>0</v>
      </c>
      <c r="N665" s="9" t="n">
        <v>0</v>
      </c>
      <c r="O665" s="10" t="n">
        <v>0</v>
      </c>
      <c r="P665" s="10" t="n">
        <v>0</v>
      </c>
      <c r="Q665" s="10" t="n">
        <v>0</v>
      </c>
      <c r="R665" s="10" t="n">
        <v>0</v>
      </c>
      <c r="S665" s="10" t="n">
        <v>0</v>
      </c>
    </row>
    <row r="666" ht="409.5" customHeight="1">
      <c r="A666" s="6">
        <f>IFERROR(__xludf.DUMMYFUNCTION("""COMPUTED_VALUE"""),"UV light: friend or foe?")</f>
        <v/>
      </c>
      <c r="B666" s="6">
        <f>IFERROR(__xludf.DUMMYFUNCTION("""COMPUTED_VALUE"""),"Application")</f>
        <v/>
      </c>
      <c r="C666" s="6">
        <f>IFERROR(__xludf.DUMMYFUNCTION("""COMPUTED_VALUE"""),"Hypothesis Scratchpad")</f>
        <v/>
      </c>
      <c r="D666" s="7">
        <f>IFERROR(__xludf.DUMMYFUNCTION("""COMPUTED_VALUE"""),"No task description")</f>
        <v/>
      </c>
      <c r="E66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66" s="7" t="n"/>
      <c r="G666" s="8" t="n">
        <v>0</v>
      </c>
      <c r="H666" s="8" t="n">
        <v>0</v>
      </c>
      <c r="I666" s="8" t="n">
        <v>1</v>
      </c>
      <c r="J666" s="8" t="n">
        <v>0</v>
      </c>
      <c r="K666" s="9" t="n">
        <v>0</v>
      </c>
      <c r="L666" s="9" t="n">
        <v>1</v>
      </c>
      <c r="M666" s="9" t="n">
        <v>0</v>
      </c>
      <c r="N666" s="9" t="n">
        <v>0</v>
      </c>
      <c r="O666" s="10" t="n">
        <v>0</v>
      </c>
      <c r="P666" s="10" t="n">
        <v>1</v>
      </c>
      <c r="Q666" s="10" t="n">
        <v>0</v>
      </c>
      <c r="R666" s="10" t="n">
        <v>0</v>
      </c>
      <c r="S666" s="10" t="n">
        <v>0</v>
      </c>
    </row>
    <row r="667" ht="409.5" customHeight="1">
      <c r="A667" s="6">
        <f>IFERROR(__xludf.DUMMYFUNCTION("""COMPUTED_VALUE"""),"UV light: friend or foe?")</f>
        <v/>
      </c>
      <c r="B667" s="6">
        <f>IFERROR(__xludf.DUMMYFUNCTION("""COMPUTED_VALUE"""),"Resource")</f>
        <v/>
      </c>
      <c r="C667" s="6">
        <f>IFERROR(__xludf.DUMMYFUNCTION("""COMPUTED_VALUE"""),"2 (1).graasp")</f>
        <v/>
      </c>
      <c r="D667" s="7">
        <f>IFERROR(__xludf.DUMMYFUNCTION("""COMPUTED_VALUE"""),"&lt;p&gt;Do you know that you can collaborate with students from other parts of the world? See this cool project below where you can  measure the UV levels in your town and study the level of awareness of your family, and then compare it with the results from o"&amp;"ther students!&lt;/p&gt;&lt;p&gt;&lt;br&gt;&lt;/p&gt;&lt;p&gt;Before you begin you will need the following materials:&lt;/p&gt;&lt;p&gt; - UV light sensitive beads - your teacher can find them &lt;a href=""https://www.teachersource.com/product/purple-uv-beads/light-ultraviolet"" target=""_blank""&gt;he"&amp;"re&lt;/a&gt; (or in Amazon with the keywords ""UV beads""&lt;/p&gt;&lt;p&gt;- The UV radiation scale - you can find it &lt;a href=""https://idiverse.eu/wp-content/uploads/2019/04/UV-light-scale.pdf"" target=""_blank""&gt;here&lt;/a&gt;&lt;/p&gt;")</f>
        <v/>
      </c>
      <c r="E667" s="7">
        <f>IFERROR(__xludf.DUMMYFUNCTION("""COMPUTED_VALUE"""),"No artifact embedded")</f>
        <v/>
      </c>
      <c r="F667" s="7" t="n"/>
      <c r="G667" s="8" t="n">
        <v>0</v>
      </c>
      <c r="H667" s="8" t="n">
        <v>0</v>
      </c>
      <c r="I667" s="8" t="n">
        <v>0</v>
      </c>
      <c r="J667" s="8" t="n">
        <v>1</v>
      </c>
      <c r="K667" s="9" t="n">
        <v>1</v>
      </c>
      <c r="L667" s="9" t="n">
        <v>0</v>
      </c>
      <c r="M667" s="9" t="n">
        <v>0</v>
      </c>
      <c r="N667" s="9" t="n">
        <v>1</v>
      </c>
      <c r="O667" s="10" t="n">
        <v>1</v>
      </c>
      <c r="P667" s="10" t="n">
        <v>0</v>
      </c>
      <c r="Q667" s="10" t="n">
        <v>1</v>
      </c>
      <c r="R667" s="10" t="n">
        <v>0</v>
      </c>
      <c r="S667" s="10" t="n">
        <v>0</v>
      </c>
    </row>
    <row r="668" ht="97" customHeight="1">
      <c r="A668" s="6">
        <f>IFERROR(__xludf.DUMMYFUNCTION("""COMPUTED_VALUE"""),"UV light: friend or foe?")</f>
        <v/>
      </c>
      <c r="B668" s="6">
        <f>IFERROR(__xludf.DUMMYFUNCTION("""COMPUTED_VALUE"""),"Resource")</f>
        <v/>
      </c>
      <c r="C668" s="6">
        <f>IFERROR(__xludf.DUMMYFUNCTION("""COMPUTED_VALUE"""),"UV light scale (1).png")</f>
        <v/>
      </c>
      <c r="D668" s="7">
        <f>IFERROR(__xludf.DUMMYFUNCTION("""COMPUTED_VALUE"""),"No task description")</f>
        <v/>
      </c>
      <c r="E668" s="7">
        <f>IFERROR(__xludf.DUMMYFUNCTION("""COMPUTED_VALUE"""),"image/png – A high-quality image with support for transparency, often used in design and web applications.")</f>
        <v/>
      </c>
      <c r="F668" s="7" t="n"/>
      <c r="G668" s="8" t="n">
        <v>1</v>
      </c>
      <c r="H668" s="8" t="n">
        <v>0</v>
      </c>
      <c r="I668" s="8" t="n">
        <v>0</v>
      </c>
      <c r="J668" s="8" t="n">
        <v>0</v>
      </c>
      <c r="K668" s="9" t="n">
        <v>1</v>
      </c>
      <c r="L668" s="9" t="n">
        <v>0</v>
      </c>
      <c r="M668" s="9" t="n">
        <v>0</v>
      </c>
      <c r="N668" s="9" t="n">
        <v>0</v>
      </c>
      <c r="O668" s="10" t="n">
        <v>0</v>
      </c>
      <c r="P668" s="10" t="n">
        <v>0</v>
      </c>
      <c r="Q668" s="10" t="n">
        <v>0</v>
      </c>
      <c r="R668" s="10" t="n">
        <v>0</v>
      </c>
      <c r="S668" s="10" t="n">
        <v>0</v>
      </c>
    </row>
    <row r="669" ht="409.5" customHeight="1">
      <c r="A669" s="6">
        <f>IFERROR(__xludf.DUMMYFUNCTION("""COMPUTED_VALUE"""),"UV light: friend or foe?")</f>
        <v/>
      </c>
      <c r="B669" s="6">
        <f>IFERROR(__xludf.DUMMYFUNCTION("""COMPUTED_VALUE"""),"Resource")</f>
        <v/>
      </c>
      <c r="C669" s="6">
        <f>IFERROR(__xludf.DUMMYFUNCTION("""COMPUTED_VALUE"""),"s.graasp")</f>
        <v/>
      </c>
      <c r="D669" s="7">
        <f>IFERROR(__xludf.DUMMYFUNCTION("""COMPUTED_VALUE"""),"&lt;p&gt;First you have to register:&lt;/p&gt;&lt;p&gt;- Use a code name - ask your teacher to help you decide on one.&lt;br&gt;- Don't use any picture that shows who you are.&lt;br&gt;- Read all the parts of the project very carefully and make sure you understand all the questions be"&amp;"fore you start the project.&lt;br&gt;- Begin by reading introduction and then go to ""investigation page"".&lt;br&gt;- Read the protocol carefully and then go to ""report form"" to add your answers.&lt;br&gt;- If necessary, print the protocol and keep it with you at all ti"&amp;"mes.&lt;br&gt;- When you finish go to ""findings"" to see all the answers, including yours.&lt;br&gt;Note: In globallab you are given a very simple protocol to follow, in which you can only insert one answer. However, in order to make a real community research you sh"&amp;"ould interview not only one family member but many family members and other people from your community.&lt;br&gt;You can also add any other procedures and questions to your research, which you can bring in your own project or notebook. You cannot edit the globa"&amp;"llab project, and you will only be able to add the answers to the questions that are there.&lt;br&gt;By the end, you can create your own graphs with the answers you added in the platform and all the others you have collected yourself.&lt;/p&gt;")</f>
        <v/>
      </c>
      <c r="E669" s="7">
        <f>IFERROR(__xludf.DUMMYFUNCTION("""COMPUTED_VALUE"""),"No artifact embedded")</f>
        <v/>
      </c>
      <c r="F669" s="7" t="n"/>
      <c r="G669" s="8" t="n">
        <v>0</v>
      </c>
      <c r="H669" s="8" t="n">
        <v>0</v>
      </c>
      <c r="I669" s="8" t="n">
        <v>0</v>
      </c>
      <c r="J669" s="8" t="n">
        <v>1</v>
      </c>
      <c r="K669" s="9" t="n">
        <v>0</v>
      </c>
      <c r="L669" s="9" t="n">
        <v>1</v>
      </c>
      <c r="M669" s="9" t="n">
        <v>0</v>
      </c>
      <c r="N669" s="9" t="n">
        <v>1</v>
      </c>
      <c r="O669" s="10" t="n">
        <v>1</v>
      </c>
      <c r="P669" s="10" t="n">
        <v>0</v>
      </c>
      <c r="Q669" s="10" t="n">
        <v>1</v>
      </c>
      <c r="R669" s="10" t="n">
        <v>0</v>
      </c>
      <c r="S669" s="10" t="n">
        <v>0</v>
      </c>
    </row>
    <row r="670" ht="133" customHeight="1">
      <c r="A670" s="6">
        <f>IFERROR(__xludf.DUMMYFUNCTION("""COMPUTED_VALUE"""),"UV light: friend or foe?")</f>
        <v/>
      </c>
      <c r="B670" s="6">
        <f>IFERROR(__xludf.DUMMYFUNCTION("""COMPUTED_VALUE"""),"Resource")</f>
        <v/>
      </c>
      <c r="C670" s="6">
        <f>IFERROR(__xludf.DUMMYFUNCTION("""COMPUTED_VALUE"""),"UV light levels around the world (1)")</f>
        <v/>
      </c>
      <c r="D670" s="7">
        <f>IFERROR(__xludf.DUMMYFUNCTION("""COMPUTED_VALUE"""),"&lt;p&gt;Is ultraviolet radiation the same level across the globe? Are people aware of how to protect themselves from this radiation?&lt;/p&gt;")</f>
        <v/>
      </c>
      <c r="E670" s="7">
        <f>IFERROR(__xludf.DUMMYFUNCTION("""COMPUTED_VALUE"""),"Artifact from globallab.org: A platform for collaborative educational projects, possibly including studies on UV light levels around the world.")</f>
        <v/>
      </c>
      <c r="F670" s="7" t="n"/>
      <c r="G670" s="8" t="n">
        <v>0</v>
      </c>
      <c r="H670" s="8" t="n">
        <v>0</v>
      </c>
      <c r="I670" s="8" t="n">
        <v>0</v>
      </c>
      <c r="J670" s="8" t="n">
        <v>1</v>
      </c>
      <c r="K670" s="9" t="n">
        <v>0</v>
      </c>
      <c r="L670" s="9" t="n">
        <v>0</v>
      </c>
      <c r="M670" s="9" t="n">
        <v>1</v>
      </c>
      <c r="N670" s="9" t="n">
        <v>0</v>
      </c>
      <c r="O670" s="10" t="n">
        <v>0</v>
      </c>
      <c r="P670" s="10" t="n">
        <v>0</v>
      </c>
      <c r="Q670" s="10" t="n">
        <v>1</v>
      </c>
      <c r="R670" s="10" t="n">
        <v>0</v>
      </c>
      <c r="S670" s="10" t="n">
        <v>1</v>
      </c>
    </row>
    <row r="671" ht="318" customHeight="1">
      <c r="A671" s="6">
        <f>IFERROR(__xludf.DUMMYFUNCTION("""COMPUTED_VALUE"""),"UV light: friend or foe?")</f>
        <v/>
      </c>
      <c r="B671" s="6">
        <f>IFERROR(__xludf.DUMMYFUNCTION("""COMPUTED_VALUE"""),"Resource")</f>
        <v/>
      </c>
      <c r="C671" s="6">
        <f>IFERROR(__xludf.DUMMYFUNCTION("""COMPUTED_VALUE"""),"3.graasp")</f>
        <v/>
      </c>
      <c r="D671" s="7">
        <f>IFERROR(__xludf.DUMMYFUNCTION("""COMPUTED_VALUE"""),"&lt;p&gt;When you finish your research, make sure you analyse your data carefully in order to answer the questions:&lt;/p&gt;&lt;p style=""margin-left: 20px;""&gt;1.    Are UV levels the same throughout the day and across the globe?&lt;br&gt;2.    Are people in your community aw"&amp;"are of the dangers and benefits of UV radiation?&lt;/p&gt;&lt;p style=""margin-left: 20px;""&gt;&lt;br&gt;&lt;/p&gt;&lt;p&gt;What are your conclusions?&lt;/p&gt;")</f>
        <v/>
      </c>
      <c r="E671" s="7">
        <f>IFERROR(__xludf.DUMMYFUNCTION("""COMPUTED_VALUE"""),"No artifact embedded")</f>
        <v/>
      </c>
      <c r="F671" s="7" t="n"/>
      <c r="G671" s="8" t="n">
        <v>0</v>
      </c>
      <c r="H671" s="8" t="n">
        <v>0</v>
      </c>
      <c r="I671" s="8" t="n">
        <v>1</v>
      </c>
      <c r="J671" s="8" t="n">
        <v>0</v>
      </c>
      <c r="K671" s="9" t="n">
        <v>0</v>
      </c>
      <c r="L671" s="9" t="n">
        <v>1</v>
      </c>
      <c r="M671" s="9" t="n">
        <v>0</v>
      </c>
      <c r="N671" s="9" t="n">
        <v>0</v>
      </c>
      <c r="O671" s="10" t="n">
        <v>0</v>
      </c>
      <c r="P671" s="10" t="n">
        <v>0</v>
      </c>
      <c r="Q671" s="10" t="n">
        <v>1</v>
      </c>
      <c r="R671" s="10" t="n">
        <v>1</v>
      </c>
      <c r="S671" s="10" t="n">
        <v>0</v>
      </c>
    </row>
    <row r="672" ht="409.5" customHeight="1">
      <c r="A672" s="6">
        <f>IFERROR(__xludf.DUMMYFUNCTION("""COMPUTED_VALUE"""),"UV light: friend or foe?")</f>
        <v/>
      </c>
      <c r="B672" s="6">
        <f>IFERROR(__xludf.DUMMYFUNCTION("""COMPUTED_VALUE"""),"Application")</f>
        <v/>
      </c>
      <c r="C672" s="6">
        <f>IFERROR(__xludf.DUMMYFUNCTION("""COMPUTED_VALUE"""),"Conclusion Tool")</f>
        <v/>
      </c>
      <c r="D672" s="7">
        <f>IFERROR(__xludf.DUMMYFUNCTION("""COMPUTED_VALUE"""),"No task description")</f>
        <v/>
      </c>
      <c r="E67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72" s="7" t="n"/>
      <c r="G672" s="8" t="n">
        <v>0</v>
      </c>
      <c r="H672" s="8" t="n">
        <v>0</v>
      </c>
      <c r="I672" s="8" t="n">
        <v>1</v>
      </c>
      <c r="J672" s="8" t="n">
        <v>0</v>
      </c>
      <c r="K672" s="9" t="n">
        <v>0</v>
      </c>
      <c r="L672" s="9" t="n">
        <v>1</v>
      </c>
      <c r="M672" s="9" t="n">
        <v>0</v>
      </c>
      <c r="N672" s="9" t="n">
        <v>0</v>
      </c>
      <c r="O672" s="10" t="n">
        <v>0</v>
      </c>
      <c r="P672" s="10" t="n">
        <v>0</v>
      </c>
      <c r="Q672" s="10" t="n">
        <v>0</v>
      </c>
      <c r="R672" s="10" t="n">
        <v>1</v>
      </c>
      <c r="S672" s="10" t="n">
        <v>0</v>
      </c>
    </row>
    <row r="673" ht="409.5" customHeight="1">
      <c r="A673" s="6">
        <f>IFERROR(__xludf.DUMMYFUNCTION("""COMPUTED_VALUE"""),"UV light: friend or foe?")</f>
        <v/>
      </c>
      <c r="B673" s="6">
        <f>IFERROR(__xludf.DUMMYFUNCTION("""COMPUTED_VALUE"""),"Resource")</f>
        <v/>
      </c>
      <c r="C673" s="6">
        <f>IFERROR(__xludf.DUMMYFUNCTION("""COMPUTED_VALUE"""),"4.graasp")</f>
        <v/>
      </c>
      <c r="D673" s="7">
        <f>IFERROR(__xludf.DUMMYFUNCTION("""COMPUTED_VALUE"""),"&lt;p&gt;Great Job. Now you can move to the next phase&lt;/p&gt;&lt;p&gt;&lt;br&gt;&lt;/p&gt;&lt;p&gt;&lt;strong&gt;Note:&lt;/strong&gt; In this exercise we use a standardized UV scale, to allow for the comparison of results measures by different students in different locations.&lt;/p&gt;&lt;p&gt;The UV Index is a"&amp;"n internationally standardised open ended numerical scale developed by the World Health Organization that measures the amount of UV radiation reaching the earth’s surface. It begins at zero and has no upper limit.  The UV Index is often represented as a n"&amp;"umber line with accompanying action statements and descriptive words which convey UV intensity. (&lt;a href=""https://www.myuv.com.au/about-uv/"" target=""_blank""&gt;https://www.myuv.com.au/about-uv/&lt;/a&gt;)&lt;br&gt;You  can check the value of the level of UV radiatio"&amp;"n around the world in &lt;a href=""https://www.uvlens.com/"" target=""_blank""&gt;https://www.uvlens.com/&lt;/a&gt; or  use a mobile app.&lt;/p&gt;")</f>
        <v/>
      </c>
      <c r="E673" s="7">
        <f>IFERROR(__xludf.DUMMYFUNCTION("""COMPUTED_VALUE"""),"No artifact embedded")</f>
        <v/>
      </c>
      <c r="F673" s="7" t="n"/>
      <c r="G673" s="8" t="n">
        <v>0</v>
      </c>
      <c r="H673" s="8" t="n">
        <v>1</v>
      </c>
      <c r="I673" s="8" t="n">
        <v>0</v>
      </c>
      <c r="J673" s="8" t="n">
        <v>0</v>
      </c>
      <c r="K673" s="9" t="n">
        <v>1</v>
      </c>
      <c r="L673" s="9" t="n">
        <v>0</v>
      </c>
      <c r="M673" s="9" t="n">
        <v>0</v>
      </c>
      <c r="N673" s="9" t="n">
        <v>0</v>
      </c>
      <c r="O673" s="10" t="n">
        <v>1</v>
      </c>
      <c r="P673" s="10" t="n">
        <v>0</v>
      </c>
      <c r="Q673" s="10" t="n">
        <v>1</v>
      </c>
      <c r="R673" s="10" t="n">
        <v>0</v>
      </c>
      <c r="S673" s="10" t="n">
        <v>0</v>
      </c>
    </row>
    <row r="674" ht="25" customHeight="1">
      <c r="A674" s="6">
        <f>IFERROR(__xludf.DUMMYFUNCTION("""COMPUTED_VALUE"""),"UV light: friend or foe?")</f>
        <v/>
      </c>
      <c r="B674" s="6">
        <f>IFERROR(__xludf.DUMMYFUNCTION("""COMPUTED_VALUE"""),"Space")</f>
        <v/>
      </c>
      <c r="C674" s="6">
        <f>IFERROR(__xludf.DUMMYFUNCTION("""COMPUTED_VALUE"""),"How can we protect our skin?")</f>
        <v/>
      </c>
      <c r="D674" s="7">
        <f>IFERROR(__xludf.DUMMYFUNCTION("""COMPUTED_VALUE"""),"No task description")</f>
        <v/>
      </c>
      <c r="E674" s="7">
        <f>IFERROR(__xludf.DUMMYFUNCTION("""COMPUTED_VALUE"""),"No artifact embedded")</f>
        <v/>
      </c>
      <c r="F674" s="7" t="n"/>
      <c r="G674" s="8" t="n">
        <v>0</v>
      </c>
      <c r="H674" s="8" t="n">
        <v>0</v>
      </c>
      <c r="I674" s="8" t="n">
        <v>0</v>
      </c>
      <c r="J674" s="8" t="n">
        <v>0</v>
      </c>
      <c r="K674" s="9" t="n">
        <v>0</v>
      </c>
      <c r="L674" s="9" t="n">
        <v>0</v>
      </c>
      <c r="M674" s="9" t="n">
        <v>0</v>
      </c>
      <c r="N674" s="9" t="n">
        <v>0</v>
      </c>
      <c r="O674" s="10" t="n">
        <v>0</v>
      </c>
      <c r="P674" s="10" t="n">
        <v>0</v>
      </c>
      <c r="Q674" s="10" t="n">
        <v>0</v>
      </c>
      <c r="R674" s="10" t="n">
        <v>0</v>
      </c>
      <c r="S674" s="10" t="n">
        <v>0</v>
      </c>
    </row>
    <row r="675" ht="409.5" customHeight="1">
      <c r="A675" s="6">
        <f>IFERROR(__xludf.DUMMYFUNCTION("""COMPUTED_VALUE"""),"UV light: friend or foe?")</f>
        <v/>
      </c>
      <c r="B675" s="6">
        <f>IFERROR(__xludf.DUMMYFUNCTION("""COMPUTED_VALUE"""),"Resource")</f>
        <v/>
      </c>
      <c r="C675" s="6">
        <f>IFERROR(__xludf.DUMMYFUNCTION("""COMPUTED_VALUE"""),"1.graasp")</f>
        <v/>
      </c>
      <c r="D675" s="7">
        <f>IFERROR(__xludf.DUMMYFUNCTION("""COMPUTED_VALUE"""),"&lt;p&gt;Wow, what a great job you have done so far! &lt;/p&gt;&lt;p&gt;&lt;br&gt;&lt;/p&gt;&lt;p&gt;So now that you know so much about the benefits and the dangers of UV, you know that it is important to protect your skin when the UV levels are dangerous but to let your skin receive the ra"&amp;"diation when the UV levels are safe. Receiving radiation in your skin is simple, you just put your skin out and in the sun. But protecting it from UV dangers is a bit more complex than that. We can be exposed to UV dangers in so many different activities "&amp;"and we need to know different ways of protecting ourselves, according to our situation. Considering this, it’s time to start investigating how we can protect ourselves throughout the day.&lt;/p&gt;&lt;p&gt;&lt;br&gt;&lt;/p&gt;&lt;p&gt;What are, in your opinion, the best ways to protec"&amp;"t your skin when you are outside in a sunny day, and what ways do people usualy think are good but aren't?&lt;/p&gt;&lt;p&gt;&lt;br&gt;&lt;/p&gt;")</f>
        <v/>
      </c>
      <c r="E675" s="7">
        <f>IFERROR(__xludf.DUMMYFUNCTION("""COMPUTED_VALUE"""),"No artifact embedded")</f>
        <v/>
      </c>
      <c r="F675" s="7" t="n"/>
      <c r="G675" s="8" t="n">
        <v>1</v>
      </c>
      <c r="H675" s="8" t="n">
        <v>0</v>
      </c>
      <c r="I675" s="8" t="n">
        <v>0</v>
      </c>
      <c r="J675" s="8" t="n">
        <v>0</v>
      </c>
      <c r="K675" s="9" t="n">
        <v>1</v>
      </c>
      <c r="L675" s="9" t="n">
        <v>0</v>
      </c>
      <c r="M675" s="9" t="n">
        <v>0</v>
      </c>
      <c r="N675" s="9" t="n">
        <v>0</v>
      </c>
      <c r="O675" s="10" t="n">
        <v>1</v>
      </c>
      <c r="P675" s="10" t="n">
        <v>0</v>
      </c>
      <c r="Q675" s="10" t="n">
        <v>0</v>
      </c>
      <c r="R675" s="10" t="n">
        <v>0</v>
      </c>
      <c r="S675" s="10" t="n">
        <v>0</v>
      </c>
    </row>
    <row r="676" ht="409.5" customHeight="1">
      <c r="A676" s="6">
        <f>IFERROR(__xludf.DUMMYFUNCTION("""COMPUTED_VALUE"""),"UV light: friend or foe?")</f>
        <v/>
      </c>
      <c r="B676" s="6">
        <f>IFERROR(__xludf.DUMMYFUNCTION("""COMPUTED_VALUE"""),"Application")</f>
        <v/>
      </c>
      <c r="C676" s="6">
        <f>IFERROR(__xludf.DUMMYFUNCTION("""COMPUTED_VALUE"""),"Table Tool")</f>
        <v/>
      </c>
      <c r="D676" s="7">
        <f>IFERROR(__xludf.DUMMYFUNCTION("""COMPUTED_VALUE"""),"No task description")</f>
        <v/>
      </c>
      <c r="E67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76" s="7" t="n"/>
      <c r="G676" s="8" t="n">
        <v>0</v>
      </c>
      <c r="H676" s="8" t="n">
        <v>0</v>
      </c>
      <c r="I676" s="8" t="n">
        <v>1</v>
      </c>
      <c r="J676" s="8" t="n">
        <v>0</v>
      </c>
      <c r="K676" s="9" t="n">
        <v>0</v>
      </c>
      <c r="L676" s="9" t="n">
        <v>1</v>
      </c>
      <c r="M676" s="9" t="n">
        <v>0</v>
      </c>
      <c r="N676" s="9" t="n">
        <v>0</v>
      </c>
      <c r="O676" s="10" t="n">
        <v>0</v>
      </c>
      <c r="P676" s="10" t="n">
        <v>0</v>
      </c>
      <c r="Q676" s="10" t="n">
        <v>0</v>
      </c>
      <c r="R676" s="10" t="n">
        <v>0</v>
      </c>
      <c r="S676" s="10" t="n">
        <v>0</v>
      </c>
    </row>
    <row r="677" ht="409.5" customHeight="1">
      <c r="A677" s="6">
        <f>IFERROR(__xludf.DUMMYFUNCTION("""COMPUTED_VALUE"""),"UV light: friend or foe?")</f>
        <v/>
      </c>
      <c r="B677" s="6">
        <f>IFERROR(__xludf.DUMMYFUNCTION("""COMPUTED_VALUE"""),"Resource")</f>
        <v/>
      </c>
      <c r="C677" s="6">
        <f>IFERROR(__xludf.DUMMYFUNCTION("""COMPUTED_VALUE"""),"2.graasp")</f>
        <v/>
      </c>
      <c r="D677" s="7">
        <f>IFERROR(__xludf.DUMMYFUNCTION("""COMPUTED_VALUE"""),"&lt;p&gt;Now, let's make an experiment to see if your predictions are correct. Our goal? To test the different ways of protecting the skin you mentioned above (the effective and non-effective) and see how they work in blocking UV radiation.&lt;/p&gt;&lt;p&gt;&lt;br&gt;&lt;/p&gt;&lt;p&gt;Mat"&amp;"erials you will need:&lt;/p&gt;&lt;p&gt; - UV sensitive beads (as in previous phase)&lt;br&gt;&lt;/p&gt;&lt;p&gt; - UV level scale (as in previous phase)&lt;br&gt; - Sunscreen bottles of different protective factors (ex. 10, 30 and 50)&lt;br&gt; - Creativity to come up with all other important ma"&amp;"terials&lt;/p&gt;&lt;p&gt;&lt;br&gt;&lt;/p&gt;&lt;p&gt;Optional:&lt;/p&gt;&lt;p&gt; - UV lantern to replace direct sun light (in case you have a cloudy day)&lt;/p&gt;&lt;p&gt;Tips: you might want to bring a Tanner, for example, to your experiment ;)&lt;/p&gt;&lt;p&gt;&lt;br&gt;&lt;/p&gt;&lt;p&gt;Make a list with all your materials and ma"&amp;"ke sure you bring them to your experiment.&lt;/p&gt;")</f>
        <v/>
      </c>
      <c r="E677" s="7">
        <f>IFERROR(__xludf.DUMMYFUNCTION("""COMPUTED_VALUE"""),"No artifact embedded")</f>
        <v/>
      </c>
      <c r="F677" s="7" t="n"/>
      <c r="G677" s="8" t="n">
        <v>0</v>
      </c>
      <c r="H677" s="8" t="n">
        <v>0</v>
      </c>
      <c r="I677" s="8" t="n">
        <v>1</v>
      </c>
      <c r="J677" s="8" t="n">
        <v>0</v>
      </c>
      <c r="K677" s="9" t="n">
        <v>0</v>
      </c>
      <c r="L677" s="9" t="n">
        <v>1</v>
      </c>
      <c r="M677" s="9" t="n">
        <v>0</v>
      </c>
      <c r="N677" s="9" t="n">
        <v>0</v>
      </c>
      <c r="O677" s="10" t="n">
        <v>0</v>
      </c>
      <c r="P677" s="10" t="n">
        <v>0</v>
      </c>
      <c r="Q677" s="10" t="n">
        <v>1</v>
      </c>
      <c r="R677" s="10" t="n">
        <v>0</v>
      </c>
      <c r="S677" s="10" t="n">
        <v>0</v>
      </c>
    </row>
    <row r="678" ht="329" customHeight="1">
      <c r="A678" s="6">
        <f>IFERROR(__xludf.DUMMYFUNCTION("""COMPUTED_VALUE"""),"UV light: friend or foe?")</f>
        <v/>
      </c>
      <c r="B678" s="6">
        <f>IFERROR(__xludf.DUMMYFUNCTION("""COMPUTED_VALUE"""),"Application")</f>
        <v/>
      </c>
      <c r="C678" s="6">
        <f>IFERROR(__xludf.DUMMYFUNCTION("""COMPUTED_VALUE"""),"Input Box")</f>
        <v/>
      </c>
      <c r="D678" s="7">
        <f>IFERROR(__xludf.DUMMYFUNCTION("""COMPUTED_VALUE"""),"No task description")</f>
        <v/>
      </c>
      <c r="E67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8" s="7" t="n"/>
      <c r="G678" s="8" t="n">
        <v>0</v>
      </c>
      <c r="H678" s="8" t="n">
        <v>0</v>
      </c>
      <c r="I678" s="8" t="n">
        <v>1</v>
      </c>
      <c r="J678" s="8" t="n">
        <v>0</v>
      </c>
      <c r="K678" s="9" t="n">
        <v>0</v>
      </c>
      <c r="L678" s="9" t="n">
        <v>1</v>
      </c>
      <c r="M678" s="9" t="n">
        <v>0</v>
      </c>
      <c r="N678" s="9" t="n">
        <v>0</v>
      </c>
      <c r="O678" s="10" t="n">
        <v>0</v>
      </c>
      <c r="P678" s="10" t="n">
        <v>0</v>
      </c>
      <c r="Q678" s="10" t="n">
        <v>0</v>
      </c>
      <c r="R678" s="10" t="n">
        <v>0</v>
      </c>
      <c r="S678" s="10" t="n">
        <v>0</v>
      </c>
    </row>
    <row r="679" ht="409.5" customHeight="1">
      <c r="A679" s="6">
        <f>IFERROR(__xludf.DUMMYFUNCTION("""COMPUTED_VALUE"""),"UV light: friend or foe?")</f>
        <v/>
      </c>
      <c r="B679" s="6">
        <f>IFERROR(__xludf.DUMMYFUNCTION("""COMPUTED_VALUE"""),"Application")</f>
        <v/>
      </c>
      <c r="C679" s="6">
        <f>IFERROR(__xludf.DUMMYFUNCTION("""COMPUTED_VALUE"""),"Experiment Design Tool")</f>
        <v/>
      </c>
      <c r="D679" s="7">
        <f>IFERROR(__xludf.DUMMYFUNCTION("""COMPUTED_VALUE"""),"&lt;p&gt;Use this tool to design your experiment, considering that in order to achieve valid results you should always vary one variable at a time. Click on the (+) to add the values.&lt;/p&gt;")</f>
        <v/>
      </c>
      <c r="E67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679" s="7" t="n"/>
      <c r="G679" s="8" t="n">
        <v>0</v>
      </c>
      <c r="H679" s="8" t="n">
        <v>0</v>
      </c>
      <c r="I679" s="8" t="n">
        <v>1</v>
      </c>
      <c r="J679" s="8" t="n">
        <v>0</v>
      </c>
      <c r="K679" s="9" t="n">
        <v>0</v>
      </c>
      <c r="L679" s="9" t="n">
        <v>1</v>
      </c>
      <c r="M679" s="9" t="n">
        <v>0</v>
      </c>
      <c r="N679" s="9" t="n">
        <v>0</v>
      </c>
      <c r="O679" s="10" t="n">
        <v>0</v>
      </c>
      <c r="P679" s="10" t="n">
        <v>0</v>
      </c>
      <c r="Q679" s="10" t="n">
        <v>1</v>
      </c>
      <c r="R679" s="10" t="n">
        <v>0</v>
      </c>
      <c r="S679" s="10" t="n">
        <v>0</v>
      </c>
    </row>
    <row r="680" ht="395" customHeight="1">
      <c r="A680" s="6">
        <f>IFERROR(__xludf.DUMMYFUNCTION("""COMPUTED_VALUE"""),"UV light: friend or foe?")</f>
        <v/>
      </c>
      <c r="B680" s="6">
        <f>IFERROR(__xludf.DUMMYFUNCTION("""COMPUTED_VALUE"""),"Application")</f>
        <v/>
      </c>
      <c r="C680" s="6">
        <f>IFERROR(__xludf.DUMMYFUNCTION("""COMPUTED_VALUE"""),"Observation Tool")</f>
        <v/>
      </c>
      <c r="D680" s="7">
        <f>IFERROR(__xludf.DUMMYFUNCTION("""COMPUTED_VALUE"""),"&lt;p&gt;Its time to experiment! Make your experiments and register all your observations. Take pictures of the process to keep a visual record.&lt;/p&gt;")</f>
        <v/>
      </c>
      <c r="E68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80" s="7" t="n"/>
      <c r="G680" s="8" t="n">
        <v>0</v>
      </c>
      <c r="H680" s="8" t="n">
        <v>0</v>
      </c>
      <c r="I680" s="8" t="n">
        <v>1</v>
      </c>
      <c r="J680" s="8" t="n">
        <v>0</v>
      </c>
      <c r="K680" s="9" t="n">
        <v>0</v>
      </c>
      <c r="L680" s="9" t="n">
        <v>1</v>
      </c>
      <c r="M680" s="9" t="n">
        <v>0</v>
      </c>
      <c r="N680" s="9" t="n">
        <v>0</v>
      </c>
      <c r="O680" s="10" t="n">
        <v>0</v>
      </c>
      <c r="P680" s="10" t="n">
        <v>0</v>
      </c>
      <c r="Q680" s="10" t="n">
        <v>1</v>
      </c>
      <c r="R680" s="10" t="n">
        <v>0</v>
      </c>
      <c r="S680" s="10" t="n">
        <v>0</v>
      </c>
    </row>
    <row r="681" ht="193" customHeight="1">
      <c r="A681" s="6">
        <f>IFERROR(__xludf.DUMMYFUNCTION("""COMPUTED_VALUE"""),"UV light: friend or foe?")</f>
        <v/>
      </c>
      <c r="B681" s="6">
        <f>IFERROR(__xludf.DUMMYFUNCTION("""COMPUTED_VALUE"""),"Resource")</f>
        <v/>
      </c>
      <c r="C681" s="6">
        <f>IFERROR(__xludf.DUMMYFUNCTION("""COMPUTED_VALUE"""),"3.graasp")</f>
        <v/>
      </c>
      <c r="D681" s="7">
        <f>IFERROR(__xludf.DUMMYFUNCTION("""COMPUTED_VALUE"""),"&lt;p&gt;Make sure you have made all the experiments you wanted to make. Don't worry if something went wrong, you can always repeat your experiment.&lt;/p&gt;&lt;p&gt;&lt;br&gt;&lt;/p&gt;&lt;p&gt;When you finish, go to the ""conclusion"" phase&lt;/p&gt;")</f>
        <v/>
      </c>
      <c r="E681" s="7">
        <f>IFERROR(__xludf.DUMMYFUNCTION("""COMPUTED_VALUE"""),"No artifact embedded")</f>
        <v/>
      </c>
      <c r="F681" s="7" t="n"/>
      <c r="G681" s="8" t="n">
        <v>0</v>
      </c>
      <c r="H681" s="8" t="n">
        <v>1</v>
      </c>
      <c r="I681" s="8" t="n">
        <v>0</v>
      </c>
      <c r="J681" s="8" t="n">
        <v>0</v>
      </c>
      <c r="K681" s="9" t="n">
        <v>1</v>
      </c>
      <c r="L681" s="9" t="n">
        <v>0</v>
      </c>
      <c r="M681" s="9" t="n">
        <v>0</v>
      </c>
      <c r="N681" s="9" t="n">
        <v>0</v>
      </c>
      <c r="O681" s="10" t="n">
        <v>0</v>
      </c>
      <c r="P681" s="10" t="n">
        <v>0</v>
      </c>
      <c r="Q681" s="10" t="n">
        <v>1</v>
      </c>
      <c r="R681" s="10" t="n">
        <v>0</v>
      </c>
      <c r="S681" s="10" t="n">
        <v>0</v>
      </c>
    </row>
    <row r="682" ht="241" customHeight="1">
      <c r="A682" s="6">
        <f>IFERROR(__xludf.DUMMYFUNCTION("""COMPUTED_VALUE"""),"UV light: friend or foe?")</f>
        <v/>
      </c>
      <c r="B682" s="6">
        <f>IFERROR(__xludf.DUMMYFUNCTION("""COMPUTED_VALUE"""),"Space")</f>
        <v/>
      </c>
      <c r="C682" s="6">
        <f>IFERROR(__xludf.DUMMYFUNCTION("""COMPUTED_VALUE"""),"Conclusion")</f>
        <v/>
      </c>
      <c r="D682" s="7">
        <f>IFERROR(__xludf.DUMMYFUNCTION("""COMPUTED_VALUE"""),"&lt;p&gt;Have you finished you experiments? Now it's time to analyse your data. Use graphics to organize your data and help you achieve valid conclusions. To use the graphic creator below, click on the little folder on the bottom left side to select your data a"&amp;"nd create the graphics you want.&lt;/p&gt;")</f>
        <v/>
      </c>
      <c r="E682" s="7">
        <f>IFERROR(__xludf.DUMMYFUNCTION("""COMPUTED_VALUE"""),"No artifact embedded")</f>
        <v/>
      </c>
      <c r="F682" s="7" t="n"/>
      <c r="G682" s="8" t="n">
        <v>0</v>
      </c>
      <c r="H682" s="8" t="n">
        <v>0</v>
      </c>
      <c r="I682" s="8" t="n">
        <v>1</v>
      </c>
      <c r="J682" s="8" t="n">
        <v>0</v>
      </c>
      <c r="K682" s="9" t="n">
        <v>0</v>
      </c>
      <c r="L682" s="9" t="n">
        <v>1</v>
      </c>
      <c r="M682" s="9" t="n">
        <v>0</v>
      </c>
      <c r="N682" s="9" t="n">
        <v>0</v>
      </c>
      <c r="O682" s="10" t="n">
        <v>0</v>
      </c>
      <c r="P682" s="10" t="n">
        <v>0</v>
      </c>
      <c r="Q682" s="10" t="n">
        <v>1</v>
      </c>
      <c r="R682" s="10" t="n">
        <v>0</v>
      </c>
      <c r="S682" s="10" t="n">
        <v>0</v>
      </c>
    </row>
    <row r="683" ht="409.5" customHeight="1">
      <c r="A683" s="6">
        <f>IFERROR(__xludf.DUMMYFUNCTION("""COMPUTED_VALUE"""),"UV light: friend or foe?")</f>
        <v/>
      </c>
      <c r="B683" s="6">
        <f>IFERROR(__xludf.DUMMYFUNCTION("""COMPUTED_VALUE"""),"Application")</f>
        <v/>
      </c>
      <c r="C683" s="6">
        <f>IFERROR(__xludf.DUMMYFUNCTION("""COMPUTED_VALUE"""),"Data Viewer")</f>
        <v/>
      </c>
      <c r="D683" s="7">
        <f>IFERROR(__xludf.DUMMYFUNCTION("""COMPUTED_VALUE"""),"No task description")</f>
        <v/>
      </c>
      <c r="E683"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683" s="7" t="n"/>
      <c r="G683" s="8" t="n">
        <v>0</v>
      </c>
      <c r="H683" s="8" t="n">
        <v>0</v>
      </c>
      <c r="I683" s="8" t="n">
        <v>1</v>
      </c>
      <c r="J683" s="8" t="n">
        <v>0</v>
      </c>
      <c r="K683" s="9" t="n">
        <v>0</v>
      </c>
      <c r="L683" s="9" t="n">
        <v>1</v>
      </c>
      <c r="M683" s="9" t="n">
        <v>0</v>
      </c>
      <c r="N683" s="9" t="n">
        <v>0</v>
      </c>
      <c r="O683" s="10" t="n">
        <v>0</v>
      </c>
      <c r="P683" s="10" t="n">
        <v>0</v>
      </c>
      <c r="Q683" s="10" t="n">
        <v>1</v>
      </c>
      <c r="R683" s="10" t="n">
        <v>0</v>
      </c>
      <c r="S683" s="10" t="n">
        <v>0</v>
      </c>
    </row>
    <row r="684" ht="157" customHeight="1">
      <c r="A684" s="6">
        <f>IFERROR(__xludf.DUMMYFUNCTION("""COMPUTED_VALUE"""),"UV light: friend or foe?")</f>
        <v/>
      </c>
      <c r="B684" s="6">
        <f>IFERROR(__xludf.DUMMYFUNCTION("""COMPUTED_VALUE"""),"Resource")</f>
        <v/>
      </c>
      <c r="C684" s="6">
        <f>IFERROR(__xludf.DUMMYFUNCTION("""COMPUTED_VALUE"""),"2.graasp")</f>
        <v/>
      </c>
      <c r="D684" s="7">
        <f>IFERROR(__xludf.DUMMYFUNCTION("""COMPUTED_VALUE"""),"&lt;p&gt;OK, so now, let's return to our table! Write again your list of effective and non-effective ways of protection against UV rays, but now, considering the results you got from your experiment&lt;/p&gt;")</f>
        <v/>
      </c>
      <c r="E684" s="7">
        <f>IFERROR(__xludf.DUMMYFUNCTION("""COMPUTED_VALUE"""),"No artifact embedded")</f>
        <v/>
      </c>
      <c r="F684" s="7" t="n"/>
      <c r="G684" s="8" t="n">
        <v>0</v>
      </c>
      <c r="H684" s="8" t="n">
        <v>0</v>
      </c>
      <c r="I684" s="8" t="n">
        <v>1</v>
      </c>
      <c r="J684" s="8" t="n">
        <v>0</v>
      </c>
      <c r="K684" s="9" t="n">
        <v>0</v>
      </c>
      <c r="L684" s="9" t="n">
        <v>1</v>
      </c>
      <c r="M684" s="9" t="n">
        <v>0</v>
      </c>
      <c r="N684" s="9" t="n">
        <v>0</v>
      </c>
      <c r="O684" s="10" t="n">
        <v>0</v>
      </c>
      <c r="P684" s="10" t="n">
        <v>0</v>
      </c>
      <c r="Q684" s="10" t="n">
        <v>0</v>
      </c>
      <c r="R684" s="10" t="n">
        <v>1</v>
      </c>
      <c r="S684" s="10" t="n">
        <v>0</v>
      </c>
    </row>
    <row r="685" ht="409.5" customHeight="1">
      <c r="A685" s="6">
        <f>IFERROR(__xludf.DUMMYFUNCTION("""COMPUTED_VALUE"""),"UV light: friend or foe?")</f>
        <v/>
      </c>
      <c r="B685" s="6">
        <f>IFERROR(__xludf.DUMMYFUNCTION("""COMPUTED_VALUE"""),"Application")</f>
        <v/>
      </c>
      <c r="C685" s="6">
        <f>IFERROR(__xludf.DUMMYFUNCTION("""COMPUTED_VALUE"""),"Table Tool")</f>
        <v/>
      </c>
      <c r="D685" s="7">
        <f>IFERROR(__xludf.DUMMYFUNCTION("""COMPUTED_VALUE"""),"No task description")</f>
        <v/>
      </c>
      <c r="E68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85" s="7" t="n"/>
      <c r="G685" s="8" t="n">
        <v>0</v>
      </c>
      <c r="H685" s="8" t="n">
        <v>0</v>
      </c>
      <c r="I685" s="8" t="n">
        <v>1</v>
      </c>
      <c r="J685" s="8" t="n">
        <v>0</v>
      </c>
      <c r="K685" s="9" t="n">
        <v>0</v>
      </c>
      <c r="L685" s="9" t="n">
        <v>1</v>
      </c>
      <c r="M685" s="9" t="n">
        <v>0</v>
      </c>
      <c r="N685" s="9" t="n">
        <v>0</v>
      </c>
      <c r="O685" s="10" t="n">
        <v>0</v>
      </c>
      <c r="P685" s="10" t="n">
        <v>0</v>
      </c>
      <c r="Q685" s="10" t="n">
        <v>0</v>
      </c>
      <c r="R685" s="10" t="n">
        <v>0</v>
      </c>
      <c r="S685" s="10" t="n">
        <v>0</v>
      </c>
    </row>
    <row r="686" ht="217" customHeight="1">
      <c r="A686" s="6">
        <f>IFERROR(__xludf.DUMMYFUNCTION("""COMPUTED_VALUE"""),"UV light: friend or foe?")</f>
        <v/>
      </c>
      <c r="B686" s="6">
        <f>IFERROR(__xludf.DUMMYFUNCTION("""COMPUTED_VALUE"""),"Resource")</f>
        <v/>
      </c>
      <c r="C686" s="6">
        <f>IFERROR(__xludf.DUMMYFUNCTION("""COMPUTED_VALUE"""),"1.graasp")</f>
        <v/>
      </c>
      <c r="D686" s="7">
        <f>IFERROR(__xludf.DUMMYFUNCTION("""COMPUTED_VALUE"""),"&lt;p&gt;Are your ideias the same as before? If you compare both tables, does anything change or were your hypothesis correct to begin with?&lt;/p&gt;&lt;p&gt;&lt;br&gt;&lt;/p&gt;&lt;p&gt;Write down all your conclusions from the experiments, with valid arguments based on your results.&lt;/p&gt;")</f>
        <v/>
      </c>
      <c r="E686" s="7">
        <f>IFERROR(__xludf.DUMMYFUNCTION("""COMPUTED_VALUE"""),"No artifact embedded")</f>
        <v/>
      </c>
      <c r="F686" s="7" t="n"/>
      <c r="G686" s="8" t="n">
        <v>0</v>
      </c>
      <c r="H686" s="8" t="n">
        <v>0</v>
      </c>
      <c r="I686" s="8" t="n">
        <v>1</v>
      </c>
      <c r="J686" s="8" t="n">
        <v>0</v>
      </c>
      <c r="K686" s="9" t="n">
        <v>0</v>
      </c>
      <c r="L686" s="9" t="n">
        <v>1</v>
      </c>
      <c r="M686" s="9" t="n">
        <v>0</v>
      </c>
      <c r="N686" s="9" t="n">
        <v>0</v>
      </c>
      <c r="O686" s="10" t="n">
        <v>0</v>
      </c>
      <c r="P686" s="10" t="n">
        <v>0</v>
      </c>
      <c r="Q686" s="10" t="n">
        <v>0</v>
      </c>
      <c r="R686" s="10" t="n">
        <v>1</v>
      </c>
      <c r="S686" s="10" t="n">
        <v>0</v>
      </c>
    </row>
    <row r="687" ht="329" customHeight="1">
      <c r="A687" s="6">
        <f>IFERROR(__xludf.DUMMYFUNCTION("""COMPUTED_VALUE"""),"UV light: friend or foe?")</f>
        <v/>
      </c>
      <c r="B687" s="6">
        <f>IFERROR(__xludf.DUMMYFUNCTION("""COMPUTED_VALUE"""),"Application")</f>
        <v/>
      </c>
      <c r="C687" s="6">
        <f>IFERROR(__xludf.DUMMYFUNCTION("""COMPUTED_VALUE"""),"Input Box")</f>
        <v/>
      </c>
      <c r="D687" s="7">
        <f>IFERROR(__xludf.DUMMYFUNCTION("""COMPUTED_VALUE"""),"No task description")</f>
        <v/>
      </c>
      <c r="E68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87" s="7" t="n"/>
      <c r="G687" s="8" t="n">
        <v>0</v>
      </c>
      <c r="H687" s="8" t="n">
        <v>0</v>
      </c>
      <c r="I687" s="8" t="n">
        <v>1</v>
      </c>
      <c r="J687" s="8" t="n">
        <v>0</v>
      </c>
      <c r="K687" s="9" t="n">
        <v>0</v>
      </c>
      <c r="L687" s="9" t="n">
        <v>1</v>
      </c>
      <c r="M687" s="9" t="n">
        <v>0</v>
      </c>
      <c r="N687" s="9" t="n">
        <v>0</v>
      </c>
      <c r="O687" s="10" t="n">
        <v>0</v>
      </c>
      <c r="P687" s="10" t="n">
        <v>0</v>
      </c>
      <c r="Q687" s="10" t="n">
        <v>0</v>
      </c>
      <c r="R687" s="10" t="n">
        <v>0</v>
      </c>
      <c r="S687" s="10" t="n">
        <v>0</v>
      </c>
    </row>
    <row r="688" ht="25" customHeight="1">
      <c r="A688" s="6">
        <f>IFERROR(__xludf.DUMMYFUNCTION("""COMPUTED_VALUE"""),"UV light: friend or foe?")</f>
        <v/>
      </c>
      <c r="B688" s="6">
        <f>IFERROR(__xludf.DUMMYFUNCTION("""COMPUTED_VALUE"""),"Space")</f>
        <v/>
      </c>
      <c r="C688" s="6">
        <f>IFERROR(__xludf.DUMMYFUNCTION("""COMPUTED_VALUE"""),"Discussion")</f>
        <v/>
      </c>
      <c r="D688" s="7">
        <f>IFERROR(__xludf.DUMMYFUNCTION("""COMPUTED_VALUE"""),"No task description")</f>
        <v/>
      </c>
      <c r="E688" s="7">
        <f>IFERROR(__xludf.DUMMYFUNCTION("""COMPUTED_VALUE"""),"No artifact embedded")</f>
        <v/>
      </c>
      <c r="F688" s="7" t="n"/>
      <c r="G688" s="8" t="n">
        <v>0</v>
      </c>
      <c r="H688" s="8" t="n">
        <v>0</v>
      </c>
      <c r="I688" s="8" t="n">
        <v>0</v>
      </c>
      <c r="J688" s="8" t="n">
        <v>0</v>
      </c>
      <c r="K688" s="9" t="n">
        <v>0</v>
      </c>
      <c r="L688" s="9" t="n">
        <v>0</v>
      </c>
      <c r="M688" s="9" t="n">
        <v>0</v>
      </c>
      <c r="N688" s="9" t="n">
        <v>0</v>
      </c>
      <c r="O688" s="10" t="n">
        <v>0</v>
      </c>
      <c r="P688" s="10" t="n">
        <v>0</v>
      </c>
      <c r="Q688" s="10" t="n">
        <v>0</v>
      </c>
      <c r="R688" s="10" t="n">
        <v>0</v>
      </c>
      <c r="S688" s="10" t="n">
        <v>0</v>
      </c>
    </row>
    <row r="689" ht="362" customHeight="1">
      <c r="A689" s="6">
        <f>IFERROR(__xludf.DUMMYFUNCTION("""COMPUTED_VALUE"""),"UV light: friend or foe?")</f>
        <v/>
      </c>
      <c r="B689" s="6">
        <f>IFERROR(__xludf.DUMMYFUNCTION("""COMPUTED_VALUE"""),"Resource")</f>
        <v/>
      </c>
      <c r="C689" s="6">
        <f>IFERROR(__xludf.DUMMYFUNCTION("""COMPUTED_VALUE"""),"2.graasp")</f>
        <v/>
      </c>
      <c r="D689" s="7">
        <f>IFERROR(__xludf.DUMMYFUNCTION("""COMPUTED_VALUE"""),"&lt;p&gt;Great work dear scientist!&lt;/p&gt;&lt;p&gt;&lt;br&gt;&lt;/p&gt;&lt;p&gt;Now, here is a challenge for you and for your colleagues:&lt;/p&gt;&lt;p&gt;&lt;br&gt;&lt;/p&gt;&lt;p&gt;In this activity you have learned about the benefits and the dangers of UV rays, you have evaluated the level of awareness of your co"&amp;"mmunity, you have learned about the different UV levels throughout the day and in other places of the world and you have learned about the effective ways of protecting the skin against UV damage.&lt;/p&gt;")</f>
        <v/>
      </c>
      <c r="E689" s="7">
        <f>IFERROR(__xludf.DUMMYFUNCTION("""COMPUTED_VALUE"""),"No artifact embedded")</f>
        <v/>
      </c>
      <c r="F689" s="7" t="n"/>
      <c r="G689" s="8" t="n">
        <v>1</v>
      </c>
      <c r="H689" s="8" t="n">
        <v>0</v>
      </c>
      <c r="I689" s="8" t="n">
        <v>0</v>
      </c>
      <c r="J689" s="8" t="n">
        <v>0</v>
      </c>
      <c r="K689" s="9" t="n">
        <v>1</v>
      </c>
      <c r="L689" s="9" t="n">
        <v>0</v>
      </c>
      <c r="M689" s="9" t="n">
        <v>0</v>
      </c>
      <c r="N689" s="9" t="n">
        <v>0</v>
      </c>
      <c r="O689" s="10" t="n">
        <v>1</v>
      </c>
      <c r="P689" s="10" t="n">
        <v>0</v>
      </c>
      <c r="Q689" s="10" t="n">
        <v>0</v>
      </c>
      <c r="R689" s="10" t="n">
        <v>0</v>
      </c>
      <c r="S689" s="10" t="n">
        <v>0</v>
      </c>
    </row>
    <row r="690" ht="121" customHeight="1">
      <c r="A690" s="6">
        <f>IFERROR(__xludf.DUMMYFUNCTION("""COMPUTED_VALUE"""),"UV light: friend or foe?")</f>
        <v/>
      </c>
      <c r="B690" s="6">
        <f>IFERROR(__xludf.DUMMYFUNCTION("""COMPUTED_VALUE"""),"Resource")</f>
        <v/>
      </c>
      <c r="C690" s="6">
        <f>IFERROR(__xludf.DUMMYFUNCTION("""COMPUTED_VALUE"""),"hands-2847508_640.jpg")</f>
        <v/>
      </c>
      <c r="D690" s="7">
        <f>IFERROR(__xludf.DUMMYFUNCTION("""COMPUTED_VALUE"""),"No task description")</f>
        <v/>
      </c>
      <c r="E690" s="7">
        <f>IFERROR(__xludf.DUMMYFUNCTION("""COMPUTED_VALUE"""),"image/jpeg – A digital photograph or web image stored in a compressed format, often used for photography and web graphics.")</f>
        <v/>
      </c>
      <c r="F690" s="7" t="n"/>
      <c r="G690" s="8" t="n">
        <v>0</v>
      </c>
      <c r="H690" s="8" t="n">
        <v>0</v>
      </c>
      <c r="I690" s="8" t="n">
        <v>0</v>
      </c>
      <c r="J690" s="8" t="n">
        <v>0</v>
      </c>
      <c r="K690" s="9" t="n">
        <v>0</v>
      </c>
      <c r="L690" s="9" t="n">
        <v>0</v>
      </c>
      <c r="M690" s="9" t="n">
        <v>0</v>
      </c>
      <c r="N690" s="9" t="n">
        <v>0</v>
      </c>
      <c r="O690" s="10" t="n">
        <v>0</v>
      </c>
      <c r="P690" s="10" t="n">
        <v>0</v>
      </c>
      <c r="Q690" s="10" t="n">
        <v>0</v>
      </c>
      <c r="R690" s="10" t="n">
        <v>0</v>
      </c>
      <c r="S690" s="10" t="n">
        <v>0</v>
      </c>
    </row>
    <row r="691" ht="362" customHeight="1">
      <c r="A691" s="6">
        <f>IFERROR(__xludf.DUMMYFUNCTION("""COMPUTED_VALUE"""),"UV light: friend or foe?")</f>
        <v/>
      </c>
      <c r="B691" s="6">
        <f>IFERROR(__xludf.DUMMYFUNCTION("""COMPUTED_VALUE"""),"Resource")</f>
        <v/>
      </c>
      <c r="C691" s="6">
        <f>IFERROR(__xludf.DUMMYFUNCTION("""COMPUTED_VALUE"""),"1.graasp")</f>
        <v/>
      </c>
      <c r="D691" s="7">
        <f>IFERROR(__xludf.DUMMYFUNCTION("""COMPUTED_VALUE"""),"&lt;p&gt;So now, collaborate with your colleagues, and if possible, with students from other places of the world (through the globallab project) to create an awareness campaign and disseminate it to your family and community. This can be:&lt;/p&gt;&lt;p&gt;An exhibition&lt;br"&amp;"&gt;A school fair&lt;br&gt;A theater&lt;br&gt;A leaflet&lt;br&gt;A book&lt;br&gt;Etc.&lt;br&gt;Discuss with your colleagues and teachers about what is the best strategy for your community and put your hands into action!&lt;/p&gt;")</f>
        <v/>
      </c>
      <c r="E691" s="7">
        <f>IFERROR(__xludf.DUMMYFUNCTION("""COMPUTED_VALUE"""),"No artifact embedded")</f>
        <v/>
      </c>
      <c r="F691" s="7" t="n"/>
      <c r="G691" s="8" t="n">
        <v>0</v>
      </c>
      <c r="H691" s="8" t="n">
        <v>0</v>
      </c>
      <c r="I691" s="8" t="n">
        <v>0</v>
      </c>
      <c r="J691" s="8" t="n">
        <v>1</v>
      </c>
      <c r="K691" s="9" t="n">
        <v>0</v>
      </c>
      <c r="L691" s="9" t="n">
        <v>0</v>
      </c>
      <c r="M691" s="9" t="n">
        <v>0</v>
      </c>
      <c r="N691" s="9" t="n">
        <v>1</v>
      </c>
      <c r="O691" s="10" t="n">
        <v>0</v>
      </c>
      <c r="P691" s="10" t="n">
        <v>0</v>
      </c>
      <c r="Q691" s="10" t="n">
        <v>0</v>
      </c>
      <c r="R691" s="10" t="n">
        <v>0</v>
      </c>
      <c r="S691" s="10" t="n">
        <v>1</v>
      </c>
    </row>
    <row r="692" ht="409.5" customHeight="1">
      <c r="A692" s="6">
        <f>IFERROR(__xludf.DUMMYFUNCTION("""COMPUTED_VALUE"""),"Why I don't prefer vinegar on my fries")</f>
        <v/>
      </c>
      <c r="B692" s="6">
        <f>IFERROR(__xludf.DUMMYFUNCTION("""COMPUTED_VALUE"""),"Space")</f>
        <v/>
      </c>
      <c r="C692" s="6">
        <f>IFERROR(__xludf.DUMMYFUNCTION("""COMPUTED_VALUE"""),"Orientation")</f>
        <v/>
      </c>
      <c r="D692" s="7">
        <f>IFERROR(__xludf.DUMMYFUNCTION("""COMPUTED_VALUE"""),"&lt;p&gt;Take a look at the photograph of the statue, which is a part of the Parthenon of the Acropolis of Athens and consider the following question &lt;/p&gt;&lt;p&gt;""How do you think the statue came to be like this?"" &lt;/p&gt;&lt;p&gt;and then as you investigate this question c"&amp;"onsider another for our discussion later.&lt;/p&gt;&lt;p&gt; ""Earth is a system of systems which influences and is influenced by life on the planet"".&lt;/p&gt;&lt;p&gt;&lt;br&gt;&lt;/p&gt;&lt;p&gt;Put the thoughts about the first question from your team into the space below, and say why.&lt;/p&gt;")</f>
        <v/>
      </c>
      <c r="E692" s="7">
        <f>IFERROR(__xludf.DUMMYFUNCTION("""COMPUTED_VALUE"""),"No artifact embedded")</f>
        <v/>
      </c>
      <c r="F692" s="7" t="n"/>
      <c r="G692" s="8" t="n">
        <v>0</v>
      </c>
      <c r="H692" s="8" t="n">
        <v>0</v>
      </c>
      <c r="I692" s="8" t="n">
        <v>0</v>
      </c>
      <c r="J692" s="8" t="n">
        <v>1</v>
      </c>
      <c r="K692" s="9" t="n">
        <v>0</v>
      </c>
      <c r="L692" s="9" t="n">
        <v>0</v>
      </c>
      <c r="M692" s="9" t="n">
        <v>0</v>
      </c>
      <c r="N692" s="9" t="n">
        <v>1</v>
      </c>
      <c r="O692" s="10" t="n">
        <v>1</v>
      </c>
      <c r="P692" s="10" t="n">
        <v>0</v>
      </c>
      <c r="Q692" s="10" t="n">
        <v>0</v>
      </c>
      <c r="R692" s="10" t="n">
        <v>0</v>
      </c>
      <c r="S692" s="10" t="n">
        <v>1</v>
      </c>
    </row>
    <row r="693" ht="121" customHeight="1">
      <c r="A693" s="6">
        <f>IFERROR(__xludf.DUMMYFUNCTION("""COMPUTED_VALUE"""),"Why I don't prefer vinegar on my fries")</f>
        <v/>
      </c>
      <c r="B693" s="6">
        <f>IFERROR(__xludf.DUMMYFUNCTION("""COMPUTED_VALUE"""),"Resource")</f>
        <v/>
      </c>
      <c r="C693" s="6">
        <f>IFERROR(__xludf.DUMMYFUNCTION("""COMPUTED_VALUE"""),"effect of acid rain on monuments.jpg")</f>
        <v/>
      </c>
      <c r="D693" s="7">
        <f>IFERROR(__xludf.DUMMYFUNCTION("""COMPUTED_VALUE"""),"No task description")</f>
        <v/>
      </c>
      <c r="E693" s="7">
        <f>IFERROR(__xludf.DUMMYFUNCTION("""COMPUTED_VALUE"""),"image/jpeg – A digital photograph or web image stored in a compressed format, often used for photography and web graphics.")</f>
        <v/>
      </c>
      <c r="F693" s="7" t="n"/>
      <c r="G693" s="8" t="n">
        <v>1</v>
      </c>
      <c r="H693" s="8" t="n">
        <v>0</v>
      </c>
      <c r="I693" s="8" t="n">
        <v>0</v>
      </c>
      <c r="J693" s="8" t="n">
        <v>0</v>
      </c>
      <c r="K693" s="9" t="n">
        <v>1</v>
      </c>
      <c r="L693" s="9" t="n">
        <v>0</v>
      </c>
      <c r="M693" s="9" t="n">
        <v>0</v>
      </c>
      <c r="N693" s="9" t="n">
        <v>0</v>
      </c>
      <c r="O693" s="10" t="n">
        <v>0</v>
      </c>
      <c r="P693" s="10" t="n">
        <v>0</v>
      </c>
      <c r="Q693" s="10" t="n">
        <v>0</v>
      </c>
      <c r="R693" s="10" t="n">
        <v>0</v>
      </c>
      <c r="S693" s="10" t="n">
        <v>0</v>
      </c>
    </row>
    <row r="694" ht="193" customHeight="1">
      <c r="A694" s="6">
        <f>IFERROR(__xludf.DUMMYFUNCTION("""COMPUTED_VALUE"""),"Why I don't prefer vinegar on my fries")</f>
        <v/>
      </c>
      <c r="B694" s="6">
        <f>IFERROR(__xludf.DUMMYFUNCTION("""COMPUTED_VALUE"""),"Application")</f>
        <v/>
      </c>
      <c r="C694" s="6">
        <f>IFERROR(__xludf.DUMMYFUNCTION("""COMPUTED_VALUE"""),"Shared Wiki")</f>
        <v/>
      </c>
      <c r="D694" s="7">
        <f>IFERROR(__xludf.DUMMYFUNCTION("""COMPUTED_VALUE"""),"No task description")</f>
        <v/>
      </c>
      <c r="E694"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94" s="7" t="n"/>
      <c r="G694" s="8" t="n">
        <v>0</v>
      </c>
      <c r="H694" s="8" t="n">
        <v>0</v>
      </c>
      <c r="I694" s="8" t="n">
        <v>0</v>
      </c>
      <c r="J694" s="8" t="n">
        <v>1</v>
      </c>
      <c r="K694" s="9" t="n">
        <v>0</v>
      </c>
      <c r="L694" s="9" t="n">
        <v>0</v>
      </c>
      <c r="M694" s="9" t="n">
        <v>0</v>
      </c>
      <c r="N694" s="9" t="n">
        <v>1</v>
      </c>
      <c r="O694" s="10" t="n">
        <v>0</v>
      </c>
      <c r="P694" s="10" t="n">
        <v>0</v>
      </c>
      <c r="Q694" s="10" t="n">
        <v>0</v>
      </c>
      <c r="R694" s="10" t="n">
        <v>0</v>
      </c>
      <c r="S694" s="10" t="n">
        <v>1</v>
      </c>
    </row>
    <row r="695" ht="193" customHeight="1">
      <c r="A695" s="6">
        <f>IFERROR(__xludf.DUMMYFUNCTION("""COMPUTED_VALUE"""),"Why I don't prefer vinegar on my fries")</f>
        <v/>
      </c>
      <c r="B695" s="6">
        <f>IFERROR(__xludf.DUMMYFUNCTION("""COMPUTED_VALUE"""),"Space")</f>
        <v/>
      </c>
      <c r="C695" s="6">
        <f>IFERROR(__xludf.DUMMYFUNCTION("""COMPUTED_VALUE"""),"Conceptualisation")</f>
        <v/>
      </c>
      <c r="D695" s="7">
        <f>IFERROR(__xludf.DUMMYFUNCTION("""COMPUTED_VALUE"""),"&lt;p&gt;Take a look at the video and explore the interactive picture before you and your team use the hypothesis scratchpad to develop an hypothesis ""educated guess"" as to why the statue changed. &lt;/p&gt;&lt;p&gt;&lt;br&gt;&lt;/p&gt;")</f>
        <v/>
      </c>
      <c r="E695" s="7">
        <f>IFERROR(__xludf.DUMMYFUNCTION("""COMPUTED_VALUE"""),"No artifact embedded")</f>
        <v/>
      </c>
      <c r="F695" s="7" t="n"/>
      <c r="G695" s="8" t="n">
        <v>0</v>
      </c>
      <c r="H695" s="8" t="n">
        <v>0</v>
      </c>
      <c r="I695" s="8" t="n">
        <v>0</v>
      </c>
      <c r="J695" s="8" t="n">
        <v>1</v>
      </c>
      <c r="K695" s="9" t="n">
        <v>1</v>
      </c>
      <c r="L695" s="9" t="n">
        <v>0</v>
      </c>
      <c r="M695" s="9" t="n">
        <v>0</v>
      </c>
      <c r="N695" s="9" t="n">
        <v>1</v>
      </c>
      <c r="O695" s="10" t="n">
        <v>1</v>
      </c>
      <c r="P695" s="10" t="n">
        <v>1</v>
      </c>
      <c r="Q695" s="10" t="n">
        <v>0</v>
      </c>
      <c r="R695" s="10" t="n">
        <v>0</v>
      </c>
      <c r="S695" s="10" t="n">
        <v>1</v>
      </c>
    </row>
    <row r="696" ht="121" customHeight="1">
      <c r="A696" s="6">
        <f>IFERROR(__xludf.DUMMYFUNCTION("""COMPUTED_VALUE"""),"Why I don't prefer vinegar on my fries")</f>
        <v/>
      </c>
      <c r="B696" s="6">
        <f>IFERROR(__xludf.DUMMYFUNCTION("""COMPUTED_VALUE"""),"Resource")</f>
        <v/>
      </c>
      <c r="C696" s="6">
        <f>IFERROR(__xludf.DUMMYFUNCTION("""COMPUTED_VALUE"""),"acid rain effects on buildings")</f>
        <v/>
      </c>
      <c r="D696" s="7">
        <f>IFERROR(__xludf.DUMMYFUNCTION("""COMPUTED_VALUE"""),"No task description")</f>
        <v/>
      </c>
      <c r="E696" s="7">
        <f>IFERROR(__xludf.DUMMYFUNCTION("""COMPUTED_VALUE"""),"youtube.com: A widely known video-sharing platform where users can watch videos on a vast array of topics, including educational content.")</f>
        <v/>
      </c>
      <c r="F696" s="7" t="n"/>
      <c r="G696" s="8" t="n">
        <v>1</v>
      </c>
      <c r="H696" s="8" t="n">
        <v>0</v>
      </c>
      <c r="I696" s="8" t="n">
        <v>0</v>
      </c>
      <c r="J696" s="8" t="n">
        <v>0</v>
      </c>
      <c r="K696" s="9" t="n">
        <v>1</v>
      </c>
      <c r="L696" s="9" t="n">
        <v>0</v>
      </c>
      <c r="M696" s="9" t="n">
        <v>0</v>
      </c>
      <c r="N696" s="9" t="n">
        <v>0</v>
      </c>
      <c r="O696" s="10" t="n">
        <v>0</v>
      </c>
      <c r="P696" s="10" t="n">
        <v>0</v>
      </c>
      <c r="Q696" s="10" t="n">
        <v>0</v>
      </c>
      <c r="R696" s="10" t="n">
        <v>0</v>
      </c>
      <c r="S696" s="10" t="n">
        <v>0</v>
      </c>
    </row>
    <row r="697" ht="85" customHeight="1">
      <c r="A697" s="6">
        <f>IFERROR(__xludf.DUMMYFUNCTION("""COMPUTED_VALUE"""),"Why I don't prefer vinegar on my fries")</f>
        <v/>
      </c>
      <c r="B697" s="6">
        <f>IFERROR(__xludf.DUMMYFUNCTION("""COMPUTED_VALUE"""),"Resource")</f>
        <v/>
      </c>
      <c r="C697" s="6">
        <f>IFERROR(__xludf.DUMMYFUNCTION("""COMPUTED_VALUE"""),"pH Scale")</f>
        <v/>
      </c>
      <c r="D697" s="7">
        <f>IFERROR(__xludf.DUMMYFUNCTION("""COMPUTED_VALUE"""),"View the interactive image by Mark Rocha.")</f>
        <v/>
      </c>
      <c r="E697" s="7">
        <f>IFERROR(__xludf.DUMMYFUNCTION("""COMPUTED_VALUE"""),"thinglink.com: Allows users to create interactive images and videos by adding links and annotations.")</f>
        <v/>
      </c>
      <c r="F697" s="7" t="n"/>
      <c r="G697" s="8" t="n">
        <v>1</v>
      </c>
      <c r="H697" s="8" t="n">
        <v>0</v>
      </c>
      <c r="I697" s="8" t="n">
        <v>0</v>
      </c>
      <c r="J697" s="8" t="n">
        <v>0</v>
      </c>
      <c r="K697" s="9" t="n">
        <v>1</v>
      </c>
      <c r="L697" s="9" t="n">
        <v>0</v>
      </c>
      <c r="M697" s="9" t="n">
        <v>0</v>
      </c>
      <c r="N697" s="9" t="n">
        <v>0</v>
      </c>
      <c r="O697" s="10" t="n">
        <v>1</v>
      </c>
      <c r="P697" s="10" t="n">
        <v>0</v>
      </c>
      <c r="Q697" s="10" t="n">
        <v>0</v>
      </c>
      <c r="R697" s="10" t="n">
        <v>0</v>
      </c>
      <c r="S697" s="10" t="n">
        <v>0</v>
      </c>
    </row>
    <row r="698" ht="409.5" customHeight="1">
      <c r="A698" s="6">
        <f>IFERROR(__xludf.DUMMYFUNCTION("""COMPUTED_VALUE"""),"Why I don't prefer vinegar on my fries")</f>
        <v/>
      </c>
      <c r="B698" s="6">
        <f>IFERROR(__xludf.DUMMYFUNCTION("""COMPUTED_VALUE"""),"Application")</f>
        <v/>
      </c>
      <c r="C698" s="6">
        <f>IFERROR(__xludf.DUMMYFUNCTION("""COMPUTED_VALUE"""),"Hypothesis Scratchpad")</f>
        <v/>
      </c>
      <c r="D698" s="7">
        <f>IFERROR(__xludf.DUMMYFUNCTION("""COMPUTED_VALUE"""),"No task description")</f>
        <v/>
      </c>
      <c r="E69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98" s="7" t="n"/>
      <c r="G698" s="8" t="n">
        <v>0</v>
      </c>
      <c r="H698" s="8" t="n">
        <v>0</v>
      </c>
      <c r="I698" s="8" t="n">
        <v>0</v>
      </c>
      <c r="J698" s="8" t="n">
        <v>1</v>
      </c>
      <c r="K698" s="9" t="n">
        <v>0</v>
      </c>
      <c r="L698" s="9" t="n">
        <v>0</v>
      </c>
      <c r="M698" s="9" t="n">
        <v>0</v>
      </c>
      <c r="N698" s="9" t="n">
        <v>1</v>
      </c>
      <c r="O698" s="10" t="n">
        <v>0</v>
      </c>
      <c r="P698" s="10" t="n">
        <v>1</v>
      </c>
      <c r="Q698" s="10" t="n">
        <v>0</v>
      </c>
      <c r="R698" s="10" t="n">
        <v>0</v>
      </c>
      <c r="S698" s="10" t="n">
        <v>0</v>
      </c>
    </row>
    <row r="699" ht="73" customHeight="1">
      <c r="A699" s="6">
        <f>IFERROR(__xludf.DUMMYFUNCTION("""COMPUTED_VALUE"""),"Why I don't prefer vinegar on my fries")</f>
        <v/>
      </c>
      <c r="B699" s="6">
        <f>IFERROR(__xludf.DUMMYFUNCTION("""COMPUTED_VALUE"""),"Space")</f>
        <v/>
      </c>
      <c r="C699" s="6">
        <f>IFERROR(__xludf.DUMMYFUNCTION("""COMPUTED_VALUE"""),"Investigation")</f>
        <v/>
      </c>
      <c r="D699" s="7">
        <f>IFERROR(__xludf.DUMMYFUNCTION("""COMPUTED_VALUE"""),"&lt;p&gt;Acids and Bases can be dangerous so look over the video below . &lt;/p&gt;")</f>
        <v/>
      </c>
      <c r="E699" s="7">
        <f>IFERROR(__xludf.DUMMYFUNCTION("""COMPUTED_VALUE"""),"No artifact embedded")</f>
        <v/>
      </c>
      <c r="F699" s="7" t="n"/>
      <c r="G699" s="8" t="n">
        <v>1</v>
      </c>
      <c r="H699" s="8" t="n">
        <v>0</v>
      </c>
      <c r="I699" s="8" t="n">
        <v>0</v>
      </c>
      <c r="J699" s="8" t="n">
        <v>0</v>
      </c>
      <c r="K699" s="9" t="n">
        <v>1</v>
      </c>
      <c r="L699" s="9" t="n">
        <v>0</v>
      </c>
      <c r="M699" s="9" t="n">
        <v>0</v>
      </c>
      <c r="N699" s="9" t="n">
        <v>0</v>
      </c>
      <c r="O699" s="10" t="n">
        <v>1</v>
      </c>
      <c r="P699" s="10" t="n">
        <v>0</v>
      </c>
      <c r="Q699" s="10" t="n">
        <v>0</v>
      </c>
      <c r="R699" s="10" t="n">
        <v>0</v>
      </c>
      <c r="S699" s="10" t="n">
        <v>0</v>
      </c>
    </row>
    <row r="700" ht="121" customHeight="1">
      <c r="A700" s="6">
        <f>IFERROR(__xludf.DUMMYFUNCTION("""COMPUTED_VALUE"""),"Why I don't prefer vinegar on my fries")</f>
        <v/>
      </c>
      <c r="B700" s="6">
        <f>IFERROR(__xludf.DUMMYFUNCTION("""COMPUTED_VALUE"""),"Resource")</f>
        <v/>
      </c>
      <c r="C700" s="6">
        <f>IFERROR(__xludf.DUMMYFUNCTION("""COMPUTED_VALUE"""),"Tim &amp; Moby Acids and Bases")</f>
        <v/>
      </c>
      <c r="D700" s="7">
        <f>IFERROR(__xludf.DUMMYFUNCTION("""COMPUTED_VALUE"""),"No task description")</f>
        <v/>
      </c>
      <c r="E700" s="7">
        <f>IFERROR(__xludf.DUMMYFUNCTION("""COMPUTED_VALUE"""),"youtube.com: A widely known video-sharing platform where users can watch videos on a vast array of topics, including educational content.")</f>
        <v/>
      </c>
      <c r="F700" s="7" t="n"/>
      <c r="G700" s="8" t="n">
        <v>1</v>
      </c>
      <c r="H700" s="8" t="n">
        <v>0</v>
      </c>
      <c r="I700" s="8" t="n">
        <v>0</v>
      </c>
      <c r="J700" s="8" t="n">
        <v>0</v>
      </c>
      <c r="K700" s="9" t="n">
        <v>1</v>
      </c>
      <c r="L700" s="9" t="n">
        <v>0</v>
      </c>
      <c r="M700" s="9" t="n">
        <v>0</v>
      </c>
      <c r="N700" s="9" t="n">
        <v>0</v>
      </c>
      <c r="O700" s="10" t="n">
        <v>0</v>
      </c>
      <c r="P700" s="10" t="n">
        <v>0</v>
      </c>
      <c r="Q700" s="10" t="n">
        <v>0</v>
      </c>
      <c r="R700" s="10" t="n">
        <v>0</v>
      </c>
      <c r="S700" s="10" t="n">
        <v>0</v>
      </c>
    </row>
    <row r="701" ht="37" customHeight="1">
      <c r="A701" s="6">
        <f>IFERROR(__xludf.DUMMYFUNCTION("""COMPUTED_VALUE"""),"Why I don't prefer vinegar on my fries")</f>
        <v/>
      </c>
      <c r="B701" s="6">
        <f>IFERROR(__xludf.DUMMYFUNCTION("""COMPUTED_VALUE"""),"Resource")</f>
        <v/>
      </c>
      <c r="C701" s="6">
        <f>IFERROR(__xludf.DUMMYFUNCTION("""COMPUTED_VALUE"""),"1st.graasp")</f>
        <v/>
      </c>
      <c r="D701" s="7">
        <f>IFERROR(__xludf.DUMMYFUNCTION("""COMPUTED_VALUE"""),"&lt;p&gt; Complete the short multiple choice quiz.&lt;/p&gt;")</f>
        <v/>
      </c>
      <c r="E701" s="7">
        <f>IFERROR(__xludf.DUMMYFUNCTION("""COMPUTED_VALUE"""),"No artifact embedded")</f>
        <v/>
      </c>
      <c r="F701" s="7" t="n"/>
      <c r="G701" s="8" t="n">
        <v>0</v>
      </c>
      <c r="H701" s="8" t="n">
        <v>0</v>
      </c>
      <c r="I701" s="8" t="n">
        <v>1</v>
      </c>
      <c r="J701" s="8" t="n">
        <v>0</v>
      </c>
      <c r="K701" s="9" t="n">
        <v>0</v>
      </c>
      <c r="L701" s="9" t="n">
        <v>1</v>
      </c>
      <c r="M701" s="9" t="n">
        <v>0</v>
      </c>
      <c r="N701" s="9" t="n">
        <v>0</v>
      </c>
      <c r="O701" s="10" t="n">
        <v>0</v>
      </c>
      <c r="P701" s="10" t="n">
        <v>0</v>
      </c>
      <c r="Q701" s="10" t="n">
        <v>0</v>
      </c>
      <c r="R701" s="10" t="n">
        <v>0</v>
      </c>
      <c r="S701" s="10" t="n">
        <v>0</v>
      </c>
    </row>
    <row r="702" ht="296" customHeight="1">
      <c r="A702" s="6">
        <f>IFERROR(__xludf.DUMMYFUNCTION("""COMPUTED_VALUE"""),"Why I don't prefer vinegar on my fries")</f>
        <v/>
      </c>
      <c r="B702" s="6">
        <f>IFERROR(__xludf.DUMMYFUNCTION("""COMPUTED_VALUE"""),"Application")</f>
        <v/>
      </c>
      <c r="C702" s="6">
        <f>IFERROR(__xludf.DUMMYFUNCTION("""COMPUTED_VALUE"""),"Quiz 1")</f>
        <v/>
      </c>
      <c r="D702" s="7">
        <f>IFERROR(__xludf.DUMMYFUNCTION("""COMPUTED_VALUE"""),"&lt;p&gt;You must complete the quiz before you can attempt the investigation&lt;/p&gt;")</f>
        <v/>
      </c>
      <c r="E702"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2" s="7" t="n"/>
      <c r="G702" s="8" t="n">
        <v>0</v>
      </c>
      <c r="H702" s="8" t="n">
        <v>0</v>
      </c>
      <c r="I702" s="8" t="n">
        <v>0</v>
      </c>
      <c r="J702" s="8" t="n">
        <v>1</v>
      </c>
      <c r="K702" s="9" t="n">
        <v>0</v>
      </c>
      <c r="L702" s="9" t="n">
        <v>1</v>
      </c>
      <c r="M702" s="9" t="n">
        <v>0</v>
      </c>
      <c r="N702" s="9" t="n">
        <v>0</v>
      </c>
      <c r="O702" s="10" t="n">
        <v>0</v>
      </c>
      <c r="P702" s="10" t="n">
        <v>0</v>
      </c>
      <c r="Q702" s="10" t="n">
        <v>0</v>
      </c>
      <c r="R702" s="10" t="n">
        <v>0</v>
      </c>
      <c r="S702" s="10" t="n">
        <v>1</v>
      </c>
    </row>
    <row r="703" ht="296" customHeight="1">
      <c r="A703" s="6">
        <f>IFERROR(__xludf.DUMMYFUNCTION("""COMPUTED_VALUE"""),"Why I don't prefer vinegar on my fries")</f>
        <v/>
      </c>
      <c r="B703" s="6">
        <f>IFERROR(__xludf.DUMMYFUNCTION("""COMPUTED_VALUE"""),"Application")</f>
        <v/>
      </c>
      <c r="C703" s="6">
        <f>IFERROR(__xludf.DUMMYFUNCTION("""COMPUTED_VALUE"""),"Quiz 2")</f>
        <v/>
      </c>
      <c r="D703" s="7">
        <f>IFERROR(__xludf.DUMMYFUNCTION("""COMPUTED_VALUE"""),"No task description")</f>
        <v/>
      </c>
      <c r="E70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3" s="7" t="n"/>
      <c r="G703" s="8" t="n">
        <v>0</v>
      </c>
      <c r="H703" s="8" t="n">
        <v>0</v>
      </c>
      <c r="I703" s="8" t="n">
        <v>0</v>
      </c>
      <c r="J703" s="8" t="n">
        <v>1</v>
      </c>
      <c r="K703" s="9" t="n">
        <v>0</v>
      </c>
      <c r="L703" s="9" t="n">
        <v>1</v>
      </c>
      <c r="M703" s="9" t="n">
        <v>0</v>
      </c>
      <c r="N703" s="9" t="n">
        <v>0</v>
      </c>
      <c r="O703" s="10" t="n">
        <v>0</v>
      </c>
      <c r="P703" s="10" t="n">
        <v>0</v>
      </c>
      <c r="Q703" s="10" t="n">
        <v>0</v>
      </c>
      <c r="R703" s="10" t="n">
        <v>0</v>
      </c>
      <c r="S703" s="10" t="n">
        <v>1</v>
      </c>
    </row>
    <row r="704" ht="296" customHeight="1">
      <c r="A704" s="6">
        <f>IFERROR(__xludf.DUMMYFUNCTION("""COMPUTED_VALUE"""),"Why I don't prefer vinegar on my fries")</f>
        <v/>
      </c>
      <c r="B704" s="6">
        <f>IFERROR(__xludf.DUMMYFUNCTION("""COMPUTED_VALUE"""),"Application")</f>
        <v/>
      </c>
      <c r="C704" s="6">
        <f>IFERROR(__xludf.DUMMYFUNCTION("""COMPUTED_VALUE"""),"Quiz Hypothesis")</f>
        <v/>
      </c>
      <c r="D704" s="7">
        <f>IFERROR(__xludf.DUMMYFUNCTION("""COMPUTED_VALUE"""),"No task description")</f>
        <v/>
      </c>
      <c r="E7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4" s="7" t="n"/>
      <c r="G704" s="8" t="n">
        <v>0</v>
      </c>
      <c r="H704" s="8" t="n">
        <v>0</v>
      </c>
      <c r="I704" s="8" t="n">
        <v>0</v>
      </c>
      <c r="J704" s="8" t="n">
        <v>1</v>
      </c>
      <c r="K704" s="9" t="n">
        <v>0</v>
      </c>
      <c r="L704" s="9" t="n">
        <v>1</v>
      </c>
      <c r="M704" s="9" t="n">
        <v>0</v>
      </c>
      <c r="N704" s="9" t="n">
        <v>0</v>
      </c>
      <c r="O704" s="10" t="n">
        <v>0</v>
      </c>
      <c r="P704" s="10" t="n">
        <v>0</v>
      </c>
      <c r="Q704" s="10" t="n">
        <v>0</v>
      </c>
      <c r="R704" s="10" t="n">
        <v>0</v>
      </c>
      <c r="S704" s="10" t="n">
        <v>1</v>
      </c>
    </row>
    <row r="705" ht="85" customHeight="1">
      <c r="A705" s="6">
        <f>IFERROR(__xludf.DUMMYFUNCTION("""COMPUTED_VALUE"""),"Why I don't prefer vinegar on my fries")</f>
        <v/>
      </c>
      <c r="B705" s="6">
        <f>IFERROR(__xludf.DUMMYFUNCTION("""COMPUTED_VALUE"""),"Resource")</f>
        <v/>
      </c>
      <c r="C705" s="6">
        <f>IFERROR(__xludf.DUMMYFUNCTION("""COMPUTED_VALUE"""),"2nd.graasp")</f>
        <v/>
      </c>
      <c r="D705" s="7">
        <f>IFERROR(__xludf.DUMMYFUNCTION("""COMPUTED_VALUE"""),"&lt;p&gt;Use the app to investigate some substances to see whether they are acidic or basic...enjoy.&lt;/p&gt;")</f>
        <v/>
      </c>
      <c r="E705" s="7">
        <f>IFERROR(__xludf.DUMMYFUNCTION("""COMPUTED_VALUE"""),"No artifact embedded")</f>
        <v/>
      </c>
      <c r="F705" s="7" t="n"/>
      <c r="G705" s="8" t="n">
        <v>0</v>
      </c>
      <c r="H705" s="8" t="n">
        <v>1</v>
      </c>
      <c r="I705" s="8" t="n">
        <v>0</v>
      </c>
      <c r="J705" s="8" t="n">
        <v>0</v>
      </c>
      <c r="K705" s="9" t="n">
        <v>1</v>
      </c>
      <c r="L705" s="9" t="n">
        <v>0</v>
      </c>
      <c r="M705" s="9" t="n">
        <v>0</v>
      </c>
      <c r="N705" s="9" t="n">
        <v>0</v>
      </c>
      <c r="O705" s="10" t="n">
        <v>0</v>
      </c>
      <c r="P705" s="10" t="n">
        <v>0</v>
      </c>
      <c r="Q705" s="10" t="n">
        <v>1</v>
      </c>
      <c r="R705" s="10" t="n">
        <v>0</v>
      </c>
      <c r="S705" s="10" t="n">
        <v>0</v>
      </c>
    </row>
    <row r="706" ht="133" customHeight="1">
      <c r="A706" s="6">
        <f>IFERROR(__xludf.DUMMYFUNCTION("""COMPUTED_VALUE"""),"Why I don't prefer vinegar on my fries")</f>
        <v/>
      </c>
      <c r="B706" s="6">
        <f>IFERROR(__xludf.DUMMYFUNCTION("""COMPUTED_VALUE"""),"Resource")</f>
        <v/>
      </c>
      <c r="C706" s="6">
        <f>IFERROR(__xludf.DUMMYFUNCTION("""COMPUTED_VALUE"""),"‪pH Scale: Basics‬ 1.2.10")</f>
        <v/>
      </c>
      <c r="D706" s="7">
        <f>IFERROR(__xludf.DUMMYFUNCTION("""COMPUTED_VALUE"""),"No task description")</f>
        <v/>
      </c>
      <c r="E706" s="7">
        <f>IFERROR(__xludf.DUMMYFUNCTION("""COMPUTED_VALUE"""),"Artifact from phet.colorado.edu: Provides interactive science and math simulations, such as those on greenhouse effects and natural selection.")</f>
        <v/>
      </c>
      <c r="F706" s="7" t="n"/>
      <c r="G706" s="8" t="n">
        <v>0</v>
      </c>
      <c r="H706" s="8" t="n">
        <v>1</v>
      </c>
      <c r="I706" s="8" t="n">
        <v>0</v>
      </c>
      <c r="J706" s="8" t="n">
        <v>0</v>
      </c>
      <c r="K706" s="9" t="n">
        <v>1</v>
      </c>
      <c r="L706" s="9" t="n">
        <v>0</v>
      </c>
      <c r="M706" s="9" t="n">
        <v>0</v>
      </c>
      <c r="N706" s="9" t="n">
        <v>0</v>
      </c>
      <c r="O706" s="10" t="n">
        <v>0</v>
      </c>
      <c r="P706" s="10" t="n">
        <v>0</v>
      </c>
      <c r="Q706" s="10" t="n">
        <v>1</v>
      </c>
      <c r="R706" s="10" t="n">
        <v>0</v>
      </c>
      <c r="S706" s="10" t="n">
        <v>0</v>
      </c>
    </row>
    <row r="707" ht="296" customHeight="1">
      <c r="A707" s="6">
        <f>IFERROR(__xludf.DUMMYFUNCTION("""COMPUTED_VALUE"""),"Why I don't prefer vinegar on my fries")</f>
        <v/>
      </c>
      <c r="B707" s="6">
        <f>IFERROR(__xludf.DUMMYFUNCTION("""COMPUTED_VALUE"""),"Application")</f>
        <v/>
      </c>
      <c r="C707" s="6">
        <f>IFERROR(__xludf.DUMMYFUNCTION("""COMPUTED_VALUE"""),"Quiz 3")</f>
        <v/>
      </c>
      <c r="D707" s="7">
        <f>IFERROR(__xludf.DUMMYFUNCTION("""COMPUTED_VALUE"""),"No task description")</f>
        <v/>
      </c>
      <c r="E7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7" s="7" t="n"/>
      <c r="G707" s="8" t="n">
        <v>0</v>
      </c>
      <c r="H707" s="8" t="n">
        <v>0</v>
      </c>
      <c r="I707" s="8" t="n">
        <v>0</v>
      </c>
      <c r="J707" s="8" t="n">
        <v>1</v>
      </c>
      <c r="K707" s="9" t="n">
        <v>0</v>
      </c>
      <c r="L707" s="9" t="n">
        <v>1</v>
      </c>
      <c r="M707" s="9" t="n">
        <v>0</v>
      </c>
      <c r="N707" s="9" t="n">
        <v>0</v>
      </c>
      <c r="O707" s="10" t="n">
        <v>0</v>
      </c>
      <c r="P707" s="10" t="n">
        <v>0</v>
      </c>
      <c r="Q707" s="10" t="n">
        <v>0</v>
      </c>
      <c r="R707" s="10" t="n">
        <v>0</v>
      </c>
      <c r="S707" s="10" t="n">
        <v>1</v>
      </c>
    </row>
    <row r="708" ht="296" customHeight="1">
      <c r="A708" s="6">
        <f>IFERROR(__xludf.DUMMYFUNCTION("""COMPUTED_VALUE"""),"Why I don't prefer vinegar on my fries")</f>
        <v/>
      </c>
      <c r="B708" s="6">
        <f>IFERROR(__xludf.DUMMYFUNCTION("""COMPUTED_VALUE"""),"Application")</f>
        <v/>
      </c>
      <c r="C708" s="6">
        <f>IFERROR(__xludf.DUMMYFUNCTION("""COMPUTED_VALUE"""),"Quiz 4")</f>
        <v/>
      </c>
      <c r="D708" s="7">
        <f>IFERROR(__xludf.DUMMYFUNCTION("""COMPUTED_VALUE"""),"No task description")</f>
        <v/>
      </c>
      <c r="E70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8" s="7" t="n"/>
      <c r="G708" s="8" t="n">
        <v>0</v>
      </c>
      <c r="H708" s="8" t="n">
        <v>0</v>
      </c>
      <c r="I708" s="8" t="n">
        <v>0</v>
      </c>
      <c r="J708" s="8" t="n">
        <v>1</v>
      </c>
      <c r="K708" s="9" t="n">
        <v>0</v>
      </c>
      <c r="L708" s="9" t="n">
        <v>1</v>
      </c>
      <c r="M708" s="9" t="n">
        <v>0</v>
      </c>
      <c r="N708" s="9" t="n">
        <v>0</v>
      </c>
      <c r="O708" s="10" t="n">
        <v>0</v>
      </c>
      <c r="P708" s="10" t="n">
        <v>0</v>
      </c>
      <c r="Q708" s="10" t="n">
        <v>0</v>
      </c>
      <c r="R708" s="10" t="n">
        <v>0</v>
      </c>
      <c r="S708" s="10" t="n">
        <v>1</v>
      </c>
    </row>
    <row r="709" ht="296" customHeight="1">
      <c r="A709" s="6">
        <f>IFERROR(__xludf.DUMMYFUNCTION("""COMPUTED_VALUE"""),"Why I don't prefer vinegar on my fries")</f>
        <v/>
      </c>
      <c r="B709" s="6">
        <f>IFERROR(__xludf.DUMMYFUNCTION("""COMPUTED_VALUE"""),"Application")</f>
        <v/>
      </c>
      <c r="C709" s="6">
        <f>IFERROR(__xludf.DUMMYFUNCTION("""COMPUTED_VALUE"""),"Quiz 5")</f>
        <v/>
      </c>
      <c r="D709" s="7">
        <f>IFERROR(__xludf.DUMMYFUNCTION("""COMPUTED_VALUE"""),"No task description")</f>
        <v/>
      </c>
      <c r="E70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9" s="7" t="n"/>
      <c r="G709" s="8" t="n">
        <v>0</v>
      </c>
      <c r="H709" s="8" t="n">
        <v>0</v>
      </c>
      <c r="I709" s="8" t="n">
        <v>0</v>
      </c>
      <c r="J709" s="8" t="n">
        <v>1</v>
      </c>
      <c r="K709" s="9" t="n">
        <v>0</v>
      </c>
      <c r="L709" s="9" t="n">
        <v>1</v>
      </c>
      <c r="M709" s="9" t="n">
        <v>0</v>
      </c>
      <c r="N709" s="9" t="n">
        <v>0</v>
      </c>
      <c r="O709" s="10" t="n">
        <v>0</v>
      </c>
      <c r="P709" s="10" t="n">
        <v>0</v>
      </c>
      <c r="Q709" s="10" t="n">
        <v>0</v>
      </c>
      <c r="R709" s="10" t="n">
        <v>0</v>
      </c>
      <c r="S709" s="10" t="n">
        <v>1</v>
      </c>
    </row>
    <row r="710" ht="296" customHeight="1">
      <c r="A710" s="6">
        <f>IFERROR(__xludf.DUMMYFUNCTION("""COMPUTED_VALUE"""),"Why I don't prefer vinegar on my fries")</f>
        <v/>
      </c>
      <c r="B710" s="6">
        <f>IFERROR(__xludf.DUMMYFUNCTION("""COMPUTED_VALUE"""),"Application")</f>
        <v/>
      </c>
      <c r="C710" s="6">
        <f>IFERROR(__xludf.DUMMYFUNCTION("""COMPUTED_VALUE"""),"Quiz 6")</f>
        <v/>
      </c>
      <c r="D710" s="7">
        <f>IFERROR(__xludf.DUMMYFUNCTION("""COMPUTED_VALUE"""),"No task description")</f>
        <v/>
      </c>
      <c r="E71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10" s="7" t="n"/>
      <c r="G710" s="8" t="n">
        <v>0</v>
      </c>
      <c r="H710" s="8" t="n">
        <v>0</v>
      </c>
      <c r="I710" s="8" t="n">
        <v>0</v>
      </c>
      <c r="J710" s="8" t="n">
        <v>1</v>
      </c>
      <c r="K710" s="9" t="n">
        <v>0</v>
      </c>
      <c r="L710" s="9" t="n">
        <v>1</v>
      </c>
      <c r="M710" s="9" t="n">
        <v>0</v>
      </c>
      <c r="N710" s="9" t="n">
        <v>0</v>
      </c>
      <c r="O710" s="10" t="n">
        <v>0</v>
      </c>
      <c r="P710" s="10" t="n">
        <v>0</v>
      </c>
      <c r="Q710" s="10" t="n">
        <v>0</v>
      </c>
      <c r="R710" s="10" t="n">
        <v>0</v>
      </c>
      <c r="S710" s="10" t="n">
        <v>1</v>
      </c>
    </row>
    <row r="711" ht="97" customHeight="1">
      <c r="A711" s="6">
        <f>IFERROR(__xludf.DUMMYFUNCTION("""COMPUTED_VALUE"""),"Why I don't prefer vinegar on my fries")</f>
        <v/>
      </c>
      <c r="B711" s="6">
        <f>IFERROR(__xludf.DUMMYFUNCTION("""COMPUTED_VALUE"""),"Resource")</f>
        <v/>
      </c>
      <c r="C711" s="6">
        <f>IFERROR(__xludf.DUMMYFUNCTION("""COMPUTED_VALUE"""),"3rd.graasp")</f>
        <v/>
      </c>
      <c r="D711" s="7">
        <f>IFERROR(__xludf.DUMMYFUNCTION("""COMPUTED_VALUE"""),"&lt;p&gt;When you understand what an acid or a base is,  review the video on the chemical reaction of HCl on CaCO3.&lt;/p&gt;")</f>
        <v/>
      </c>
      <c r="E711" s="7">
        <f>IFERROR(__xludf.DUMMYFUNCTION("""COMPUTED_VALUE"""),"No artifact embedded")</f>
        <v/>
      </c>
      <c r="F711" s="7" t="n"/>
      <c r="G711" s="8" t="n">
        <v>1</v>
      </c>
      <c r="H711" s="8" t="n">
        <v>0</v>
      </c>
      <c r="I711" s="8" t="n">
        <v>0</v>
      </c>
      <c r="J711" s="8" t="n">
        <v>0</v>
      </c>
      <c r="K711" s="9" t="n">
        <v>1</v>
      </c>
      <c r="L711" s="9" t="n">
        <v>0</v>
      </c>
      <c r="M711" s="9" t="n">
        <v>0</v>
      </c>
      <c r="N711" s="9" t="n">
        <v>0</v>
      </c>
      <c r="O711" s="10" t="n">
        <v>1</v>
      </c>
      <c r="P711" s="10" t="n">
        <v>0</v>
      </c>
      <c r="Q711" s="10" t="n">
        <v>0</v>
      </c>
      <c r="R711" s="10" t="n">
        <v>0</v>
      </c>
      <c r="S711" s="10" t="n">
        <v>0</v>
      </c>
    </row>
    <row r="712" ht="145" customHeight="1">
      <c r="A712" s="6">
        <f>IFERROR(__xludf.DUMMYFUNCTION("""COMPUTED_VALUE"""),"Why I don't prefer vinegar on my fries")</f>
        <v/>
      </c>
      <c r="B712" s="6">
        <f>IFERROR(__xludf.DUMMYFUNCTION("""COMPUTED_VALUE"""),"Resource")</f>
        <v/>
      </c>
      <c r="C712" s="6">
        <f>IFERROR(__xludf.DUMMYFUNCTION("""COMPUTED_VALUE"""),"Chemical reaction of marble to acid")</f>
        <v/>
      </c>
      <c r="D712" s="7">
        <f>IFERROR(__xludf.DUMMYFUNCTION("""COMPUTED_VALUE"""),"&lt;p&gt;Most marble is composed of Calcium Carbonate, CaCO3, a mineral that reacts with cold, dilute, hydrochloric acid.  &lt;/p&gt;&lt;p&gt;&lt;br&gt;&lt;/p&gt;")</f>
        <v/>
      </c>
      <c r="E712" s="7">
        <f>IFERROR(__xludf.DUMMYFUNCTION("""COMPUTED_VALUE"""),"youtube.com: A widely known video-sharing platform where users can watch videos on a vast array of topics, including educational content.")</f>
        <v/>
      </c>
      <c r="F712" s="7" t="n"/>
      <c r="G712" s="8" t="n">
        <v>1</v>
      </c>
      <c r="H712" s="8" t="n">
        <v>0</v>
      </c>
      <c r="I712" s="8" t="n">
        <v>0</v>
      </c>
      <c r="J712" s="8" t="n">
        <v>0</v>
      </c>
      <c r="K712" s="9" t="n">
        <v>1</v>
      </c>
      <c r="L712" s="9" t="n">
        <v>0</v>
      </c>
      <c r="M712" s="9" t="n">
        <v>0</v>
      </c>
      <c r="N712" s="9" t="n">
        <v>0</v>
      </c>
      <c r="O712" s="10" t="n">
        <v>1</v>
      </c>
      <c r="P712" s="10" t="n">
        <v>0</v>
      </c>
      <c r="Q712" s="10" t="n">
        <v>0</v>
      </c>
      <c r="R712" s="10" t="n">
        <v>0</v>
      </c>
      <c r="S712" s="10" t="n">
        <v>0</v>
      </c>
    </row>
    <row r="713" ht="409.5" customHeight="1">
      <c r="A713" s="6">
        <f>IFERROR(__xludf.DUMMYFUNCTION("""COMPUTED_VALUE"""),"Why I don't prefer vinegar on my fries")</f>
        <v/>
      </c>
      <c r="B713" s="6">
        <f>IFERROR(__xludf.DUMMYFUNCTION("""COMPUTED_VALUE"""),"Resource")</f>
        <v/>
      </c>
      <c r="C713" s="6">
        <f>IFERROR(__xludf.DUMMYFUNCTION("""COMPUTED_VALUE"""),"4th.graasp")</f>
        <v/>
      </c>
      <c r="D713" s="7">
        <f>IFERROR(__xludf.DUMMYFUNCTION("""COMPUTED_VALUE"""),"&lt;p&gt;Design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cm&lt;"&amp;"span&gt;&lt;/span&gt;&lt;span&gt;&lt;/span&gt;&lt;span&gt;&lt;/span&gt;3&lt;span&gt;&lt;/span&gt;&lt;span&gt;&lt;/span&gt;&lt;span&gt;&lt;/span&gt;^3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mm)&lt;/li&gt;&lt;li&gt;timer&lt;/li&gt;&lt;li&gt;dropper&lt;/li&gt;&lt;li&gt;camera&lt;/li&gt;&lt;li&gt;"&amp;"gloves&lt;/li&gt;&lt;li&gt;goggles&lt;/li&gt;&lt;li&gt;white coat&lt;/li&gt;&lt;/ul&gt;&lt;p&gt;When you are finished with the discussion of your procedure, please submit the steps you are going to follow in order to do the experiment. When your procedure is approved you may begin your experiment"&amp;".&lt;/p&gt;")</f>
        <v/>
      </c>
      <c r="E713" s="7">
        <f>IFERROR(__xludf.DUMMYFUNCTION("""COMPUTED_VALUE"""),"No artifact embedded")</f>
        <v/>
      </c>
      <c r="F713" s="7" t="n"/>
      <c r="G713" s="8" t="n">
        <v>0</v>
      </c>
      <c r="H713" s="8" t="n">
        <v>0</v>
      </c>
      <c r="I713" s="8" t="n">
        <v>0</v>
      </c>
      <c r="J713" s="8" t="n">
        <v>1</v>
      </c>
      <c r="K713" s="9" t="n">
        <v>0</v>
      </c>
      <c r="L713" s="9" t="n">
        <v>0</v>
      </c>
      <c r="M713" s="9" t="n">
        <v>0</v>
      </c>
      <c r="N713" s="9" t="n">
        <v>1</v>
      </c>
      <c r="O713" s="10" t="n">
        <v>0</v>
      </c>
      <c r="P713" s="10" t="n">
        <v>0</v>
      </c>
      <c r="Q713" s="10" t="n">
        <v>1</v>
      </c>
      <c r="R713" s="10" t="n">
        <v>0</v>
      </c>
      <c r="S713" s="10" t="n">
        <v>1</v>
      </c>
    </row>
    <row r="714" ht="329" customHeight="1">
      <c r="A714" s="6">
        <f>IFERROR(__xludf.DUMMYFUNCTION("""COMPUTED_VALUE"""),"Why I don't prefer vinegar on my fries")</f>
        <v/>
      </c>
      <c r="B714" s="6">
        <f>IFERROR(__xludf.DUMMYFUNCTION("""COMPUTED_VALUE"""),"Application")</f>
        <v/>
      </c>
      <c r="C714" s="6">
        <f>IFERROR(__xludf.DUMMYFUNCTION("""COMPUTED_VALUE"""),"Input Box")</f>
        <v/>
      </c>
      <c r="D714" s="7">
        <f>IFERROR(__xludf.DUMMYFUNCTION("""COMPUTED_VALUE"""),"No task description")</f>
        <v/>
      </c>
      <c r="E71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4" s="7" t="n"/>
      <c r="G714" s="8" t="n">
        <v>0</v>
      </c>
      <c r="H714" s="8" t="n">
        <v>0</v>
      </c>
      <c r="I714" s="8" t="n">
        <v>0</v>
      </c>
      <c r="J714" s="8" t="n">
        <v>1</v>
      </c>
      <c r="K714" s="9" t="n">
        <v>0</v>
      </c>
      <c r="L714" s="9" t="n">
        <v>0</v>
      </c>
      <c r="M714" s="9" t="n">
        <v>0</v>
      </c>
      <c r="N714" s="9" t="n">
        <v>1</v>
      </c>
      <c r="O714" s="10" t="n">
        <v>0</v>
      </c>
      <c r="P714" s="10" t="n">
        <v>0</v>
      </c>
      <c r="Q714" s="10" t="n">
        <v>0</v>
      </c>
      <c r="R714" s="10" t="n">
        <v>0</v>
      </c>
      <c r="S714" s="10" t="n">
        <v>0</v>
      </c>
    </row>
    <row r="715" ht="97" customHeight="1">
      <c r="A715" s="6">
        <f>IFERROR(__xludf.DUMMYFUNCTION("""COMPUTED_VALUE"""),"Why I don't prefer vinegar on my fries")</f>
        <v/>
      </c>
      <c r="B715" s="6">
        <f>IFERROR(__xludf.DUMMYFUNCTION("""COMPUTED_VALUE"""),"Resource")</f>
        <v/>
      </c>
      <c r="C715" s="6">
        <f>IFERROR(__xludf.DUMMYFUNCTION("""COMPUTED_VALUE"""),"5th.graasp")</f>
        <v/>
      </c>
      <c r="D715" s="7">
        <f>IFERROR(__xludf.DUMMYFUNCTION("""COMPUTED_VALUE"""),"&lt;p&gt;Complete your experiment and record it as a video lasting no more than 2 minutes. Upload your video below&lt;/p&gt;")</f>
        <v/>
      </c>
      <c r="E715" s="7">
        <f>IFERROR(__xludf.DUMMYFUNCTION("""COMPUTED_VALUE"""),"No artifact embedded")</f>
        <v/>
      </c>
      <c r="F715" s="7" t="n"/>
      <c r="G715" s="8" t="n">
        <v>0</v>
      </c>
      <c r="H715" s="8" t="n">
        <v>0</v>
      </c>
      <c r="I715" s="8" t="n">
        <v>0</v>
      </c>
      <c r="J715" s="8" t="n">
        <v>1</v>
      </c>
      <c r="K715" s="9" t="n">
        <v>0</v>
      </c>
      <c r="L715" s="9" t="n">
        <v>0</v>
      </c>
      <c r="M715" s="9" t="n">
        <v>0</v>
      </c>
      <c r="N715" s="9" t="n">
        <v>1</v>
      </c>
      <c r="O715" s="10" t="n">
        <v>0</v>
      </c>
      <c r="P715" s="10" t="n">
        <v>0</v>
      </c>
      <c r="Q715" s="10" t="n">
        <v>1</v>
      </c>
      <c r="R715" s="10" t="n">
        <v>0</v>
      </c>
      <c r="S715" s="10" t="n">
        <v>1</v>
      </c>
    </row>
    <row r="716" ht="157" customHeight="1">
      <c r="A716" s="6">
        <f>IFERROR(__xludf.DUMMYFUNCTION("""COMPUTED_VALUE"""),"Why I don't prefer vinegar on my fries")</f>
        <v/>
      </c>
      <c r="B716" s="6">
        <f>IFERROR(__xludf.DUMMYFUNCTION("""COMPUTED_VALUE"""),"Application")</f>
        <v/>
      </c>
      <c r="C716" s="6">
        <f>IFERROR(__xludf.DUMMYFUNCTION("""COMPUTED_VALUE"""),"File Drop")</f>
        <v/>
      </c>
      <c r="D716" s="7">
        <f>IFERROR(__xludf.DUMMYFUNCTION("""COMPUTED_VALUE"""),"No task description")</f>
        <v/>
      </c>
      <c r="E716" s="7">
        <f>IFERROR(__xludf.DUMMYFUNCTION("""COMPUTED_VALUE"""),"Golabz app/lab: ""&lt;p&gt;This app allows students to upload files, e.g., assignment and reports, to the Inquiry learning Space. The app also allows teachers to download the uploaded files.&lt;/p&gt;\r\n""")</f>
        <v/>
      </c>
      <c r="F716" s="7" t="n"/>
      <c r="G716" s="8" t="n">
        <v>0</v>
      </c>
      <c r="H716" s="8" t="n">
        <v>0</v>
      </c>
      <c r="I716" s="8" t="n">
        <v>0</v>
      </c>
      <c r="J716" s="8" t="n">
        <v>1</v>
      </c>
      <c r="K716" s="9" t="n">
        <v>0</v>
      </c>
      <c r="L716" s="9" t="n">
        <v>0</v>
      </c>
      <c r="M716" s="9" t="n">
        <v>0</v>
      </c>
      <c r="N716" s="9" t="n">
        <v>1</v>
      </c>
      <c r="O716" s="10" t="n">
        <v>0</v>
      </c>
      <c r="P716" s="10" t="n">
        <v>0</v>
      </c>
      <c r="Q716" s="10" t="n">
        <v>0</v>
      </c>
      <c r="R716" s="10" t="n">
        <v>0</v>
      </c>
      <c r="S716" s="10" t="n">
        <v>0</v>
      </c>
    </row>
    <row r="717" ht="85" customHeight="1">
      <c r="A717" s="6">
        <f>IFERROR(__xludf.DUMMYFUNCTION("""COMPUTED_VALUE"""),"Why I don't prefer vinegar on my fries")</f>
        <v/>
      </c>
      <c r="B717" s="6">
        <f>IFERROR(__xludf.DUMMYFUNCTION("""COMPUTED_VALUE"""),"Resource")</f>
        <v/>
      </c>
      <c r="C717" s="6">
        <f>IFERROR(__xludf.DUMMYFUNCTION("""COMPUTED_VALUE"""),"6th.graasp")</f>
        <v/>
      </c>
      <c r="D717" s="7">
        <f>IFERROR(__xludf.DUMMYFUNCTION("""COMPUTED_VALUE"""),"&lt;p&gt;Record your data into the table and then capture the screen and post it into Padlet along with your conclusion&lt;/p&gt;")</f>
        <v/>
      </c>
      <c r="E717" s="7">
        <f>IFERROR(__xludf.DUMMYFUNCTION("""COMPUTED_VALUE"""),"No artifact embedded")</f>
        <v/>
      </c>
      <c r="F717" s="7" t="n"/>
      <c r="G717" s="8" t="n">
        <v>0</v>
      </c>
      <c r="H717" s="8" t="n">
        <v>0</v>
      </c>
      <c r="I717" s="8" t="n">
        <v>0</v>
      </c>
      <c r="J717" s="8" t="n">
        <v>1</v>
      </c>
      <c r="K717" s="9" t="n">
        <v>0</v>
      </c>
      <c r="L717" s="9" t="n">
        <v>0</v>
      </c>
      <c r="M717" s="9" t="n">
        <v>0</v>
      </c>
      <c r="N717" s="9" t="n">
        <v>1</v>
      </c>
      <c r="O717" s="10" t="n">
        <v>0</v>
      </c>
      <c r="P717" s="10" t="n">
        <v>0</v>
      </c>
      <c r="Q717" s="10" t="n">
        <v>1</v>
      </c>
      <c r="R717" s="10" t="n">
        <v>1</v>
      </c>
      <c r="S717" s="10" t="n">
        <v>1</v>
      </c>
    </row>
    <row r="718" ht="409.5" customHeight="1">
      <c r="A718" s="6">
        <f>IFERROR(__xludf.DUMMYFUNCTION("""COMPUTED_VALUE"""),"Why I don't prefer vinegar on my fries")</f>
        <v/>
      </c>
      <c r="B718" s="6">
        <f>IFERROR(__xludf.DUMMYFUNCTION("""COMPUTED_VALUE"""),"Application")</f>
        <v/>
      </c>
      <c r="C718" s="6">
        <f>IFERROR(__xludf.DUMMYFUNCTION("""COMPUTED_VALUE"""),"Table tool")</f>
        <v/>
      </c>
      <c r="D718" s="7">
        <f>IFERROR(__xludf.DUMMYFUNCTION("""COMPUTED_VALUE"""),"No task description")</f>
        <v/>
      </c>
      <c r="E71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718" s="7" t="n"/>
      <c r="G718" s="8" t="n">
        <v>0</v>
      </c>
      <c r="H718" s="8" t="n">
        <v>0</v>
      </c>
      <c r="I718" s="8" t="n">
        <v>0</v>
      </c>
      <c r="J718" s="8" t="n">
        <v>1</v>
      </c>
      <c r="K718" s="9" t="n">
        <v>0</v>
      </c>
      <c r="L718" s="9" t="n">
        <v>0</v>
      </c>
      <c r="M718" s="9" t="n">
        <v>0</v>
      </c>
      <c r="N718" s="9" t="n">
        <v>1</v>
      </c>
      <c r="O718" s="10" t="n">
        <v>0</v>
      </c>
      <c r="P718" s="10" t="n">
        <v>0</v>
      </c>
      <c r="Q718" s="10" t="n">
        <v>0</v>
      </c>
      <c r="R718" s="10" t="n">
        <v>0</v>
      </c>
      <c r="S718" s="10" t="n">
        <v>0</v>
      </c>
    </row>
    <row r="719" ht="329" customHeight="1">
      <c r="A719" s="6">
        <f>IFERROR(__xludf.DUMMYFUNCTION("""COMPUTED_VALUE"""),"Why I don't prefer vinegar on my fries")</f>
        <v/>
      </c>
      <c r="B719" s="6">
        <f>IFERROR(__xludf.DUMMYFUNCTION("""COMPUTED_VALUE"""),"Application")</f>
        <v/>
      </c>
      <c r="C719" s="6">
        <f>IFERROR(__xludf.DUMMYFUNCTION("""COMPUTED_VALUE"""),"Input Box (1)")</f>
        <v/>
      </c>
      <c r="D719" s="7">
        <f>IFERROR(__xludf.DUMMYFUNCTION("""COMPUTED_VALUE"""),"&lt;p&gt;Review your video and write down your observations. &lt;/p&gt;&lt;p&gt;&lt;br&gt;&lt;/p&gt;")</f>
        <v/>
      </c>
      <c r="E71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9" s="7" t="n"/>
      <c r="G719" s="8" t="n">
        <v>0</v>
      </c>
      <c r="H719" s="8" t="n">
        <v>0</v>
      </c>
      <c r="I719" s="8" t="n">
        <v>0</v>
      </c>
      <c r="J719" s="8" t="n">
        <v>1</v>
      </c>
      <c r="K719" s="9" t="n">
        <v>1</v>
      </c>
      <c r="L719" s="9" t="n">
        <v>0</v>
      </c>
      <c r="M719" s="9" t="n">
        <v>0</v>
      </c>
      <c r="N719" s="9" t="n">
        <v>1</v>
      </c>
      <c r="O719" s="10" t="n">
        <v>0</v>
      </c>
      <c r="P719" s="10" t="n">
        <v>0</v>
      </c>
      <c r="Q719" s="10" t="n">
        <v>1</v>
      </c>
      <c r="R719" s="10" t="n">
        <v>0</v>
      </c>
      <c r="S719" s="10" t="n">
        <v>1</v>
      </c>
    </row>
    <row r="720" ht="133" customHeight="1">
      <c r="A720" s="6">
        <f>IFERROR(__xludf.DUMMYFUNCTION("""COMPUTED_VALUE"""),"Why I don't prefer vinegar on my fries")</f>
        <v/>
      </c>
      <c r="B720" s="6">
        <f>IFERROR(__xludf.DUMMYFUNCTION("""COMPUTED_VALUE"""),"Space")</f>
        <v/>
      </c>
      <c r="C720" s="6">
        <f>IFERROR(__xludf.DUMMYFUNCTION("""COMPUTED_VALUE"""),"Conclusion")</f>
        <v/>
      </c>
      <c r="D720" s="7">
        <f>IFERROR(__xludf.DUMMYFUNCTION("""COMPUTED_VALUE"""),"&lt;p&gt;Use the conclusion App to to share your conclusions and data with the class. Your conclusion should take into account your original hypothesis. &lt;/p&gt;")</f>
        <v/>
      </c>
      <c r="E720" s="7">
        <f>IFERROR(__xludf.DUMMYFUNCTION("""COMPUTED_VALUE"""),"No artifact embedded")</f>
        <v/>
      </c>
      <c r="F720" s="7" t="n"/>
      <c r="G720" s="8" t="n">
        <v>0</v>
      </c>
      <c r="H720" s="8" t="n">
        <v>0</v>
      </c>
      <c r="I720" s="8" t="n">
        <v>0</v>
      </c>
      <c r="J720" s="8" t="n">
        <v>1</v>
      </c>
      <c r="K720" s="9" t="n">
        <v>0</v>
      </c>
      <c r="L720" s="9" t="n">
        <v>0</v>
      </c>
      <c r="M720" s="9" t="n">
        <v>1</v>
      </c>
      <c r="N720" s="9" t="n">
        <v>0</v>
      </c>
      <c r="O720" s="10" t="n">
        <v>0</v>
      </c>
      <c r="P720" s="10" t="n">
        <v>0</v>
      </c>
      <c r="Q720" s="10" t="n">
        <v>0</v>
      </c>
      <c r="R720" s="10" t="n">
        <v>1</v>
      </c>
      <c r="S720" s="10" t="n">
        <v>1</v>
      </c>
    </row>
    <row r="721" ht="409.5" customHeight="1">
      <c r="A721" s="6">
        <f>IFERROR(__xludf.DUMMYFUNCTION("""COMPUTED_VALUE"""),"Why I don't prefer vinegar on my fries")</f>
        <v/>
      </c>
      <c r="B721" s="6">
        <f>IFERROR(__xludf.DUMMYFUNCTION("""COMPUTED_VALUE"""),"Application")</f>
        <v/>
      </c>
      <c r="C721" s="6">
        <f>IFERROR(__xludf.DUMMYFUNCTION("""COMPUTED_VALUE"""),"Conclusion Tool")</f>
        <v/>
      </c>
      <c r="D721" s="7">
        <f>IFERROR(__xludf.DUMMYFUNCTION("""COMPUTED_VALUE"""),"No task description")</f>
        <v/>
      </c>
      <c r="E72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21" s="7" t="n"/>
      <c r="G721" s="8" t="n">
        <v>0</v>
      </c>
      <c r="H721" s="8" t="n">
        <v>0</v>
      </c>
      <c r="I721" s="8" t="n">
        <v>0</v>
      </c>
      <c r="J721" s="8" t="n">
        <v>1</v>
      </c>
      <c r="K721" s="9" t="n">
        <v>0</v>
      </c>
      <c r="L721" s="9" t="n">
        <v>0</v>
      </c>
      <c r="M721" s="9" t="n">
        <v>0</v>
      </c>
      <c r="N721" s="9" t="n">
        <v>1</v>
      </c>
      <c r="O721" s="10" t="n">
        <v>0</v>
      </c>
      <c r="P721" s="10" t="n">
        <v>0</v>
      </c>
      <c r="Q721" s="10" t="n">
        <v>0</v>
      </c>
      <c r="R721" s="10" t="n">
        <v>1</v>
      </c>
      <c r="S721" s="10" t="n">
        <v>1</v>
      </c>
    </row>
    <row r="722" ht="409.5" customHeight="1">
      <c r="A722" s="6">
        <f>IFERROR(__xludf.DUMMYFUNCTION("""COMPUTED_VALUE"""),"Why I don't prefer vinegar on my fries")</f>
        <v/>
      </c>
      <c r="B722" s="6">
        <f>IFERROR(__xludf.DUMMYFUNCTION("""COMPUTED_VALUE"""),"Space")</f>
        <v/>
      </c>
      <c r="C722" s="6">
        <f>IFERROR(__xludf.DUMMYFUNCTION("""COMPUTED_VALUE"""),"Discussion")</f>
        <v/>
      </c>
      <c r="D722" s="7">
        <f>IFERROR(__xludf.DUMMYFUNCTION("""COMPUTED_VALUE"""),"&lt;p&gt;Use the Padlet to discuss your investigation and your results. Review your original hypothesis and post the modified hypothesis if you rewrote it. &lt;/p&gt;&lt;p&gt;&lt;br&gt;&lt;/p&gt;&lt;p&gt;Use your new knowledge to connect this information to the original question &lt;/p&gt;&lt;p&gt;""Ho"&amp;"w do you think the statue came to be like this?""&lt;/p&gt;&lt;p&gt;&lt;br&gt;&lt;/p&gt;&lt;p&gt;Now expand your discussion to research the BIG question&lt;/p&gt;&lt;p&gt;""Earth is a system of systems which influences and is influenced by life on the planet"".&lt;/p&gt;&lt;p&gt;&lt;br&gt;&lt;/p&gt;&lt;p&gt;And finally what d"&amp;"id your team observe about the data submitted by each group&lt;/p&gt;&lt;p&gt;&lt;br&gt;&lt;/p&gt;&lt;p&gt;Add pictures, posters, text, your investigation video to support your discussion. &lt;/p&gt;")</f>
        <v/>
      </c>
      <c r="E722" s="7">
        <f>IFERROR(__xludf.DUMMYFUNCTION("""COMPUTED_VALUE"""),"No artifact embedded")</f>
        <v/>
      </c>
      <c r="F722" s="7" t="n"/>
      <c r="G722" s="8" t="n">
        <v>0</v>
      </c>
      <c r="H722" s="8" t="n">
        <v>0</v>
      </c>
      <c r="I722" s="8" t="n">
        <v>0</v>
      </c>
      <c r="J722" s="8" t="n">
        <v>1</v>
      </c>
      <c r="K722" s="9" t="n">
        <v>0</v>
      </c>
      <c r="L722" s="9" t="n">
        <v>0</v>
      </c>
      <c r="M722" s="9" t="n">
        <v>0</v>
      </c>
      <c r="N722" s="9" t="n">
        <v>1</v>
      </c>
      <c r="O722" s="10" t="n">
        <v>0</v>
      </c>
      <c r="P722" s="10" t="n">
        <v>1</v>
      </c>
      <c r="Q722" s="10" t="n">
        <v>1</v>
      </c>
      <c r="R722" s="10" t="n">
        <v>0</v>
      </c>
      <c r="S722" s="10" t="n">
        <v>1</v>
      </c>
    </row>
    <row r="723" ht="49" customHeight="1">
      <c r="A723" s="6">
        <f>IFERROR(__xludf.DUMMYFUNCTION("""COMPUTED_VALUE"""),"Why I don't prefer vinegar on my fries")</f>
        <v/>
      </c>
      <c r="B723" s="6">
        <f>IFERROR(__xludf.DUMMYFUNCTION("""COMPUTED_VALUE"""),"Application")</f>
        <v/>
      </c>
      <c r="C723" s="6">
        <f>IFERROR(__xludf.DUMMYFUNCTION("""COMPUTED_VALUE"""),"Padlet")</f>
        <v/>
      </c>
      <c r="D723" s="7">
        <f>IFERROR(__xludf.DUMMYFUNCTION("""COMPUTED_VALUE"""),"No task description")</f>
        <v/>
      </c>
      <c r="E723" s="7">
        <f>IFERROR(__xludf.DUMMYFUNCTION("""COMPUTED_VALUE"""),"Golabz app/lab: Wrong URL. Impossible to access it")</f>
        <v/>
      </c>
      <c r="F723" s="7" t="n"/>
      <c r="G723" s="8" t="n">
        <v>0</v>
      </c>
      <c r="H723" s="8" t="n">
        <v>0</v>
      </c>
      <c r="I723" s="8" t="n">
        <v>0</v>
      </c>
      <c r="J723" s="8" t="n">
        <v>0</v>
      </c>
      <c r="K723" s="9" t="n">
        <v>0</v>
      </c>
      <c r="L723" s="9" t="n">
        <v>0</v>
      </c>
      <c r="M723" s="9" t="n">
        <v>0</v>
      </c>
      <c r="N723" s="9" t="n">
        <v>0</v>
      </c>
      <c r="O723" s="10" t="n">
        <v>0</v>
      </c>
      <c r="P723" s="10" t="n">
        <v>0</v>
      </c>
      <c r="Q723" s="10" t="n">
        <v>0</v>
      </c>
      <c r="R723" s="10" t="n">
        <v>0</v>
      </c>
      <c r="S723" s="10" t="n">
        <v>0</v>
      </c>
    </row>
    <row r="724" ht="307" customHeight="1">
      <c r="A724" s="6">
        <f>IFERROR(__xludf.DUMMYFUNCTION("""COMPUTED_VALUE"""),"Electrical Circuits (Cooperative Jigsaw Scenario)")</f>
        <v/>
      </c>
      <c r="B724" s="6">
        <f>IFERROR(__xludf.DUMMYFUNCTION("""COMPUTED_VALUE"""),"Space")</f>
        <v/>
      </c>
      <c r="C724" s="6">
        <f>IFERROR(__xludf.DUMMYFUNCTION("""COMPUTED_VALUE"""),"Orientation")</f>
        <v/>
      </c>
      <c r="D724" s="7">
        <f>IFERROR(__xludf.DUMMYFUNCTION("""COMPUTED_VALUE"""),"&lt;p&gt;Dear students, &lt;/p&gt;&lt;p&gt;In this learning environment you will work in groups to learn about electrical circuits. Each member of your group will gain important information, necessary for the final understanding of your group. Follow carefully the instruct"&amp;"ions in the learning environment and ask your teacher for further support whenever needed.&lt;/p&gt;")</f>
        <v/>
      </c>
      <c r="E724" s="7">
        <f>IFERROR(__xludf.DUMMYFUNCTION("""COMPUTED_VALUE"""),"No artifact embedded")</f>
        <v/>
      </c>
      <c r="F724" s="7" t="n"/>
      <c r="G724" s="8" t="n">
        <v>0</v>
      </c>
      <c r="H724" s="8" t="n">
        <v>0</v>
      </c>
      <c r="I724" s="8" t="n">
        <v>0</v>
      </c>
      <c r="J724" s="8" t="n">
        <v>1</v>
      </c>
      <c r="K724" s="9" t="n">
        <v>0</v>
      </c>
      <c r="L724" s="9" t="n">
        <v>0</v>
      </c>
      <c r="M724" s="9" t="n">
        <v>1</v>
      </c>
      <c r="N724" s="9" t="n">
        <v>0</v>
      </c>
      <c r="O724" s="10" t="n">
        <v>1</v>
      </c>
      <c r="P724" s="10" t="n">
        <v>0</v>
      </c>
      <c r="Q724" s="10" t="n">
        <v>0</v>
      </c>
      <c r="R724" s="10" t="n">
        <v>0</v>
      </c>
      <c r="S724" s="10" t="n">
        <v>1</v>
      </c>
    </row>
    <row r="725" ht="274" customHeight="1">
      <c r="A725" s="6">
        <f>IFERROR(__xludf.DUMMYFUNCTION("""COMPUTED_VALUE"""),"Electrical Circuits (Cooperative Jigsaw Scenario)")</f>
        <v/>
      </c>
      <c r="B725" s="6">
        <f>IFERROR(__xludf.DUMMYFUNCTION("""COMPUTED_VALUE"""),"Resource")</f>
        <v/>
      </c>
      <c r="C725" s="6">
        <f>IFERROR(__xludf.DUMMYFUNCTION("""COMPUTED_VALUE"""),"Battery-wire-bulb.png")</f>
        <v/>
      </c>
      <c r="D725" s="7">
        <f>IFERROR(__xludf.DUMMYFUNCTION("""COMPUTED_VALUE"""),"&lt;p&gt;&lt;strong&gt;Step 1&lt;/strong&gt;&lt;/p&gt;&lt;p&gt;Can you make a bulb light up using a battery and a wire? Could this be possible? Discuss in your group and if necessary, ask your teacher to provide you with real materials, in order to test if you can create a circuit. Th"&amp;"en, write an operational definition for the simple electrical circuit.&lt;/p&gt;")</f>
        <v/>
      </c>
      <c r="E725" s="7">
        <f>IFERROR(__xludf.DUMMYFUNCTION("""COMPUTED_VALUE"""),"image/png – A high-quality image with support for transparency, often used in design and web applications.")</f>
        <v/>
      </c>
      <c r="F725" s="7" t="n"/>
      <c r="G725" s="8" t="n">
        <v>0</v>
      </c>
      <c r="H725" s="8" t="n">
        <v>0</v>
      </c>
      <c r="I725" s="8" t="n">
        <v>0</v>
      </c>
      <c r="J725" s="8" t="n">
        <v>1</v>
      </c>
      <c r="K725" s="9" t="n">
        <v>0</v>
      </c>
      <c r="L725" s="9" t="n">
        <v>0</v>
      </c>
      <c r="M725" s="9" t="n">
        <v>0</v>
      </c>
      <c r="N725" s="9" t="n">
        <v>1</v>
      </c>
      <c r="O725" s="10" t="n">
        <v>1</v>
      </c>
      <c r="P725" s="10" t="n">
        <v>0</v>
      </c>
      <c r="Q725" s="10" t="n">
        <v>0</v>
      </c>
      <c r="R725" s="10" t="n">
        <v>0</v>
      </c>
      <c r="S725" s="10" t="n">
        <v>1</v>
      </c>
    </row>
    <row r="726" ht="329" customHeight="1">
      <c r="A726" s="6">
        <f>IFERROR(__xludf.DUMMYFUNCTION("""COMPUTED_VALUE"""),"Electrical Circuits (Cooperative Jigsaw Scenario)")</f>
        <v/>
      </c>
      <c r="B726" s="6">
        <f>IFERROR(__xludf.DUMMYFUNCTION("""COMPUTED_VALUE"""),"Application")</f>
        <v/>
      </c>
      <c r="C726" s="6">
        <f>IFERROR(__xludf.DUMMYFUNCTION("""COMPUTED_VALUE"""),"Input Box")</f>
        <v/>
      </c>
      <c r="D726" s="7">
        <f>IFERROR(__xludf.DUMMYFUNCTION("""COMPUTED_VALUE"""),"&lt;p&gt;Our group definition of the electrical circuit: &lt;/p&gt;")</f>
        <v/>
      </c>
      <c r="E7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6" s="7" t="n"/>
      <c r="G726" s="8" t="n">
        <v>0</v>
      </c>
      <c r="H726" s="8" t="n">
        <v>0</v>
      </c>
      <c r="I726" s="8" t="n">
        <v>0</v>
      </c>
      <c r="J726" s="8" t="n">
        <v>1</v>
      </c>
      <c r="K726" s="9" t="n">
        <v>0</v>
      </c>
      <c r="L726" s="9" t="n">
        <v>0</v>
      </c>
      <c r="M726" s="9" t="n">
        <v>0</v>
      </c>
      <c r="N726" s="9" t="n">
        <v>1</v>
      </c>
      <c r="O726" s="10" t="n">
        <v>1</v>
      </c>
      <c r="P726" s="10" t="n">
        <v>0</v>
      </c>
      <c r="Q726" s="10" t="n">
        <v>0</v>
      </c>
      <c r="R726" s="10" t="n">
        <v>0</v>
      </c>
      <c r="S726" s="10" t="n">
        <v>1</v>
      </c>
    </row>
    <row r="727" ht="409.5" customHeight="1">
      <c r="A727" s="6">
        <f>IFERROR(__xludf.DUMMYFUNCTION("""COMPUTED_VALUE"""),"Electrical Circuits (Cooperative Jigsaw Scenario)")</f>
        <v/>
      </c>
      <c r="B727" s="6">
        <f>IFERROR(__xludf.DUMMYFUNCTION("""COMPUTED_VALUE"""),"Resource")</f>
        <v/>
      </c>
      <c r="C727" s="6">
        <f>IFERROR(__xludf.DUMMYFUNCTION("""COMPUTED_VALUE"""),"Read the following text to check if your definition is in line with the scientific definition of the electrical circuit.graasp")</f>
        <v/>
      </c>
      <c r="D727" s="7">
        <f>IFERROR(__xludf.DUMMYFUNCTION("""COMPUTED_VALUE"""),"&lt;p&gt;In order for a bulb to light up, we need to have a wire, a battery, and a bulb connected in a proper way to create a close circuit. This arrangement is called a “&lt;strong&gt;simple electrical circuit&lt;/strong&gt;"". Each of the three electrical elements of the"&amp;" simple electric circuit (namely, the wire, the battery, and the bulb) has two electrical ends, which are called “&lt;strong&gt;conductive parts&lt;/strong&gt;"". Conductive parts must connect in series in a closed circular arrangement. This means that one of the con"&amp;"ductive parts of the battery needs to connect to a conductive part of the bulb. The free part of the bulb connects to an end of the wire and the free end of the wire connects to the free part of the battery. The battery creates a&lt;strong&gt; potential differe"&amp;"nce&lt;/strong&gt;, which is called “&lt;strong&gt;voltage&lt;/strong&gt;"", and forces electrons to flow from the negative to the positive side of the battery. More specifically, the chemical reactions in a battery cause a buildup of electrons at the negative pole of the "&amp;"battery and thus there is an electrical difference between the two sides (the negative and the positive). The electrons want to move to a place with fewer electrons, but this cannot be done through the battery. When a circuit is closed (that means the two"&amp;" sides of a battery are connected with a conductive material) electrons find a way to move from the negative to the positive side.&lt;/p&gt;")</f>
        <v/>
      </c>
      <c r="E727" s="7">
        <f>IFERROR(__xludf.DUMMYFUNCTION("""COMPUTED_VALUE"""),"No artifact embedded")</f>
        <v/>
      </c>
      <c r="F727" s="7" t="n"/>
      <c r="G727" s="8" t="n">
        <v>1</v>
      </c>
      <c r="H727" s="8" t="n">
        <v>0</v>
      </c>
      <c r="I727" s="8" t="n">
        <v>0</v>
      </c>
      <c r="J727" s="8" t="n">
        <v>0</v>
      </c>
      <c r="K727" s="9" t="n">
        <v>1</v>
      </c>
      <c r="L727" s="9" t="n">
        <v>0</v>
      </c>
      <c r="M727" s="9" t="n">
        <v>0</v>
      </c>
      <c r="N727" s="9" t="n">
        <v>0</v>
      </c>
      <c r="O727" s="10" t="n">
        <v>1</v>
      </c>
      <c r="P727" s="10" t="n">
        <v>0</v>
      </c>
      <c r="Q727" s="10" t="n">
        <v>0</v>
      </c>
      <c r="R727" s="10" t="n">
        <v>0</v>
      </c>
      <c r="S727" s="10" t="n">
        <v>0</v>
      </c>
    </row>
    <row r="728" ht="121" customHeight="1">
      <c r="A728" s="6">
        <f>IFERROR(__xludf.DUMMYFUNCTION("""COMPUTED_VALUE"""),"Electrical Circuits (Cooperative Jigsaw Scenario)")</f>
        <v/>
      </c>
      <c r="B728" s="6">
        <f>IFERROR(__xludf.DUMMYFUNCTION("""COMPUTED_VALUE"""),"Resource")</f>
        <v/>
      </c>
      <c r="C728" s="6">
        <f>IFERROR(__xludf.DUMMYFUNCTION("""COMPUTED_VALUE"""),"Types of Electrical Circuits")</f>
        <v/>
      </c>
      <c r="D728" s="7">
        <f>IFERROR(__xludf.DUMMYFUNCTION("""COMPUTED_VALUE"""),"&lt;p&gt;&lt;strong&gt;Step 2&lt;/strong&gt;&lt;/p&gt;&lt;p&gt;Watch the following video to learn more about the type of electrical circuits.&lt;/p&gt;")</f>
        <v/>
      </c>
      <c r="E728" s="7">
        <f>IFERROR(__xludf.DUMMYFUNCTION("""COMPUTED_VALUE"""),"youtube.com: A widely known video-sharing platform where users can watch videos on a vast array of topics, including educational content.")</f>
        <v/>
      </c>
      <c r="F728" s="7" t="n"/>
      <c r="G728" s="8" t="n">
        <v>1</v>
      </c>
      <c r="H728" s="8" t="n">
        <v>0</v>
      </c>
      <c r="I728" s="8" t="n">
        <v>0</v>
      </c>
      <c r="J728" s="8" t="n">
        <v>0</v>
      </c>
      <c r="K728" s="9" t="n">
        <v>1</v>
      </c>
      <c r="L728" s="9" t="n">
        <v>0</v>
      </c>
      <c r="M728" s="9" t="n">
        <v>0</v>
      </c>
      <c r="N728" s="9" t="n">
        <v>0</v>
      </c>
      <c r="O728" s="10" t="n">
        <v>1</v>
      </c>
      <c r="P728" s="10" t="n">
        <v>0</v>
      </c>
      <c r="Q728" s="10" t="n">
        <v>0</v>
      </c>
      <c r="R728" s="10" t="n">
        <v>0</v>
      </c>
      <c r="S728" s="10" t="n">
        <v>0</v>
      </c>
    </row>
    <row r="729" ht="409.5" customHeight="1">
      <c r="A729" s="6">
        <f>IFERROR(__xludf.DUMMYFUNCTION("""COMPUTED_VALUE"""),"Electrical Circuits (Cooperative Jigsaw Scenario)")</f>
        <v/>
      </c>
      <c r="B729" s="6">
        <f>IFERROR(__xludf.DUMMYFUNCTION("""COMPUTED_VALUE"""),"Application")</f>
        <v/>
      </c>
      <c r="C729" s="6">
        <f>IFERROR(__xludf.DUMMYFUNCTION("""COMPUTED_VALUE"""),"Electrical Circuit Lab")</f>
        <v/>
      </c>
      <c r="D729" s="7">
        <f>IFERROR(__xludf.DUMMYFUNCTION("""COMPUTED_VALUE"""),"&lt;p&gt;&lt;strong&gt;Step 3&lt;/strong&gt;&lt;/p&gt;&lt;p&gt;The virtual lab below is the one that you will use in the investigation phase of this lesson to conduct experiments to learn more about electrical circuits. Your teacher will demonstrate how the lab works. After the demons"&amp;"tration create three circuits in collaboration with your peers: a simple electrical circuit, a circuit with two bulbs connected in series and a circuit with two bulbs connected in parallel.&lt;/p&gt;")</f>
        <v/>
      </c>
      <c r="E729"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29" s="7" t="n"/>
      <c r="G729" s="8" t="n">
        <v>0</v>
      </c>
      <c r="H729" s="8" t="n">
        <v>0</v>
      </c>
      <c r="I729" s="8" t="n">
        <v>0</v>
      </c>
      <c r="J729" s="8" t="n">
        <v>1</v>
      </c>
      <c r="K729" s="9" t="n">
        <v>0</v>
      </c>
      <c r="L729" s="9" t="n">
        <v>0</v>
      </c>
      <c r="M729" s="9" t="n">
        <v>0</v>
      </c>
      <c r="N729" s="9" t="n">
        <v>1</v>
      </c>
      <c r="O729" s="10" t="n">
        <v>1</v>
      </c>
      <c r="P729" s="10" t="n">
        <v>0</v>
      </c>
      <c r="Q729" s="10" t="n">
        <v>1</v>
      </c>
      <c r="R729" s="10" t="n">
        <v>0</v>
      </c>
      <c r="S729" s="10" t="n">
        <v>1</v>
      </c>
    </row>
    <row r="730" ht="145" customHeight="1">
      <c r="A730" s="6">
        <f>IFERROR(__xludf.DUMMYFUNCTION("""COMPUTED_VALUE"""),"Electrical Circuits (Cooperative Jigsaw Scenario)")</f>
        <v/>
      </c>
      <c r="B730" s="6">
        <f>IFERROR(__xludf.DUMMYFUNCTION("""COMPUTED_VALUE"""),"Resource")</f>
        <v/>
      </c>
      <c r="C730" s="6">
        <f>IFERROR(__xludf.DUMMYFUNCTION("""COMPUTED_VALUE"""),"End of the phase.graasp")</f>
        <v/>
      </c>
      <c r="D730" s="7">
        <f>IFERROR(__xludf.DUMMYFUNCTION("""COMPUTED_VALUE"""),"&lt;p style=""text-align: center;""&gt;&lt;strong&gt;If all the members of your group are familiar with the Electrical circuit lab then move to the next phase.&lt;/strong&gt;&lt;/p&gt;")</f>
        <v/>
      </c>
      <c r="E730" s="7">
        <f>IFERROR(__xludf.DUMMYFUNCTION("""COMPUTED_VALUE"""),"No artifact embedded")</f>
        <v/>
      </c>
      <c r="F730" s="7" t="n"/>
      <c r="G730" s="8" t="n">
        <v>0</v>
      </c>
      <c r="H730" s="8" t="n">
        <v>0</v>
      </c>
      <c r="I730" s="8" t="n">
        <v>0</v>
      </c>
      <c r="J730" s="8" t="n">
        <v>0</v>
      </c>
      <c r="K730" s="9" t="n">
        <v>0</v>
      </c>
      <c r="L730" s="9" t="n">
        <v>0</v>
      </c>
      <c r="M730" s="9" t="n">
        <v>0</v>
      </c>
      <c r="N730" s="9" t="n">
        <v>0</v>
      </c>
      <c r="O730" s="10" t="n">
        <v>0</v>
      </c>
      <c r="P730" s="10" t="n">
        <v>0</v>
      </c>
      <c r="Q730" s="10" t="n">
        <v>0</v>
      </c>
      <c r="R730" s="10" t="n">
        <v>0</v>
      </c>
      <c r="S730" s="10" t="n">
        <v>0</v>
      </c>
    </row>
    <row r="731" ht="409.5" customHeight="1">
      <c r="A731" s="6">
        <f>IFERROR(__xludf.DUMMYFUNCTION("""COMPUTED_VALUE"""),"Electrical Circuits (Cooperative Jigsaw Scenario)")</f>
        <v/>
      </c>
      <c r="B731" s="6">
        <f>IFERROR(__xludf.DUMMYFUNCTION("""COMPUTED_VALUE"""),"Space")</f>
        <v/>
      </c>
      <c r="C731" s="6">
        <f>IFERROR(__xludf.DUMMYFUNCTION("""COMPUTED_VALUE"""),"Hypothesis")</f>
        <v/>
      </c>
      <c r="D731" s="7">
        <f>IFERROR(__xludf.DUMMYFUNCTION("""COMPUTED_VALUE"""),"&lt;p&gt;Welcome to the Hypothesis phase. Your goal here is to &lt;strong&gt;formulate specific hypotheses&lt;/strong&gt; to be tested later in the virtual lab. Since the topic of your study has several aspects to be tested, you have to discuss them with your group members"&amp;" and then split the tasks. The exciting thing is that each member of your group will have the opportunity to collaborate with other peers. Follow carefully the steps below and don’t forget that your teacher can help you any time you ask for it.&lt;/p&gt;&lt;p&gt;&lt;br&gt;"&amp;"&lt;/p&gt;&lt;p&gt;&lt;strong&gt;Step 1&lt;/strong&gt;&lt;/p&gt;&lt;p&gt;Discuss in your group the following questions: &lt;/p&gt;&lt;p&gt;- In how many ways elements can be connected with a battery in order to create a circuit? &lt;/p&gt;&lt;p&gt;- What happens if we continue adding elements on a circuit?&lt;/p&gt;&lt;p&gt;-"&amp;" Does the electric current change each time we add an element on a circuit? &lt;/p&gt;&lt;p&gt;- What happens to the electric current if we increase the voltage?&lt;/p&gt;")</f>
        <v/>
      </c>
      <c r="E731" s="7">
        <f>IFERROR(__xludf.DUMMYFUNCTION("""COMPUTED_VALUE"""),"No artifact embedded")</f>
        <v/>
      </c>
      <c r="F731" s="7" t="n"/>
      <c r="G731" s="8" t="n">
        <v>0</v>
      </c>
      <c r="H731" s="8" t="n">
        <v>0</v>
      </c>
      <c r="I731" s="8" t="n">
        <v>0</v>
      </c>
      <c r="J731" s="8" t="n">
        <v>1</v>
      </c>
      <c r="K731" s="9" t="n">
        <v>0</v>
      </c>
      <c r="L731" s="9" t="n">
        <v>0</v>
      </c>
      <c r="M731" s="9" t="n">
        <v>0</v>
      </c>
      <c r="N731" s="9" t="n">
        <v>1</v>
      </c>
      <c r="O731" s="10" t="n">
        <v>0</v>
      </c>
      <c r="P731" s="10" t="n">
        <v>1</v>
      </c>
      <c r="Q731" s="10" t="n">
        <v>1</v>
      </c>
      <c r="R731" s="10" t="n">
        <v>0</v>
      </c>
      <c r="S731" s="10" t="n">
        <v>1</v>
      </c>
    </row>
    <row r="732" ht="362" customHeight="1">
      <c r="A732" s="6">
        <f>IFERROR(__xludf.DUMMYFUNCTION("""COMPUTED_VALUE"""),"Electrical Circuits (Cooperative Jigsaw Scenario)")</f>
        <v/>
      </c>
      <c r="B732" s="6">
        <f>IFERROR(__xludf.DUMMYFUNCTION("""COMPUTED_VALUE"""),"Application")</f>
        <v/>
      </c>
      <c r="C732" s="6">
        <f>IFERROR(__xludf.DUMMYFUNCTION("""COMPUTED_VALUE"""),"Input Box")</f>
        <v/>
      </c>
      <c r="D732" s="7">
        <f>IFERROR(__xludf.DUMMYFUNCTION("""COMPUTED_VALUE"""),"&lt;p&gt;&lt;strong&gt;Step 2&lt;/strong&gt;&lt;/p&gt;&lt;p&gt;&lt;strong&gt;&lt;span&gt;&lt;/span&gt;&lt;/strong&gt;If you are struggling to give clear answers to the above questions do not worry. At the end of the lesson your group will be able to provide clear and evidence-based answers. For now, the only"&amp;" thing that you need to do is to write down the main concepts that you think are related to the electrical circuits.&lt;/p&gt;&lt;p&gt;&lt;br&gt;&lt;/p&gt;&lt;p&gt;&lt;span&gt;&lt;/span&gt;&lt;strong&gt;Main concepts&lt;/strong&gt;&lt;/p&gt;")</f>
        <v/>
      </c>
      <c r="E7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32" s="7" t="n"/>
      <c r="G732" s="8" t="n">
        <v>0</v>
      </c>
      <c r="H732" s="8" t="n">
        <v>0</v>
      </c>
      <c r="I732" s="8" t="n">
        <v>0</v>
      </c>
      <c r="J732" s="8" t="n">
        <v>1</v>
      </c>
      <c r="K732" s="9" t="n">
        <v>0</v>
      </c>
      <c r="L732" s="9" t="n">
        <v>0</v>
      </c>
      <c r="M732" s="9" t="n">
        <v>0</v>
      </c>
      <c r="N732" s="9" t="n">
        <v>1</v>
      </c>
      <c r="O732" s="10" t="n">
        <v>0</v>
      </c>
      <c r="P732" s="10" t="n">
        <v>1</v>
      </c>
      <c r="Q732" s="10" t="n">
        <v>0</v>
      </c>
      <c r="R732" s="10" t="n">
        <v>0</v>
      </c>
      <c r="S732" s="10" t="n">
        <v>1</v>
      </c>
    </row>
    <row r="733" ht="409.5" customHeight="1">
      <c r="A733" s="6">
        <f>IFERROR(__xludf.DUMMYFUNCTION("""COMPUTED_VALUE"""),"Electrical Circuits (Cooperative Jigsaw Scenario)")</f>
        <v/>
      </c>
      <c r="B733" s="6">
        <f>IFERROR(__xludf.DUMMYFUNCTION("""COMPUTED_VALUE"""),"Resource")</f>
        <v/>
      </c>
      <c r="C733" s="6">
        <f>IFERROR(__xludf.DUMMYFUNCTION("""COMPUTED_VALUE"""),"Table.graasp")</f>
        <v/>
      </c>
      <c r="D733" s="7">
        <f>IFERROR(__xludf.DUMMYFUNCTION("""COMPUTED_VALUE"""),"&lt;p&gt;&lt;strong&gt;Step 3&lt;/strong&gt;&lt;/p&gt;&lt;p&gt;It is time to split the tasks between your group members! To do so you have to decide what aspects of the phenomenon each one of you will deal with. Then, based on the distribution of the tasks, each one of you will have t"&amp;"o collaborate online with members of the other groups who will investigate the same thing. Your new groups are called &lt;strong&gt;expert groups&lt;/strong&gt;. For the online communication of your expert groups you will enter the respective chat room in the tool at"&amp;" the right side of the screen by typing the room number, as shown in the table below. As soon as you do this you can move to the next step.&lt;/p&gt;")</f>
        <v/>
      </c>
      <c r="E733" s="7">
        <f>IFERROR(__xludf.DUMMYFUNCTION("""COMPUTED_VALUE"""),"No artifact embedded")</f>
        <v/>
      </c>
      <c r="F733" s="7" t="n"/>
      <c r="G733" s="8" t="n">
        <v>0</v>
      </c>
      <c r="H733" s="8" t="n">
        <v>0</v>
      </c>
      <c r="I733" s="8" t="n">
        <v>0</v>
      </c>
      <c r="J733" s="8" t="n">
        <v>1</v>
      </c>
      <c r="K733" s="9" t="n">
        <v>0</v>
      </c>
      <c r="L733" s="9" t="n">
        <v>0</v>
      </c>
      <c r="M733" s="9" t="n">
        <v>1</v>
      </c>
      <c r="N733" s="9" t="n">
        <v>0</v>
      </c>
      <c r="O733" s="10" t="n">
        <v>0</v>
      </c>
      <c r="P733" s="10" t="n">
        <v>0</v>
      </c>
      <c r="Q733" s="10" t="n">
        <v>1</v>
      </c>
      <c r="R733" s="10" t="n">
        <v>0</v>
      </c>
      <c r="S733" s="10" t="n">
        <v>1</v>
      </c>
    </row>
    <row r="734" ht="409.5" customHeight="1">
      <c r="A734" s="6">
        <f>IFERROR(__xludf.DUMMYFUNCTION("""COMPUTED_VALUE"""),"Electrical Circuits (Cooperative Jigsaw Scenario)")</f>
        <v/>
      </c>
      <c r="B734" s="6">
        <f>IFERROR(__xludf.DUMMYFUNCTION("""COMPUTED_VALUE"""),"Resource")</f>
        <v/>
      </c>
      <c r="C734" s="6">
        <f>IFERROR(__xludf.DUMMYFUNCTION("""COMPUTED_VALUE"""),"Step 4.graasp")</f>
        <v/>
      </c>
      <c r="D734" s="7">
        <f>IFERROR(__xludf.DUMMYFUNCTION("""COMPUTED_VALUE"""),"&lt;p&gt;&lt;strong&gt;Step 4&lt;/strong&gt;&lt;/p&gt;&lt;p&gt;In the Hypothesis tool below you will formulate &lt;strong&gt;your expert group hypothesis&lt;/strong&gt;. Discuss about this task with your expert group members, in your Expert Group chat room, and then formulate the hypothesis agree"&amp;"d during your communication. &lt;/p&gt;&lt;p&gt;If you need help on how to formulate a good hypothesis, read the &lt;strong&gt;Help&lt;/strong&gt; below. If you need help on how to use the Hypothesis tool, open the help button (&lt;strong&gt;?&lt;/strong&gt;) at the bottom side of the tool."&amp;" &lt;br&gt;&lt;/p&gt;")</f>
        <v/>
      </c>
      <c r="E734" s="7">
        <f>IFERROR(__xludf.DUMMYFUNCTION("""COMPUTED_VALUE"""),"No artifact embedded")</f>
        <v/>
      </c>
      <c r="F734" s="7" t="n"/>
      <c r="G734" s="8" t="n">
        <v>0</v>
      </c>
      <c r="H734" s="8" t="n">
        <v>0</v>
      </c>
      <c r="I734" s="8" t="n">
        <v>0</v>
      </c>
      <c r="J734" s="8" t="n">
        <v>1</v>
      </c>
      <c r="K734" s="9" t="n">
        <v>0</v>
      </c>
      <c r="L734" s="9" t="n">
        <v>0</v>
      </c>
      <c r="M734" s="9" t="n">
        <v>0</v>
      </c>
      <c r="N734" s="9" t="n">
        <v>1</v>
      </c>
      <c r="O734" s="10" t="n">
        <v>0</v>
      </c>
      <c r="P734" s="10" t="n">
        <v>1</v>
      </c>
      <c r="Q734" s="10" t="n">
        <v>0</v>
      </c>
      <c r="R734" s="10" t="n">
        <v>0</v>
      </c>
      <c r="S734" s="10" t="n">
        <v>1</v>
      </c>
    </row>
    <row r="735" ht="409.5" customHeight="1">
      <c r="A735" s="6">
        <f>IFERROR(__xludf.DUMMYFUNCTION("""COMPUTED_VALUE"""),"Electrical Circuits (Cooperative Jigsaw Scenario)")</f>
        <v/>
      </c>
      <c r="B735" s="6">
        <f>IFERROR(__xludf.DUMMYFUNCTION("""COMPUTED_VALUE"""),"Resource")</f>
        <v/>
      </c>
      <c r="C735" s="6">
        <f>IFERROR(__xludf.DUMMYFUNCTION("""COMPUTED_VALUE"""),"Help.graasp")</f>
        <v/>
      </c>
      <c r="D735" s="7">
        <f>IFERROR(__xludf.DUMMYFUNCTION("""COMPUTED_VALUE"""),"&lt;ul&gt;&lt;li&gt;A good hypothesis can be formulated in the form of an ""&lt;strong&gt;If ... then...&lt;/strong&gt;"" statement, which will include &lt;strong&gt;one independent variable&lt;/strong&gt; and &lt;strong&gt;at least one dependent variable&lt;/strong&gt;. This is an example of how varia"&amp;"bles are linked in a hypothesis: ""&lt;strong&gt;If the independent variable increases, then the dependent variable decreases.&lt;/strong&gt;""&lt;/li&gt;&lt;li&gt;Remember that a hypothesis might not be confirmed after the experimentation. This is not a problem. Many scientific"&amp;" experiments have led to valuable knowledge because they resulted in the rejection of a hypothesis.&lt;/li&gt;&lt;/ul&gt;")</f>
        <v/>
      </c>
      <c r="E735" s="7">
        <f>IFERROR(__xludf.DUMMYFUNCTION("""COMPUTED_VALUE"""),"No artifact embedded")</f>
        <v/>
      </c>
      <c r="F735" s="7" t="n"/>
      <c r="G735" s="8" t="n">
        <v>1</v>
      </c>
      <c r="H735" s="8" t="n">
        <v>0</v>
      </c>
      <c r="I735" s="8" t="n">
        <v>0</v>
      </c>
      <c r="J735" s="8" t="n">
        <v>0</v>
      </c>
      <c r="K735" s="9" t="n">
        <v>1</v>
      </c>
      <c r="L735" s="9" t="n">
        <v>0</v>
      </c>
      <c r="M735" s="9" t="n">
        <v>0</v>
      </c>
      <c r="N735" s="9" t="n">
        <v>0</v>
      </c>
      <c r="O735" s="10" t="n">
        <v>1</v>
      </c>
      <c r="P735" s="10" t="n">
        <v>1</v>
      </c>
      <c r="Q735" s="10" t="n">
        <v>0</v>
      </c>
      <c r="R735" s="10" t="n">
        <v>0</v>
      </c>
      <c r="S735" s="10" t="n">
        <v>0</v>
      </c>
    </row>
    <row r="736" ht="409.5" customHeight="1">
      <c r="A736" s="6">
        <f>IFERROR(__xludf.DUMMYFUNCTION("""COMPUTED_VALUE"""),"Electrical Circuits (Cooperative Jigsaw Scenario)")</f>
        <v/>
      </c>
      <c r="B736" s="6">
        <f>IFERROR(__xludf.DUMMYFUNCTION("""COMPUTED_VALUE"""),"Application")</f>
        <v/>
      </c>
      <c r="C736" s="6">
        <f>IFERROR(__xludf.DUMMYFUNCTION("""COMPUTED_VALUE"""),"Hypothesis Scratchpad")</f>
        <v/>
      </c>
      <c r="D736" s="7">
        <f>IFERROR(__xludf.DUMMYFUNCTION("""COMPUTED_VALUE"""),"No task description")</f>
        <v/>
      </c>
      <c r="E73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36" s="7" t="n"/>
      <c r="G736" s="8" t="n">
        <v>0</v>
      </c>
      <c r="H736" s="8" t="n">
        <v>0</v>
      </c>
      <c r="I736" s="8" t="n">
        <v>0</v>
      </c>
      <c r="J736" s="8" t="n">
        <v>1</v>
      </c>
      <c r="K736" s="9" t="n">
        <v>0</v>
      </c>
      <c r="L736" s="9" t="n">
        <v>0</v>
      </c>
      <c r="M736" s="9" t="n">
        <v>0</v>
      </c>
      <c r="N736" s="9" t="n">
        <v>1</v>
      </c>
      <c r="O736" s="10" t="n">
        <v>0</v>
      </c>
      <c r="P736" s="10" t="n">
        <v>1</v>
      </c>
      <c r="Q736" s="10" t="n">
        <v>0</v>
      </c>
      <c r="R736" s="10" t="n">
        <v>0</v>
      </c>
      <c r="S736" s="10" t="n">
        <v>1</v>
      </c>
    </row>
    <row r="737" ht="157" customHeight="1">
      <c r="A737" s="6">
        <f>IFERROR(__xludf.DUMMYFUNCTION("""COMPUTED_VALUE"""),"Electrical Circuits (Cooperative Jigsaw Scenario)")</f>
        <v/>
      </c>
      <c r="B737" s="6">
        <f>IFERROR(__xludf.DUMMYFUNCTION("""COMPUTED_VALUE"""),"Resource")</f>
        <v/>
      </c>
      <c r="C737" s="6">
        <f>IFERROR(__xludf.DUMMYFUNCTION("""COMPUTED_VALUE"""),"End of the phase.graasp")</f>
        <v/>
      </c>
      <c r="D737" s="7">
        <f>IFERROR(__xludf.DUMMYFUNCTION("""COMPUTED_VALUE"""),"&lt;p style=""text-align: center;""&gt;&lt;strong&gt;If you formulated your expert group hypothesis, move to the next phase to continue your expert group work.&lt;/strong&gt;&lt;/p&gt;")</f>
        <v/>
      </c>
      <c r="E737" s="7">
        <f>IFERROR(__xludf.DUMMYFUNCTION("""COMPUTED_VALUE"""),"No artifact embedded")</f>
        <v/>
      </c>
      <c r="F737" s="7" t="n"/>
      <c r="G737" s="8" t="n">
        <v>0</v>
      </c>
      <c r="H737" s="8" t="n">
        <v>0</v>
      </c>
      <c r="I737" s="8" t="n">
        <v>0</v>
      </c>
      <c r="J737" s="8" t="n">
        <v>0</v>
      </c>
      <c r="K737" s="9" t="n">
        <v>0</v>
      </c>
      <c r="L737" s="9" t="n">
        <v>0</v>
      </c>
      <c r="M737" s="9" t="n">
        <v>0</v>
      </c>
      <c r="N737" s="9" t="n">
        <v>0</v>
      </c>
      <c r="O737" s="10" t="n">
        <v>0</v>
      </c>
      <c r="P737" s="10" t="n">
        <v>0</v>
      </c>
      <c r="Q737" s="10" t="n">
        <v>0</v>
      </c>
      <c r="R737" s="10" t="n">
        <v>0</v>
      </c>
      <c r="S737" s="10" t="n">
        <v>0</v>
      </c>
    </row>
    <row r="738" ht="263" customHeight="1">
      <c r="A738" s="6">
        <f>IFERROR(__xludf.DUMMYFUNCTION("""COMPUTED_VALUE"""),"Electrical Circuits (Cooperative Jigsaw Scenario)")</f>
        <v/>
      </c>
      <c r="B738" s="6">
        <f>IFERROR(__xludf.DUMMYFUNCTION("""COMPUTED_VALUE"""),"Space")</f>
        <v/>
      </c>
      <c r="C738" s="6">
        <f>IFERROR(__xludf.DUMMYFUNCTION("""COMPUTED_VALUE"""),"Experimentation")</f>
        <v/>
      </c>
      <c r="D738" s="7">
        <f>IFERROR(__xludf.DUMMYFUNCTION("""COMPUTED_VALUE"""),"&lt;p&gt;Welcome to the Investigation phase! In this phase you will &lt;strong&gt;test your expert group hypothesis &lt;/strong&gt;by using the virtual lab of our lesson. You will undertake this task in collaboration with the members of your expert group, so do not forget "&amp;"to use the tool for online communication.&lt;/p&gt;")</f>
        <v/>
      </c>
      <c r="E738" s="7">
        <f>IFERROR(__xludf.DUMMYFUNCTION("""COMPUTED_VALUE"""),"No artifact embedded")</f>
        <v/>
      </c>
      <c r="F738" s="7" t="n"/>
      <c r="G738" s="8" t="n">
        <v>0</v>
      </c>
      <c r="H738" s="8" t="n">
        <v>0</v>
      </c>
      <c r="I738" s="8" t="n">
        <v>0</v>
      </c>
      <c r="J738" s="8" t="n">
        <v>1</v>
      </c>
      <c r="K738" s="9" t="n">
        <v>0</v>
      </c>
      <c r="L738" s="9" t="n">
        <v>0</v>
      </c>
      <c r="M738" s="9" t="n">
        <v>1</v>
      </c>
      <c r="N738" s="9" t="n">
        <v>0</v>
      </c>
      <c r="O738" s="10" t="n">
        <v>0</v>
      </c>
      <c r="P738" s="10" t="n">
        <v>0</v>
      </c>
      <c r="Q738" s="10" t="n">
        <v>1</v>
      </c>
      <c r="R738" s="10" t="n">
        <v>0</v>
      </c>
      <c r="S738" s="10" t="n">
        <v>1</v>
      </c>
    </row>
    <row r="739" ht="351" customHeight="1">
      <c r="A739" s="6">
        <f>IFERROR(__xludf.DUMMYFUNCTION("""COMPUTED_VALUE"""),"Electrical Circuits (Cooperative Jigsaw Scenario)")</f>
        <v/>
      </c>
      <c r="B739" s="6">
        <f>IFERROR(__xludf.DUMMYFUNCTION("""COMPUTED_VALUE"""),"Application")</f>
        <v/>
      </c>
      <c r="C739" s="6">
        <f>IFERROR(__xludf.DUMMYFUNCTION("""COMPUTED_VALUE"""),"Viewer")</f>
        <v/>
      </c>
      <c r="D739" s="7">
        <f>IFERROR(__xludf.DUMMYFUNCTION("""COMPUTED_VALUE"""),"&lt;p&gt;&lt;strong&gt;Step 1&lt;/strong&gt;&lt;/p&gt;&lt;p&gt;Below you can see your expert group hypothesis. Discuss with the members of your expert group about the experiment you need to carry out in order to test your hypothesis.&lt;/p&gt;")</f>
        <v/>
      </c>
      <c r="E739"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739" s="7" t="n"/>
      <c r="G739" s="8" t="n">
        <v>0</v>
      </c>
      <c r="H739" s="8" t="n">
        <v>0</v>
      </c>
      <c r="I739" s="8" t="n">
        <v>0</v>
      </c>
      <c r="J739" s="8" t="n">
        <v>1</v>
      </c>
      <c r="K739" s="9" t="n">
        <v>0</v>
      </c>
      <c r="L739" s="9" t="n">
        <v>0</v>
      </c>
      <c r="M739" s="9" t="n">
        <v>1</v>
      </c>
      <c r="N739" s="9" t="n">
        <v>0</v>
      </c>
      <c r="O739" s="10" t="n">
        <v>0</v>
      </c>
      <c r="P739" s="10" t="n">
        <v>0</v>
      </c>
      <c r="Q739" s="10" t="n">
        <v>1</v>
      </c>
      <c r="R739" s="10" t="n">
        <v>0</v>
      </c>
      <c r="S739" s="10" t="n">
        <v>1</v>
      </c>
    </row>
    <row r="740" ht="409.5" customHeight="1">
      <c r="A740" s="6">
        <f>IFERROR(__xludf.DUMMYFUNCTION("""COMPUTED_VALUE"""),"Electrical Circuits (Cooperative Jigsaw Scenario)")</f>
        <v/>
      </c>
      <c r="B740" s="6">
        <f>IFERROR(__xludf.DUMMYFUNCTION("""COMPUTED_VALUE"""),"Application")</f>
        <v/>
      </c>
      <c r="C740" s="6">
        <f>IFERROR(__xludf.DUMMYFUNCTION("""COMPUTED_VALUE"""),"Experiment Design Tool")</f>
        <v/>
      </c>
      <c r="D740" s="7">
        <f>IFERROR(__xludf.DUMMYFUNCTION("""COMPUTED_VALUE"""),"&lt;p&gt;&lt;strong&gt;Step 2&lt;/strong&gt;&lt;/p&gt;&lt;p&gt;The next tool allows you to design your experiment and record the values of the properties that are involved. Read carefully the step by step instructions that appear in the tool and complete this task in collaboration wit"&amp;"h the experts. During your online communication you might take into consideration the following: &lt;/p&gt;&lt;p&gt;- Which is the independent and dependent variable based on your hypothesis? &lt;/p&gt;&lt;p&gt;- How will you treat the dependent and the independent variable in y"&amp;"our experiment?  &lt;/p&gt;&lt;p&gt;- How will you treat the other properties? &lt;/p&gt;&lt;p&gt;- How many experimental trials are needed in order to collect enough data from your experiment?&lt;/p&gt;")</f>
        <v/>
      </c>
      <c r="E740"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740" s="7" t="n"/>
      <c r="G740" s="8" t="n">
        <v>0</v>
      </c>
      <c r="H740" s="8" t="n">
        <v>0</v>
      </c>
      <c r="I740" s="8" t="n">
        <v>0</v>
      </c>
      <c r="J740" s="8" t="n">
        <v>1</v>
      </c>
      <c r="K740" s="9" t="n">
        <v>0</v>
      </c>
      <c r="L740" s="9" t="n">
        <v>0</v>
      </c>
      <c r="M740" s="9" t="n">
        <v>0</v>
      </c>
      <c r="N740" s="9" t="n">
        <v>1</v>
      </c>
      <c r="O740" s="10" t="n">
        <v>0</v>
      </c>
      <c r="P740" s="10" t="n">
        <v>0</v>
      </c>
      <c r="Q740" s="10" t="n">
        <v>1</v>
      </c>
      <c r="R740" s="10" t="n">
        <v>0</v>
      </c>
      <c r="S740" s="10" t="n">
        <v>1</v>
      </c>
    </row>
    <row r="741" ht="409.5" customHeight="1">
      <c r="A741" s="6">
        <f>IFERROR(__xludf.DUMMYFUNCTION("""COMPUTED_VALUE"""),"Electrical Circuits (Cooperative Jigsaw Scenario)")</f>
        <v/>
      </c>
      <c r="B741" s="6">
        <f>IFERROR(__xludf.DUMMYFUNCTION("""COMPUTED_VALUE"""),"Application")</f>
        <v/>
      </c>
      <c r="C741" s="6">
        <f>IFERROR(__xludf.DUMMYFUNCTION("""COMPUTED_VALUE"""),"Electrical Circuit Lab")</f>
        <v/>
      </c>
      <c r="D741" s="7">
        <f>IFERROR(__xludf.DUMMYFUNCTION("""COMPUTED_VALUE"""),"&lt;p&gt;&lt;strong&gt;Step 3&lt;/strong&gt;&lt;/p&gt;&lt;p&gt;Once you complete the design of your experiment use the virtual lab. Meanwhile, discuss with the experts about your observations and measurements.&lt;/p&gt;")</f>
        <v/>
      </c>
      <c r="E741"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41" s="7" t="n"/>
      <c r="G741" s="8" t="n">
        <v>0</v>
      </c>
      <c r="H741" s="8" t="n">
        <v>0</v>
      </c>
      <c r="I741" s="8" t="n">
        <v>0</v>
      </c>
      <c r="J741" s="8" t="n">
        <v>1</v>
      </c>
      <c r="K741" s="9" t="n">
        <v>0</v>
      </c>
      <c r="L741" s="9" t="n">
        <v>0</v>
      </c>
      <c r="M741" s="9" t="n">
        <v>1</v>
      </c>
      <c r="N741" s="9" t="n">
        <v>0</v>
      </c>
      <c r="O741" s="10" t="n">
        <v>0</v>
      </c>
      <c r="P741" s="10" t="n">
        <v>0</v>
      </c>
      <c r="Q741" s="10" t="n">
        <v>1</v>
      </c>
      <c r="R741" s="10" t="n">
        <v>0</v>
      </c>
      <c r="S741" s="10" t="n">
        <v>1</v>
      </c>
    </row>
    <row r="742" ht="229" customHeight="1">
      <c r="A742" s="6">
        <f>IFERROR(__xludf.DUMMYFUNCTION("""COMPUTED_VALUE"""),"Electrical Circuits (Cooperative Jigsaw Scenario)")</f>
        <v/>
      </c>
      <c r="B742" s="6">
        <f>IFERROR(__xludf.DUMMYFUNCTION("""COMPUTED_VALUE"""),"Resource")</f>
        <v/>
      </c>
      <c r="C742" s="6">
        <f>IFERROR(__xludf.DUMMYFUNCTION("""COMPUTED_VALUE"""),"End of phase.graasp")</f>
        <v/>
      </c>
      <c r="D742" s="7">
        <f>IFERROR(__xludf.DUMMYFUNCTION("""COMPUTED_VALUE"""),"&lt;p style=""text-align: center;""&gt;&lt;strong&gt;If all the members of your expert group are satisfied with the data that you have collected, move to the next phase. If there are any data inconsistencies then you might have to repeat some experimental trials.&lt;/st"&amp;"rong&gt;&lt;/p&gt;")</f>
        <v/>
      </c>
      <c r="E742" s="7">
        <f>IFERROR(__xludf.DUMMYFUNCTION("""COMPUTED_VALUE"""),"No artifact embedded")</f>
        <v/>
      </c>
      <c r="F742" s="7" t="n"/>
      <c r="G742" s="8" t="n">
        <v>0</v>
      </c>
      <c r="H742" s="8" t="n">
        <v>0</v>
      </c>
      <c r="I742" s="8" t="n">
        <v>0</v>
      </c>
      <c r="J742" s="8" t="n">
        <v>1</v>
      </c>
      <c r="K742" s="9" t="n">
        <v>0</v>
      </c>
      <c r="L742" s="9" t="n">
        <v>0</v>
      </c>
      <c r="M742" s="9" t="n">
        <v>0</v>
      </c>
      <c r="N742" s="9" t="n">
        <v>1</v>
      </c>
      <c r="O742" s="10" t="n">
        <v>0</v>
      </c>
      <c r="P742" s="10" t="n">
        <v>0</v>
      </c>
      <c r="Q742" s="10" t="n">
        <v>1</v>
      </c>
      <c r="R742" s="10" t="n">
        <v>0</v>
      </c>
      <c r="S742" s="10" t="n">
        <v>1</v>
      </c>
    </row>
    <row r="743" ht="205" customHeight="1">
      <c r="A743" s="6">
        <f>IFERROR(__xludf.DUMMYFUNCTION("""COMPUTED_VALUE"""),"Electrical Circuits (Cooperative Jigsaw Scenario)")</f>
        <v/>
      </c>
      <c r="B743" s="6">
        <f>IFERROR(__xludf.DUMMYFUNCTION("""COMPUTED_VALUE"""),"Space")</f>
        <v/>
      </c>
      <c r="C743" s="6">
        <f>IFERROR(__xludf.DUMMYFUNCTION("""COMPUTED_VALUE"""),"Data Interpretation")</f>
        <v/>
      </c>
      <c r="D743" s="7">
        <f>IFERROR(__xludf.DUMMYFUNCTION("""COMPUTED_VALUE"""),"&lt;p&gt;Dear experts, this is the Interpretation phase. Here you are going to &lt;strong&gt;create a graph&lt;/strong&gt; based on the data recorded from your experiment and discuss with your peers about the relation between the independent and dependent variable.&lt;/p&gt;")</f>
        <v/>
      </c>
      <c r="E743" s="7">
        <f>IFERROR(__xludf.DUMMYFUNCTION("""COMPUTED_VALUE"""),"No artifact embedded")</f>
        <v/>
      </c>
      <c r="F743" s="7" t="n"/>
      <c r="G743" s="8" t="n">
        <v>0</v>
      </c>
      <c r="H743" s="8" t="n">
        <v>0</v>
      </c>
      <c r="I743" s="8" t="n">
        <v>0</v>
      </c>
      <c r="J743" s="8" t="n">
        <v>1</v>
      </c>
      <c r="K743" s="9" t="n">
        <v>0</v>
      </c>
      <c r="L743" s="9" t="n">
        <v>0</v>
      </c>
      <c r="M743" s="9" t="n">
        <v>0</v>
      </c>
      <c r="N743" s="9" t="n">
        <v>1</v>
      </c>
      <c r="O743" s="10" t="n">
        <v>0</v>
      </c>
      <c r="P743" s="10" t="n">
        <v>0</v>
      </c>
      <c r="Q743" s="10" t="n">
        <v>1</v>
      </c>
      <c r="R743" s="10" t="n">
        <v>0</v>
      </c>
      <c r="S743" s="10" t="n">
        <v>1</v>
      </c>
    </row>
    <row r="744" ht="409.5" customHeight="1">
      <c r="A744" s="6">
        <f>IFERROR(__xludf.DUMMYFUNCTION("""COMPUTED_VALUE"""),"Electrical Circuits (Cooperative Jigsaw Scenario)")</f>
        <v/>
      </c>
      <c r="B744" s="6">
        <f>IFERROR(__xludf.DUMMYFUNCTION("""COMPUTED_VALUE"""),"Application")</f>
        <v/>
      </c>
      <c r="C744" s="6">
        <f>IFERROR(__xludf.DUMMYFUNCTION("""COMPUTED_VALUE"""),"Data Viewer")</f>
        <v/>
      </c>
      <c r="D744" s="7">
        <f>IFERROR(__xludf.DUMMYFUNCTION("""COMPUTED_VALUE"""),"&lt;p&gt;&lt;strong&gt;Step 1&lt;/strong&gt;&lt;/p&gt;&lt;p&gt;Load your data in the tool below and drag and drop the dependent variable in the vertical axis and the independent variable in the horizontal axis to create a line chart.&lt;/p&gt;")</f>
        <v/>
      </c>
      <c r="E744"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744" s="7" t="n"/>
      <c r="G744" s="8" t="n">
        <v>0</v>
      </c>
      <c r="H744" s="8" t="n">
        <v>0</v>
      </c>
      <c r="I744" s="8" t="n">
        <v>0</v>
      </c>
      <c r="J744" s="8" t="n">
        <v>1</v>
      </c>
      <c r="K744" s="9" t="n">
        <v>0</v>
      </c>
      <c r="L744" s="9" t="n">
        <v>0</v>
      </c>
      <c r="M744" s="9" t="n">
        <v>0</v>
      </c>
      <c r="N744" s="9" t="n">
        <v>1</v>
      </c>
      <c r="O744" s="10" t="n">
        <v>0</v>
      </c>
      <c r="P744" s="10" t="n">
        <v>0</v>
      </c>
      <c r="Q744" s="10" t="n">
        <v>1</v>
      </c>
      <c r="R744" s="10" t="n">
        <v>0</v>
      </c>
      <c r="S744" s="10" t="n">
        <v>1</v>
      </c>
    </row>
    <row r="745" ht="193" customHeight="1">
      <c r="A745" s="6">
        <f>IFERROR(__xludf.DUMMYFUNCTION("""COMPUTED_VALUE"""),"Electrical Circuits (Cooperative Jigsaw Scenario)")</f>
        <v/>
      </c>
      <c r="B745" s="6">
        <f>IFERROR(__xludf.DUMMYFUNCTION("""COMPUTED_VALUE"""),"Resource")</f>
        <v/>
      </c>
      <c r="C745" s="6">
        <f>IFERROR(__xludf.DUMMYFUNCTION("""COMPUTED_VALUE"""),"Step 2.graasp")</f>
        <v/>
      </c>
      <c r="D745" s="7">
        <f>IFERROR(__xludf.DUMMYFUNCTION("""COMPUTED_VALUE"""),"&lt;p&gt;&lt;strong&gt;Step 2&lt;/strong&gt;&lt;/p&gt;&lt;p&gt;Use the communication tool to discuss about the relation between the two variables, the dependent and the independent. What will happen if the independent variable continues to increase?&lt;/p&gt;")</f>
        <v/>
      </c>
      <c r="E745" s="7">
        <f>IFERROR(__xludf.DUMMYFUNCTION("""COMPUTED_VALUE"""),"No artifact embedded")</f>
        <v/>
      </c>
      <c r="F745" s="7" t="n"/>
      <c r="G745" s="8" t="n">
        <v>0</v>
      </c>
      <c r="H745" s="8" t="n">
        <v>0</v>
      </c>
      <c r="I745" s="8" t="n">
        <v>0</v>
      </c>
      <c r="J745" s="8" t="n">
        <v>1</v>
      </c>
      <c r="K745" s="9" t="n">
        <v>0</v>
      </c>
      <c r="L745" s="9" t="n">
        <v>0</v>
      </c>
      <c r="M745" s="9" t="n">
        <v>1</v>
      </c>
      <c r="N745" s="9" t="n">
        <v>0</v>
      </c>
      <c r="O745" s="10" t="n">
        <v>0</v>
      </c>
      <c r="P745" s="10" t="n">
        <v>0</v>
      </c>
      <c r="Q745" s="10" t="n">
        <v>1</v>
      </c>
      <c r="R745" s="10" t="n">
        <v>0</v>
      </c>
      <c r="S745" s="10" t="n">
        <v>1</v>
      </c>
    </row>
    <row r="746" ht="145" customHeight="1">
      <c r="A746" s="6">
        <f>IFERROR(__xludf.DUMMYFUNCTION("""COMPUTED_VALUE"""),"Electrical Circuits (Cooperative Jigsaw Scenario)")</f>
        <v/>
      </c>
      <c r="B746" s="6">
        <f>IFERROR(__xludf.DUMMYFUNCTION("""COMPUTED_VALUE"""),"Resource")</f>
        <v/>
      </c>
      <c r="C746" s="6">
        <f>IFERROR(__xludf.DUMMYFUNCTION("""COMPUTED_VALUE"""),"End.graasp")</f>
        <v/>
      </c>
      <c r="D746" s="7">
        <f>IFERROR(__xludf.DUMMYFUNCTION("""COMPUTED_VALUE"""),"&lt;p style=""text-align: center;""&gt;&lt;strong&gt;If the relation between the variables that you have investigated is clear, you can move to the next phase.&lt;/strong&gt;&lt;/p&gt;")</f>
        <v/>
      </c>
      <c r="E746" s="7">
        <f>IFERROR(__xludf.DUMMYFUNCTION("""COMPUTED_VALUE"""),"No artifact embedded")</f>
        <v/>
      </c>
      <c r="F746" s="7" t="n"/>
      <c r="G746" s="8" t="n">
        <v>0</v>
      </c>
      <c r="H746" s="8" t="n">
        <v>0</v>
      </c>
      <c r="I746" s="8" t="n">
        <v>0</v>
      </c>
      <c r="J746" s="8" t="n">
        <v>1</v>
      </c>
      <c r="K746" s="9" t="n">
        <v>0</v>
      </c>
      <c r="L746" s="9" t="n">
        <v>0</v>
      </c>
      <c r="M746" s="9" t="n">
        <v>1</v>
      </c>
      <c r="N746" s="9" t="n">
        <v>0</v>
      </c>
      <c r="O746" s="10" t="n">
        <v>0</v>
      </c>
      <c r="P746" s="10" t="n">
        <v>0</v>
      </c>
      <c r="Q746" s="10" t="n">
        <v>1</v>
      </c>
      <c r="R746" s="10" t="n">
        <v>0</v>
      </c>
      <c r="S746" s="10" t="n">
        <v>1</v>
      </c>
    </row>
    <row r="747" ht="133" customHeight="1">
      <c r="A747" s="6">
        <f>IFERROR(__xludf.DUMMYFUNCTION("""COMPUTED_VALUE"""),"Electrical Circuits (Cooperative Jigsaw Scenario)")</f>
        <v/>
      </c>
      <c r="B747" s="6">
        <f>IFERROR(__xludf.DUMMYFUNCTION("""COMPUTED_VALUE"""),"Space")</f>
        <v/>
      </c>
      <c r="C747" s="6">
        <f>IFERROR(__xludf.DUMMYFUNCTION("""COMPUTED_VALUE"""),"Conclusion")</f>
        <v/>
      </c>
      <c r="D747" s="7">
        <f>IFERROR(__xludf.DUMMYFUNCTION("""COMPUTED_VALUE"""),"&lt;p&gt;Dear students, your expert group task is coming to the end. The last thing that you have to prepare is your &lt;strong&gt;expert’s conclusion&lt;/strong&gt;.&lt;/p&gt;")</f>
        <v/>
      </c>
      <c r="E747" s="7">
        <f>IFERROR(__xludf.DUMMYFUNCTION("""COMPUTED_VALUE"""),"No artifact embedded")</f>
        <v/>
      </c>
      <c r="F747" s="7" t="n"/>
      <c r="G747" s="8" t="n">
        <v>0</v>
      </c>
      <c r="H747" s="8" t="n">
        <v>0</v>
      </c>
      <c r="I747" s="8" t="n">
        <v>0</v>
      </c>
      <c r="J747" s="8" t="n">
        <v>1</v>
      </c>
      <c r="K747" s="9" t="n">
        <v>0</v>
      </c>
      <c r="L747" s="9" t="n">
        <v>0</v>
      </c>
      <c r="M747" s="9" t="n">
        <v>0</v>
      </c>
      <c r="N747" s="9" t="n">
        <v>1</v>
      </c>
      <c r="O747" s="10" t="n">
        <v>0</v>
      </c>
      <c r="P747" s="10" t="n">
        <v>0</v>
      </c>
      <c r="Q747" s="10" t="n">
        <v>0</v>
      </c>
      <c r="R747" s="10" t="n">
        <v>1</v>
      </c>
      <c r="S747" s="10" t="n">
        <v>1</v>
      </c>
    </row>
    <row r="748" ht="409.5" customHeight="1">
      <c r="A748" s="6">
        <f>IFERROR(__xludf.DUMMYFUNCTION("""COMPUTED_VALUE"""),"Electrical Circuits (Cooperative Jigsaw Scenario)")</f>
        <v/>
      </c>
      <c r="B748" s="6">
        <f>IFERROR(__xludf.DUMMYFUNCTION("""COMPUTED_VALUE"""),"Application")</f>
        <v/>
      </c>
      <c r="C748" s="6">
        <f>IFERROR(__xludf.DUMMYFUNCTION("""COMPUTED_VALUE"""),"Conclusion Tool")</f>
        <v/>
      </c>
      <c r="D748" s="7">
        <f>IFERROR(__xludf.DUMMYFUNCTION("""COMPUTED_VALUE"""),"&lt;p&gt;&lt;strong&gt;Step 1&lt;/strong&gt;&lt;/p&gt;&lt;p&gt;Use the tool below to retrieve your previous expert’s work, meaning your hypothesis and data graph, in order to elaborate what you have learned. During your work you can discuss about your conclusion in the communication t"&amp;"ool.&lt;/p&gt;")</f>
        <v/>
      </c>
      <c r="E748"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48" s="7" t="n"/>
      <c r="G748" s="8" t="n">
        <v>0</v>
      </c>
      <c r="H748" s="8" t="n">
        <v>0</v>
      </c>
      <c r="I748" s="8" t="n">
        <v>0</v>
      </c>
      <c r="J748" s="8" t="n">
        <v>1</v>
      </c>
      <c r="K748" s="9" t="n">
        <v>0</v>
      </c>
      <c r="L748" s="9" t="n">
        <v>0</v>
      </c>
      <c r="M748" s="9" t="n">
        <v>0</v>
      </c>
      <c r="N748" s="9" t="n">
        <v>1</v>
      </c>
      <c r="O748" s="10" t="n">
        <v>0</v>
      </c>
      <c r="P748" s="10" t="n">
        <v>0</v>
      </c>
      <c r="Q748" s="10" t="n">
        <v>0</v>
      </c>
      <c r="R748" s="10" t="n">
        <v>1</v>
      </c>
      <c r="S748" s="10" t="n">
        <v>1</v>
      </c>
    </row>
    <row r="749" ht="181" customHeight="1">
      <c r="A749" s="6">
        <f>IFERROR(__xludf.DUMMYFUNCTION("""COMPUTED_VALUE"""),"Electrical Circuits (Cooperative Jigsaw Scenario)")</f>
        <v/>
      </c>
      <c r="B749" s="6">
        <f>IFERROR(__xludf.DUMMYFUNCTION("""COMPUTED_VALUE"""),"Resource")</f>
        <v/>
      </c>
      <c r="C749" s="6">
        <f>IFERROR(__xludf.DUMMYFUNCTION("""COMPUTED_VALUE"""),"Step 2.graasp")</f>
        <v/>
      </c>
      <c r="D749" s="7">
        <f>IFERROR(__xludf.DUMMYFUNCTION("""COMPUTED_VALUE"""),"&lt;p&gt;&lt;strong&gt;Step 2 &lt;/strong&gt;&lt;/p&gt;&lt;p&gt;It is time to thank your peers for your expert work! Moreover, if any of you have any doubt about the work done, this is the perfect time to discuss it in the communication tool. &lt;/p&gt;")</f>
        <v/>
      </c>
      <c r="E749" s="7">
        <f>IFERROR(__xludf.DUMMYFUNCTION("""COMPUTED_VALUE"""),"No artifact embedded")</f>
        <v/>
      </c>
      <c r="F749" s="7" t="n"/>
      <c r="G749" s="8" t="n">
        <v>0</v>
      </c>
      <c r="H749" s="8" t="n">
        <v>0</v>
      </c>
      <c r="I749" s="8" t="n">
        <v>0</v>
      </c>
      <c r="J749" s="8" t="n">
        <v>1</v>
      </c>
      <c r="K749" s="9" t="n">
        <v>0</v>
      </c>
      <c r="L749" s="9" t="n">
        <v>0</v>
      </c>
      <c r="M749" s="9" t="n">
        <v>1</v>
      </c>
      <c r="N749" s="9" t="n">
        <v>0</v>
      </c>
      <c r="O749" s="10" t="n">
        <v>0</v>
      </c>
      <c r="P749" s="10" t="n">
        <v>0</v>
      </c>
      <c r="Q749" s="10" t="n">
        <v>0</v>
      </c>
      <c r="R749" s="10" t="n">
        <v>0</v>
      </c>
      <c r="S749" s="10" t="n">
        <v>1</v>
      </c>
    </row>
    <row r="750" ht="193" customHeight="1">
      <c r="A750" s="6">
        <f>IFERROR(__xludf.DUMMYFUNCTION("""COMPUTED_VALUE"""),"Electrical Circuits (Cooperative Jigsaw Scenario)")</f>
        <v/>
      </c>
      <c r="B750" s="6">
        <f>IFERROR(__xludf.DUMMYFUNCTION("""COMPUTED_VALUE"""),"Resource")</f>
        <v/>
      </c>
      <c r="C750" s="6">
        <f>IFERROR(__xludf.DUMMYFUNCTION("""COMPUTED_VALUE"""),"End of phase.graasp")</f>
        <v/>
      </c>
      <c r="D750" s="7">
        <f>IFERROR(__xludf.DUMMYFUNCTION("""COMPUTED_VALUE"""),"&lt;p style=""text-align: center;""&gt;&lt;strong&gt;This is the end of your expert investigation. Now you are ready to share what you have learned with the members of your initial group. To do so, move to next phase.&lt;/strong&gt;&lt;/p&gt;")</f>
        <v/>
      </c>
      <c r="E750" s="7">
        <f>IFERROR(__xludf.DUMMYFUNCTION("""COMPUTED_VALUE"""),"No artifact embedded")</f>
        <v/>
      </c>
      <c r="F750" s="7" t="n"/>
      <c r="G750" s="8" t="n">
        <v>0</v>
      </c>
      <c r="H750" s="8" t="n">
        <v>0</v>
      </c>
      <c r="I750" s="8" t="n">
        <v>0</v>
      </c>
      <c r="J750" s="8" t="n">
        <v>0</v>
      </c>
      <c r="K750" s="9" t="n">
        <v>0</v>
      </c>
      <c r="L750" s="9" t="n">
        <v>0</v>
      </c>
      <c r="M750" s="9" t="n">
        <v>0</v>
      </c>
      <c r="N750" s="9" t="n">
        <v>0</v>
      </c>
      <c r="O750" s="10" t="n">
        <v>0</v>
      </c>
      <c r="P750" s="10" t="n">
        <v>0</v>
      </c>
      <c r="Q750" s="10" t="n">
        <v>0</v>
      </c>
      <c r="R750" s="10" t="n">
        <v>0</v>
      </c>
      <c r="S750" s="10" t="n">
        <v>0</v>
      </c>
    </row>
    <row r="751" ht="406" customHeight="1">
      <c r="A751" s="6">
        <f>IFERROR(__xludf.DUMMYFUNCTION("""COMPUTED_VALUE"""),"Electrical Circuits (Cooperative Jigsaw Scenario)")</f>
        <v/>
      </c>
      <c r="B751" s="6">
        <f>IFERROR(__xludf.DUMMYFUNCTION("""COMPUTED_VALUE"""),"Space")</f>
        <v/>
      </c>
      <c r="C751" s="6">
        <f>IFERROR(__xludf.DUMMYFUNCTION("""COMPUTED_VALUE"""),"Communication")</f>
        <v/>
      </c>
      <c r="D751" s="7">
        <f>IFERROR(__xludf.DUMMYFUNCTION("""COMPUTED_VALUE"""),"&lt;p&gt;Now it is time to put all the pieces of knowledge together!! This is the Communication phase where you will&lt;strong&gt; share and discuss&lt;/strong&gt; in your group about your expert investigation.&lt;/p&gt;&lt;p&gt;&lt;br&gt;&lt;/p&gt;&lt;p&gt;&lt;strong&gt;Step 1&lt;br&gt;&lt;/strong&gt;Share your expert’"&amp;"s conclusion with the members of your group. Moreover, discuss about the investigation that you carried out in order to reach your conclusion. During your discussion each member of your group should give answers to the following questions:&lt;/p&gt;")</f>
        <v/>
      </c>
      <c r="E751" s="7">
        <f>IFERROR(__xludf.DUMMYFUNCTION("""COMPUTED_VALUE"""),"No artifact embedded")</f>
        <v/>
      </c>
      <c r="F751" s="7" t="n"/>
      <c r="G751" s="8" t="n">
        <v>0</v>
      </c>
      <c r="H751" s="8" t="n">
        <v>0</v>
      </c>
      <c r="I751" s="8" t="n">
        <v>0</v>
      </c>
      <c r="J751" s="8" t="n">
        <v>1</v>
      </c>
      <c r="K751" s="9" t="n">
        <v>0</v>
      </c>
      <c r="L751" s="9" t="n">
        <v>1</v>
      </c>
      <c r="M751" s="9" t="n">
        <v>1</v>
      </c>
      <c r="N751" s="9" t="n">
        <v>0</v>
      </c>
      <c r="O751" s="10" t="n">
        <v>0</v>
      </c>
      <c r="P751" s="10" t="n">
        <v>0</v>
      </c>
      <c r="Q751" s="10" t="n">
        <v>0</v>
      </c>
      <c r="R751" s="10" t="n">
        <v>1</v>
      </c>
      <c r="S751" s="10" t="n">
        <v>1</v>
      </c>
    </row>
    <row r="752" ht="409.5" customHeight="1">
      <c r="A752" s="6">
        <f>IFERROR(__xludf.DUMMYFUNCTION("""COMPUTED_VALUE"""),"Electrical Circuits (Cooperative Jigsaw Scenario)")</f>
        <v/>
      </c>
      <c r="B752" s="6">
        <f>IFERROR(__xludf.DUMMYFUNCTION("""COMPUTED_VALUE"""),"Resource")</f>
        <v/>
      </c>
      <c r="C752" s="6">
        <f>IFERROR(__xludf.DUMMYFUNCTION("""COMPUTED_VALUE"""),"Step 1.graasp")</f>
        <v/>
      </c>
      <c r="D752" s="7">
        <f>IFERROR(__xludf.DUMMYFUNCTION("""COMPUTED_VALUE"""),"&lt;ul&gt;&lt;li&gt;What was your expert’s hypothesis?&lt;/li&gt;&lt;li&gt;What was the experimental procedure that you have followed to test your expert’s hypothesis?&lt;ul&gt;&lt;li&gt;Which was the independent variable? &lt;/li&gt;&lt;li&gt;Which was the dependent variable?&lt;/li&gt;&lt;li&gt;What other variab"&amp;"les were involved in your experiment and how did you treat them?&lt;/li&gt;&lt;/ul&gt;&lt;/li&gt;&lt;li&gt;Did your experimental data support your expert’s hypothesis?&lt;/li&gt;&lt;li&gt;What is the relation between the dependent and the independent variable?&lt;/li&gt;&lt;/ul&gt;")</f>
        <v/>
      </c>
      <c r="E752" s="7">
        <f>IFERROR(__xludf.DUMMYFUNCTION("""COMPUTED_VALUE"""),"No artifact embedded")</f>
        <v/>
      </c>
      <c r="F752" s="7" t="n"/>
      <c r="G752" s="8" t="n">
        <v>0</v>
      </c>
      <c r="H752" s="8" t="n">
        <v>0</v>
      </c>
      <c r="I752" s="8" t="n">
        <v>1</v>
      </c>
      <c r="J752" s="8" t="n">
        <v>0</v>
      </c>
      <c r="K752" s="9" t="n">
        <v>0</v>
      </c>
      <c r="L752" s="9" t="n">
        <v>1</v>
      </c>
      <c r="M752" s="9" t="n">
        <v>0</v>
      </c>
      <c r="N752" s="9" t="n">
        <v>0</v>
      </c>
      <c r="O752" s="10" t="n">
        <v>0</v>
      </c>
      <c r="P752" s="10" t="n">
        <v>1</v>
      </c>
      <c r="Q752" s="10" t="n">
        <v>1</v>
      </c>
      <c r="R752" s="10" t="n">
        <v>1</v>
      </c>
      <c r="S752" s="10" t="n">
        <v>0</v>
      </c>
    </row>
    <row r="753" ht="395" customHeight="1">
      <c r="A753" s="6">
        <f>IFERROR(__xludf.DUMMYFUNCTION("""COMPUTED_VALUE"""),"Electrical Circuits (Cooperative Jigsaw Scenario)")</f>
        <v/>
      </c>
      <c r="B753" s="6">
        <f>IFERROR(__xludf.DUMMYFUNCTION("""COMPUTED_VALUE"""),"Application")</f>
        <v/>
      </c>
      <c r="C753" s="6">
        <f>IFERROR(__xludf.DUMMYFUNCTION("""COMPUTED_VALUE"""),"Shared Wiki")</f>
        <v/>
      </c>
      <c r="D753" s="7">
        <f>IFERROR(__xludf.DUMMYFUNCTION("""COMPUTED_VALUE"""),"&lt;p&gt;&lt;strong&gt;Step 2&lt;/strong&gt;&lt;/p&gt;&lt;p&gt;In the following tool you will prepare a common report about the work done from each one of you, in order to conclude the lesson about the electrical circuits. You can edit simultaneously the text in the tool. It will be g"&amp;"ood to decide what sections each one of you will write and then review together the whole text. &lt;/p&gt;&lt;p&gt;&lt;strong&gt;&lt;em&gt;Note&lt;/em&gt;: &lt;/strong&gt;The text in brackets is for your support. You should delete it after you finish your report.&lt;/p&gt;")</f>
        <v/>
      </c>
      <c r="E753"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753" s="7" t="n"/>
      <c r="G753" s="8" t="n">
        <v>0</v>
      </c>
      <c r="H753" s="8" t="n">
        <v>0</v>
      </c>
      <c r="I753" s="8" t="n">
        <v>0</v>
      </c>
      <c r="J753" s="8" t="n">
        <v>1</v>
      </c>
      <c r="K753" s="9" t="n">
        <v>0</v>
      </c>
      <c r="L753" s="9" t="n">
        <v>0</v>
      </c>
      <c r="M753" s="9" t="n">
        <v>0</v>
      </c>
      <c r="N753" s="9" t="n">
        <v>1</v>
      </c>
      <c r="O753" s="10" t="n">
        <v>0</v>
      </c>
      <c r="P753" s="10" t="n">
        <v>0</v>
      </c>
      <c r="Q753" s="10" t="n">
        <v>0</v>
      </c>
      <c r="R753" s="10" t="n">
        <v>0</v>
      </c>
      <c r="S753" s="10" t="n">
        <v>1</v>
      </c>
    </row>
    <row r="754" ht="121" customHeight="1">
      <c r="A754" s="6">
        <f>IFERROR(__xludf.DUMMYFUNCTION("""COMPUTED_VALUE"""),"Electrical Circuits (Cooperative Jigsaw Scenario)")</f>
        <v/>
      </c>
      <c r="B754" s="6">
        <f>IFERROR(__xludf.DUMMYFUNCTION("""COMPUTED_VALUE"""),"Resource")</f>
        <v/>
      </c>
      <c r="C754" s="6">
        <f>IFERROR(__xludf.DUMMYFUNCTION("""COMPUTED_VALUE"""),"End of the phase.graasp")</f>
        <v/>
      </c>
      <c r="D754" s="7">
        <f>IFERROR(__xludf.DUMMYFUNCTION("""COMPUTED_VALUE"""),"&lt;p style=""text-align: center;""&gt;&lt;strong&gt;Discuss with your teacher about your group report and then move to the last phase!&lt;/strong&gt;&lt;/p&gt;")</f>
        <v/>
      </c>
      <c r="E754" s="7">
        <f>IFERROR(__xludf.DUMMYFUNCTION("""COMPUTED_VALUE"""),"No artifact embedded")</f>
        <v/>
      </c>
      <c r="F754" s="7" t="n"/>
      <c r="G754" s="8" t="n">
        <v>0</v>
      </c>
      <c r="H754" s="8" t="n">
        <v>0</v>
      </c>
      <c r="I754" s="8" t="n">
        <v>0</v>
      </c>
      <c r="J754" s="8" t="n">
        <v>1</v>
      </c>
      <c r="K754" s="9" t="n">
        <v>0</v>
      </c>
      <c r="L754" s="9" t="n">
        <v>0</v>
      </c>
      <c r="M754" s="9" t="n">
        <v>1</v>
      </c>
      <c r="N754" s="9" t="n">
        <v>0</v>
      </c>
      <c r="O754" s="10" t="n">
        <v>0</v>
      </c>
      <c r="P754" s="10" t="n">
        <v>0</v>
      </c>
      <c r="Q754" s="10" t="n">
        <v>0</v>
      </c>
      <c r="R754" s="10" t="n">
        <v>0</v>
      </c>
      <c r="S754" s="10" t="n">
        <v>1</v>
      </c>
    </row>
    <row r="755" ht="409.5" customHeight="1">
      <c r="A755" s="6">
        <f>IFERROR(__xludf.DUMMYFUNCTION("""COMPUTED_VALUE"""),"Electrical Circuits (Cooperative Jigsaw Scenario)")</f>
        <v/>
      </c>
      <c r="B755" s="6">
        <f>IFERROR(__xludf.DUMMYFUNCTION("""COMPUTED_VALUE"""),"Space")</f>
        <v/>
      </c>
      <c r="C755" s="6">
        <f>IFERROR(__xludf.DUMMYFUNCTION("""COMPUTED_VALUE"""),"Reflection")</f>
        <v/>
      </c>
      <c r="D755" s="7">
        <f>IFERROR(__xludf.DUMMYFUNCTION("""COMPUTED_VALUE"""),"&lt;p&gt;Dear students, this is the last phase of the ILS, namely the Reflection phase. Your task here is to &lt;strong&gt;reflect about the contribution &lt;/strong&gt;of your group members.&lt;/p&gt;&lt;p&gt;&lt;br&gt;&lt;/p&gt;&lt;p&gt;&lt;strong&gt;Step 1&lt;/strong&gt;&lt;/p&gt;&lt;p&gt;The following tool shows a summary"&amp;" of the number of actions performed by each member of your group in the different tools included in the ILS. The number of actions in a tool might represent the effort that was put on to complete the respective task. A relatively small number of actions m"&amp;"ight imply that the task remained incomplete, while a relatively large number of actions might imply that task was difficult and many trials and errors were made before it was completed. In general, the closer to the average the number of actions is, the "&amp;"better the performance in each app was. However, since your group consists of only few members, it is more insightful to compare your actions and discuss the possible differences.&lt;/p&gt;")</f>
        <v/>
      </c>
      <c r="E755" s="7">
        <f>IFERROR(__xludf.DUMMYFUNCTION("""COMPUTED_VALUE"""),"No artifact embedded")</f>
        <v/>
      </c>
      <c r="F755" s="7" t="n"/>
      <c r="G755" s="8" t="n">
        <v>0</v>
      </c>
      <c r="H755" s="8" t="n">
        <v>0</v>
      </c>
      <c r="I755" s="8" t="n">
        <v>0</v>
      </c>
      <c r="J755" s="8" t="n">
        <v>1</v>
      </c>
      <c r="K755" s="9" t="n">
        <v>0</v>
      </c>
      <c r="L755" s="9" t="n">
        <v>0</v>
      </c>
      <c r="M755" s="9" t="n">
        <v>1</v>
      </c>
      <c r="N755" s="9" t="n">
        <v>0</v>
      </c>
      <c r="O755" s="10" t="n">
        <v>0</v>
      </c>
      <c r="P755" s="10" t="n">
        <v>0</v>
      </c>
      <c r="Q755" s="10" t="n">
        <v>0</v>
      </c>
      <c r="R755" s="10" t="n">
        <v>0</v>
      </c>
      <c r="S755" s="10" t="n">
        <v>1</v>
      </c>
    </row>
    <row r="756" ht="329" customHeight="1">
      <c r="A756" s="6">
        <f>IFERROR(__xludf.DUMMYFUNCTION("""COMPUTED_VALUE"""),"Electrical Circuits (Cooperative Jigsaw Scenario)")</f>
        <v/>
      </c>
      <c r="B756" s="6">
        <f>IFERROR(__xludf.DUMMYFUNCTION("""COMPUTED_VALUE"""),"Application")</f>
        <v/>
      </c>
      <c r="C756" s="6">
        <f>IFERROR(__xludf.DUMMYFUNCTION("""COMPUTED_VALUE"""),"Activity Plot")</f>
        <v/>
      </c>
      <c r="D756" s="7">
        <f>IFERROR(__xludf.DUMMYFUNCTION("""COMPUTED_VALUE"""),"No task description")</f>
        <v/>
      </c>
      <c r="E756" s="7">
        <f>IFERROR(__xludf.DUMMYFUNCTION("""COMPUTED_VALUE"""),"Golabz app/lab: ""&lt;p&gt;This app shows a summary of the number of actions performed by the students in the different apps found in the ILS. Students can use it to compare their app activities with those of other students and the average. The names of the oth"&amp;"er students are anonymous.&lt;/p&gt;\r\n\r\n&lt;p&gt;This app also has a teacher view where the names of all the students are shown.&lt;/p&gt;\r\n""")</f>
        <v/>
      </c>
      <c r="F756" s="7" t="n"/>
      <c r="G756" s="8" t="n">
        <v>1</v>
      </c>
      <c r="H756" s="8" t="n">
        <v>0</v>
      </c>
      <c r="I756" s="8" t="n">
        <v>0</v>
      </c>
      <c r="J756" s="8" t="n">
        <v>0</v>
      </c>
      <c r="K756" s="9" t="n">
        <v>1</v>
      </c>
      <c r="L756" s="9" t="n">
        <v>0</v>
      </c>
      <c r="M756" s="9" t="n">
        <v>0</v>
      </c>
      <c r="N756" s="9" t="n">
        <v>0</v>
      </c>
      <c r="O756" s="10" t="n">
        <v>0</v>
      </c>
      <c r="P756" s="10" t="n">
        <v>0</v>
      </c>
      <c r="Q756" s="10" t="n">
        <v>0</v>
      </c>
      <c r="R756" s="10" t="n">
        <v>0</v>
      </c>
      <c r="S756" s="10" t="n">
        <v>1</v>
      </c>
    </row>
    <row r="757" ht="241" customHeight="1">
      <c r="A757" s="6">
        <f>IFERROR(__xludf.DUMMYFUNCTION("""COMPUTED_VALUE"""),"Electrical Circuits (Cooperative Jigsaw Scenario)")</f>
        <v/>
      </c>
      <c r="B757" s="6">
        <f>IFERROR(__xludf.DUMMYFUNCTION("""COMPUTED_VALUE"""),"Application")</f>
        <v/>
      </c>
      <c r="C757" s="6">
        <f>IFERROR(__xludf.DUMMYFUNCTION("""COMPUTED_VALUE"""),"Quest")</f>
        <v/>
      </c>
      <c r="D757" s="7">
        <f>IFERROR(__xludf.DUMMYFUNCTION("""COMPUTED_VALUE"""),"&lt;p&gt;&lt;strong&gt;Step 2&lt;/strong&gt;&lt;/p&gt;&lt;p&gt;Based on your previous group discussion and your overall experience with this lesson, complete the following questionnaire. &lt;/p&gt;&lt;p&gt;&lt;em&gt;&lt;strong&gt;Note&lt;/strong&gt;:&lt;/em&gt; &lt;em&gt;Complete the questionnaire individually.&lt;/em&gt;&lt;/p&gt;")</f>
        <v/>
      </c>
      <c r="E757"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757" s="7" t="n"/>
      <c r="G757" s="8" t="n">
        <v>0</v>
      </c>
      <c r="H757" s="8" t="n">
        <v>0</v>
      </c>
      <c r="I757" s="8" t="n">
        <v>1</v>
      </c>
      <c r="J757" s="8" t="n">
        <v>0</v>
      </c>
      <c r="K757" s="9" t="n">
        <v>0</v>
      </c>
      <c r="L757" s="9" t="n">
        <v>1</v>
      </c>
      <c r="M757" s="9" t="n">
        <v>0</v>
      </c>
      <c r="N757" s="9" t="n">
        <v>0</v>
      </c>
      <c r="O757" s="10" t="n">
        <v>0</v>
      </c>
      <c r="P757" s="10" t="n">
        <v>0</v>
      </c>
      <c r="Q757" s="10" t="n">
        <v>0</v>
      </c>
      <c r="R757" s="10" t="n">
        <v>0</v>
      </c>
      <c r="S757" s="10" t="n">
        <v>1</v>
      </c>
    </row>
    <row r="758" ht="109" customHeight="1">
      <c r="A758" s="6">
        <f>IFERROR(__xludf.DUMMYFUNCTION("""COMPUTED_VALUE"""),"Electrical Circuits (Cooperative Jigsaw Scenario)")</f>
        <v/>
      </c>
      <c r="B758" s="6">
        <f>IFERROR(__xludf.DUMMYFUNCTION("""COMPUTED_VALUE"""),"Resource")</f>
        <v/>
      </c>
      <c r="C758" s="6">
        <f>IFERROR(__xludf.DUMMYFUNCTION("""COMPUTED_VALUE"""),"End of phase.graasp")</f>
        <v/>
      </c>
      <c r="D758" s="7">
        <f>IFERROR(__xludf.DUMMYFUNCTION("""COMPUTED_VALUE"""),"&lt;p style=""text-align: center;""&gt;&lt;strong&gt;This is the end of our lesson! Congratulations for completing all the activities. &lt;/strong&gt;&lt;/p&gt;")</f>
        <v/>
      </c>
      <c r="E758" s="7">
        <f>IFERROR(__xludf.DUMMYFUNCTION("""COMPUTED_VALUE"""),"No artifact embedded")</f>
        <v/>
      </c>
      <c r="F758" s="7" t="n"/>
      <c r="G758" s="8" t="n">
        <v>0</v>
      </c>
      <c r="H758" s="8" t="n">
        <v>0</v>
      </c>
      <c r="I758" s="8" t="n">
        <v>0</v>
      </c>
      <c r="J758" s="8" t="n">
        <v>0</v>
      </c>
      <c r="K758" s="9" t="n">
        <v>0</v>
      </c>
      <c r="L758" s="9" t="n">
        <v>0</v>
      </c>
      <c r="M758" s="9" t="n">
        <v>0</v>
      </c>
      <c r="N758" s="9" t="n">
        <v>0</v>
      </c>
      <c r="O758" s="10" t="n">
        <v>0</v>
      </c>
      <c r="P758" s="10" t="n">
        <v>0</v>
      </c>
      <c r="Q758" s="10" t="n">
        <v>0</v>
      </c>
      <c r="R758" s="10" t="n">
        <v>0</v>
      </c>
      <c r="S758" s="10" t="n">
        <v>0</v>
      </c>
    </row>
    <row r="759" ht="25" customHeight="1">
      <c r="A759" s="6">
        <f>IFERROR(__xludf.DUMMYFUNCTION("""COMPUTED_VALUE"""),"Electrical Circuits (Cooperative Jigsaw Scenario)")</f>
        <v/>
      </c>
      <c r="B759" s="6">
        <f>IFERROR(__xludf.DUMMYFUNCTION("""COMPUTED_VALUE"""),"Application")</f>
        <v/>
      </c>
      <c r="C759" s="6">
        <f>IFERROR(__xludf.DUMMYFUNCTION("""COMPUTED_VALUE"""),"SpeakUp (1)")</f>
        <v/>
      </c>
      <c r="D759" s="7">
        <f>IFERROR(__xludf.DUMMYFUNCTION("""COMPUTED_VALUE"""),"No task description")</f>
        <v/>
      </c>
      <c r="E759" s="7">
        <f>IFERROR(__xludf.DUMMYFUNCTION("""COMPUTED_VALUE"""),"No artifact embedded")</f>
        <v/>
      </c>
      <c r="F759" s="7" t="n"/>
      <c r="G759" s="8" t="n">
        <v>0</v>
      </c>
      <c r="H759" s="8" t="n">
        <v>0</v>
      </c>
      <c r="I759" s="8" t="n">
        <v>0</v>
      </c>
      <c r="J759" s="8" t="n">
        <v>0</v>
      </c>
      <c r="K759" s="9" t="n">
        <v>0</v>
      </c>
      <c r="L759" s="9" t="n">
        <v>0</v>
      </c>
      <c r="M759" s="9" t="n">
        <v>0</v>
      </c>
      <c r="N759" s="9" t="n">
        <v>0</v>
      </c>
      <c r="O759" s="10" t="n">
        <v>0</v>
      </c>
      <c r="P759" s="10" t="n">
        <v>0</v>
      </c>
      <c r="Q759" s="10" t="n">
        <v>0</v>
      </c>
      <c r="R759" s="10" t="n">
        <v>0</v>
      </c>
      <c r="S759" s="10" t="n">
        <v>0</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S759"/>
  <sheetViews>
    <sheetView tabSelected="1" topLeftCell="A746" workbookViewId="0">
      <selection activeCell="G756" sqref="G756"/>
    </sheetView>
  </sheetViews>
  <sheetFormatPr baseColWidth="10" defaultRowHeight="16"/>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Summary</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inlineStr">
        <is>
          <t>No instructions or artifacts are provided for Item1.</t>
        </is>
      </c>
      <c r="G2" s="8" t="inlineStr">
        <is>
          <t>1</t>
        </is>
      </c>
      <c r="H2" s="8" t="inlineStr">
        <is>
          <t>0</t>
        </is>
      </c>
      <c r="I2" s="8" t="inlineStr">
        <is>
          <t>0</t>
        </is>
      </c>
      <c r="J2" s="8" t="inlineStr">
        <is>
          <t>0</t>
        </is>
      </c>
      <c r="K2" s="9" t="inlineStr">
        <is>
          <t>0</t>
        </is>
      </c>
      <c r="L2" s="9" t="inlineStr">
        <is>
          <t>0</t>
        </is>
      </c>
      <c r="M2" s="9" t="inlineStr">
        <is>
          <t>0</t>
        </is>
      </c>
      <c r="N2" s="9" t="inlineStr">
        <is>
          <t>0</t>
        </is>
      </c>
      <c r="O2" s="10" t="inlineStr">
        <is>
          <t>0</t>
        </is>
      </c>
      <c r="P2" s="10" t="inlineStr">
        <is>
          <t>0</t>
        </is>
      </c>
      <c r="Q2" s="10" t="inlineStr">
        <is>
          <t>0</t>
        </is>
      </c>
      <c r="R2" s="10" t="inlineStr">
        <is>
          <t>0</t>
        </is>
      </c>
      <c r="S2" s="10" t="inlineStr">
        <is>
          <t>0</t>
        </is>
      </c>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inlineStr">
        <is>
          <t>Students observe images, describe contents, and explain object functions and roles. No artifacts are embedded.</t>
        </is>
      </c>
      <c r="G3" s="8" t="inlineStr">
        <is>
          <t>0</t>
        </is>
      </c>
      <c r="H3" s="8" t="inlineStr">
        <is>
          <t>0</t>
        </is>
      </c>
      <c r="I3" s="8" t="inlineStr">
        <is>
          <t>0</t>
        </is>
      </c>
      <c r="J3" s="8" t="inlineStr">
        <is>
          <t>0</t>
        </is>
      </c>
      <c r="K3" s="9" t="inlineStr">
        <is>
          <t>1</t>
        </is>
      </c>
      <c r="L3" s="9" t="inlineStr">
        <is>
          <t>0</t>
        </is>
      </c>
      <c r="M3" s="9" t="inlineStr">
        <is>
          <t>0</t>
        </is>
      </c>
      <c r="N3" s="9" t="inlineStr">
        <is>
          <t>0</t>
        </is>
      </c>
      <c r="O3" s="10" t="inlineStr">
        <is>
          <t>1</t>
        </is>
      </c>
      <c r="P3" s="10" t="inlineStr">
        <is>
          <t>1</t>
        </is>
      </c>
      <c r="Q3" s="10" t="inlineStr">
        <is>
          <t>1</t>
        </is>
      </c>
      <c r="R3" s="10" t="inlineStr">
        <is>
          <t>0</t>
        </is>
      </c>
      <c r="S3" s="10" t="inlineStr">
        <is>
          <t>0</t>
        </is>
      </c>
    </row>
    <row r="4" ht="121"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inlineStr">
        <is>
          <t>Students were given tasks with questions about images. Some items had no descriptions, while others had specific queries and an embedded JPEG artifact.</t>
        </is>
      </c>
      <c r="G4" s="8" t="inlineStr">
        <is>
          <t>1</t>
        </is>
      </c>
      <c r="H4" s="8" t="inlineStr">
        <is>
          <t>0</t>
        </is>
      </c>
      <c r="I4" s="8" t="inlineStr">
        <is>
          <t>0</t>
        </is>
      </c>
      <c r="J4" s="8" t="inlineStr">
        <is>
          <t>0</t>
        </is>
      </c>
      <c r="K4" s="9" t="inlineStr">
        <is>
          <t>0</t>
        </is>
      </c>
      <c r="L4" s="9" t="inlineStr">
        <is>
          <t>0</t>
        </is>
      </c>
      <c r="M4" s="9" t="inlineStr">
        <is>
          <t>0</t>
        </is>
      </c>
      <c r="N4" s="9" t="inlineStr">
        <is>
          <t>0</t>
        </is>
      </c>
      <c r="O4" s="10" t="inlineStr">
        <is>
          <t>0</t>
        </is>
      </c>
      <c r="P4" s="10" t="inlineStr">
        <is>
          <t>0</t>
        </is>
      </c>
      <c r="Q4" s="10" t="inlineStr">
        <is>
          <t>0</t>
        </is>
      </c>
      <c r="R4" s="10" t="inlineStr">
        <is>
          <t>0</t>
        </is>
      </c>
      <c r="S4" s="10" t="inlineStr">
        <is>
          <t>0</t>
        </is>
      </c>
    </row>
    <row r="5" ht="329"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inlineStr">
        <is>
          <t>Students observe images and describe their functions. Embedded artifacts include a JPEG image and the Golabz app/lab for note-taking and collaboration.</t>
        </is>
      </c>
      <c r="G5" s="8" t="inlineStr">
        <is>
          <t>0</t>
        </is>
      </c>
      <c r="H5" s="8" t="inlineStr">
        <is>
          <t>1</t>
        </is>
      </c>
      <c r="I5" s="8" t="inlineStr">
        <is>
          <t>1</t>
        </is>
      </c>
      <c r="J5" s="8" t="inlineStr">
        <is>
          <t>1</t>
        </is>
      </c>
      <c r="K5" s="9" t="inlineStr">
        <is>
          <t>0</t>
        </is>
      </c>
      <c r="L5" s="9" t="inlineStr">
        <is>
          <t>1</t>
        </is>
      </c>
      <c r="M5" s="9" t="inlineStr">
        <is>
          <t>1</t>
        </is>
      </c>
      <c r="N5" s="9" t="inlineStr">
        <is>
          <t>1</t>
        </is>
      </c>
      <c r="O5" s="10" t="inlineStr">
        <is>
          <t>0</t>
        </is>
      </c>
      <c r="P5" s="10" t="inlineStr">
        <is>
          <t>0</t>
        </is>
      </c>
      <c r="Q5" s="10" t="inlineStr">
        <is>
          <t>0</t>
        </is>
      </c>
      <c r="R5" s="10" t="inlineStr">
        <is>
          <t>0</t>
        </is>
      </c>
      <c r="S5" s="10" t="inlineStr">
        <is>
          <t>1</t>
        </is>
      </c>
    </row>
    <row r="6" ht="73"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inlineStr">
        <is>
          <t>No task descriptions are provided. Embedded artifacts include images and Golabz apps for note-taking, collaboration, and teacher feedback.</t>
        </is>
      </c>
      <c r="G6" s="8" t="inlineStr">
        <is>
          <t>0</t>
        </is>
      </c>
      <c r="H6" s="8" t="inlineStr">
        <is>
          <t>0</t>
        </is>
      </c>
      <c r="I6" s="8" t="inlineStr">
        <is>
          <t>0</t>
        </is>
      </c>
      <c r="J6" s="8" t="inlineStr">
        <is>
          <t>1</t>
        </is>
      </c>
      <c r="K6" s="9" t="inlineStr">
        <is>
          <t>0</t>
        </is>
      </c>
      <c r="L6" s="9" t="inlineStr">
        <is>
          <t>0</t>
        </is>
      </c>
      <c r="M6" s="9" t="inlineStr">
        <is>
          <t>0</t>
        </is>
      </c>
      <c r="N6" s="9" t="inlineStr">
        <is>
          <t>0</t>
        </is>
      </c>
      <c r="O6" s="10" t="inlineStr">
        <is>
          <t>0</t>
        </is>
      </c>
      <c r="P6" s="10" t="inlineStr">
        <is>
          <t>0</t>
        </is>
      </c>
      <c r="Q6" s="10" t="inlineStr">
        <is>
          <t>0</t>
        </is>
      </c>
      <c r="R6" s="10" t="inlineStr">
        <is>
          <t>0</t>
        </is>
      </c>
      <c r="S6" s="10" t="inlineStr">
        <is>
          <t>1</t>
        </is>
      </c>
    </row>
    <row r="7" ht="37"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inlineStr">
        <is>
          <t>Students have no task descriptions, but use Golabz apps for note-taking and teacher feedback. One item has a video observation task.</t>
        </is>
      </c>
      <c r="G7" s="8" t="inlineStr">
        <is>
          <t>1</t>
        </is>
      </c>
      <c r="H7" s="8" t="inlineStr">
        <is>
          <t>0</t>
        </is>
      </c>
      <c r="I7" s="8" t="inlineStr">
        <is>
          <t>0</t>
        </is>
      </c>
      <c r="J7" s="8" t="inlineStr">
        <is>
          <t>0</t>
        </is>
      </c>
      <c r="K7" s="9" t="inlineStr">
        <is>
          <t>1</t>
        </is>
      </c>
      <c r="L7" s="9" t="inlineStr">
        <is>
          <t>0</t>
        </is>
      </c>
      <c r="M7" s="9" t="inlineStr">
        <is>
          <t>0</t>
        </is>
      </c>
      <c r="N7" s="9" t="inlineStr">
        <is>
          <t>0</t>
        </is>
      </c>
      <c r="O7" s="10" t="inlineStr">
        <is>
          <t>0</t>
        </is>
      </c>
      <c r="P7" s="10" t="inlineStr">
        <is>
          <t>0</t>
        </is>
      </c>
      <c r="Q7" s="10" t="inlineStr">
        <is>
          <t>0</t>
        </is>
      </c>
      <c r="R7" s="10" t="inlineStr">
        <is>
          <t>0</t>
        </is>
      </c>
      <c r="S7" s="10" t="inlineStr">
        <is>
          <t>0</t>
        </is>
      </c>
    </row>
    <row r="8" ht="121"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inlineStr">
        <is>
          <t>Students were given tasks with varying descriptions and artifacts, including a feedback tool, a video, and an MP4 video file.</t>
        </is>
      </c>
      <c r="G8" s="8" t="inlineStr">
        <is>
          <t>1</t>
        </is>
      </c>
      <c r="H8" s="8" t="inlineStr">
        <is>
          <t>0</t>
        </is>
      </c>
      <c r="I8" s="8" t="inlineStr">
        <is>
          <t>0</t>
        </is>
      </c>
      <c r="J8" s="8" t="inlineStr">
        <is>
          <t>0</t>
        </is>
      </c>
      <c r="K8" s="9" t="inlineStr">
        <is>
          <t>0</t>
        </is>
      </c>
      <c r="L8" s="9" t="inlineStr">
        <is>
          <t>0</t>
        </is>
      </c>
      <c r="M8" s="9" t="inlineStr">
        <is>
          <t>0</t>
        </is>
      </c>
      <c r="N8" s="9" t="inlineStr">
        <is>
          <t>0</t>
        </is>
      </c>
      <c r="O8" s="10" t="inlineStr">
        <is>
          <t>0</t>
        </is>
      </c>
      <c r="P8" s="10" t="inlineStr">
        <is>
          <t>0</t>
        </is>
      </c>
      <c r="Q8" s="10" t="inlineStr">
        <is>
          <t>0</t>
        </is>
      </c>
      <c r="R8" s="10" t="inlineStr">
        <is>
          <t>0</t>
        </is>
      </c>
      <c r="S8" s="10" t="inlineStr">
        <is>
          <t>0</t>
        </is>
      </c>
    </row>
    <row r="9" ht="329"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inlineStr">
        <is>
          <t>Students observe a video and use apps like Input Box for note-taking, with optional collaboration features.</t>
        </is>
      </c>
      <c r="G9" s="8" t="inlineStr">
        <is>
          <t>0</t>
        </is>
      </c>
      <c r="H9" s="8" t="inlineStr">
        <is>
          <t>1</t>
        </is>
      </c>
      <c r="I9" s="8" t="inlineStr">
        <is>
          <t>1</t>
        </is>
      </c>
      <c r="J9" s="8" t="inlineStr">
        <is>
          <t>1</t>
        </is>
      </c>
      <c r="K9" s="9" t="inlineStr">
        <is>
          <t>0</t>
        </is>
      </c>
      <c r="L9" s="9" t="inlineStr">
        <is>
          <t>1</t>
        </is>
      </c>
      <c r="M9" s="9" t="inlineStr">
        <is>
          <t>1</t>
        </is>
      </c>
      <c r="N9" s="9" t="inlineStr">
        <is>
          <t>1</t>
        </is>
      </c>
      <c r="O9" s="10" t="inlineStr">
        <is>
          <t>0</t>
        </is>
      </c>
      <c r="P9" s="10" t="inlineStr">
        <is>
          <t>0</t>
        </is>
      </c>
      <c r="Q9" s="10" t="inlineStr">
        <is>
          <t>0</t>
        </is>
      </c>
      <c r="R9" s="10" t="inlineStr">
        <is>
          <t>0</t>
        </is>
      </c>
      <c r="S9" s="10" t="inlineStr">
        <is>
          <t>1</t>
        </is>
      </c>
    </row>
    <row r="10" ht="73"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inlineStr">
        <is>
          <t>No task descriptions are provided. Embedded artifacts include a video file and two Golabz apps for note-taking and teacher feedback.</t>
        </is>
      </c>
      <c r="G10" s="8" t="inlineStr">
        <is>
          <t>0</t>
        </is>
      </c>
      <c r="H10" s="8" t="inlineStr">
        <is>
          <t>0</t>
        </is>
      </c>
      <c r="I10" s="8" t="inlineStr">
        <is>
          <t>0</t>
        </is>
      </c>
      <c r="J10" s="8" t="inlineStr">
        <is>
          <t>1</t>
        </is>
      </c>
      <c r="K10" s="9" t="inlineStr">
        <is>
          <t>0</t>
        </is>
      </c>
      <c r="L10" s="9" t="inlineStr">
        <is>
          <t>0</t>
        </is>
      </c>
      <c r="M10" s="9" t="inlineStr">
        <is>
          <t>0</t>
        </is>
      </c>
      <c r="N10" s="9" t="inlineStr">
        <is>
          <t>0</t>
        </is>
      </c>
      <c r="O10" s="10" t="inlineStr">
        <is>
          <t>0</t>
        </is>
      </c>
      <c r="P10" s="10" t="inlineStr">
        <is>
          <t>0</t>
        </is>
      </c>
      <c r="Q10" s="10" t="inlineStr">
        <is>
          <t>0</t>
        </is>
      </c>
      <c r="R10" s="10" t="inlineStr">
        <is>
          <t>0</t>
        </is>
      </c>
      <c r="S10" s="10" t="inlineStr">
        <is>
          <t>1</t>
        </is>
      </c>
    </row>
    <row r="11" ht="37"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inlineStr">
        <is>
          <t>Students received no task descriptions for Items 1 and 2, but had access to Golabz apps. Item 3 instructed "Click Explore".</t>
        </is>
      </c>
      <c r="G11" s="8" t="inlineStr">
        <is>
          <t>1</t>
        </is>
      </c>
      <c r="H11" s="8" t="inlineStr">
        <is>
          <t>0</t>
        </is>
      </c>
      <c r="I11" s="8" t="inlineStr">
        <is>
          <t>0</t>
        </is>
      </c>
      <c r="J11" s="8" t="inlineStr">
        <is>
          <t>0</t>
        </is>
      </c>
      <c r="K11" s="9" t="inlineStr">
        <is>
          <t>1</t>
        </is>
      </c>
      <c r="L11" s="9" t="inlineStr">
        <is>
          <t>0</t>
        </is>
      </c>
      <c r="M11" s="9" t="inlineStr">
        <is>
          <t>0</t>
        </is>
      </c>
      <c r="N11" s="9" t="inlineStr">
        <is>
          <t>0</t>
        </is>
      </c>
      <c r="O11" s="10" t="inlineStr">
        <is>
          <t>0</t>
        </is>
      </c>
      <c r="P11" s="10" t="inlineStr">
        <is>
          <t>0</t>
        </is>
      </c>
      <c r="Q11" s="10" t="inlineStr">
        <is>
          <t>0</t>
        </is>
      </c>
      <c r="R11" s="10" t="inlineStr">
        <is>
          <t>0</t>
        </is>
      </c>
      <c r="S11" s="10" t="inlineStr">
        <is>
          <t>0</t>
        </is>
      </c>
    </row>
    <row r="12" ht="241"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inlineStr">
        <is>
          <t>Students are given tasks with varying descriptions and some have embedded artifacts like the Golabz app/lab for teacher feedback.</t>
        </is>
      </c>
      <c r="G12" s="8" t="inlineStr">
        <is>
          <t>1</t>
        </is>
      </c>
      <c r="H12" s="8" t="inlineStr">
        <is>
          <t>0</t>
        </is>
      </c>
      <c r="I12" s="8" t="inlineStr">
        <is>
          <t>0</t>
        </is>
      </c>
      <c r="J12" s="8" t="inlineStr">
        <is>
          <t>1</t>
        </is>
      </c>
      <c r="K12" s="9" t="inlineStr">
        <is>
          <t>1</t>
        </is>
      </c>
      <c r="L12" s="9" t="inlineStr">
        <is>
          <t>0</t>
        </is>
      </c>
      <c r="M12" s="9" t="inlineStr">
        <is>
          <t>0</t>
        </is>
      </c>
      <c r="N12" s="9" t="inlineStr">
        <is>
          <t>0</t>
        </is>
      </c>
      <c r="O12" s="10" t="inlineStr">
        <is>
          <t>0</t>
        </is>
      </c>
      <c r="P12" s="10" t="inlineStr">
        <is>
          <t>0</t>
        </is>
      </c>
      <c r="Q12" s="10" t="inlineStr">
        <is>
          <t>0</t>
        </is>
      </c>
      <c r="R12" s="10" t="inlineStr">
        <is>
          <t>0</t>
        </is>
      </c>
      <c r="S12" s="10" t="inlineStr">
        <is>
          <t>0</t>
        </is>
      </c>
    </row>
    <row r="13" ht="133"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inlineStr">
        <is>
          <t>Students are given tasks and instructions, with some items having embedded artifacts, such as a lab simulation.</t>
        </is>
      </c>
      <c r="G13" s="8" t="inlineStr">
        <is>
          <t>0</t>
        </is>
      </c>
      <c r="H13" s="8" t="inlineStr">
        <is>
          <t>1</t>
        </is>
      </c>
      <c r="I13" s="8" t="inlineStr">
        <is>
          <t>1</t>
        </is>
      </c>
      <c r="J13" s="8" t="inlineStr">
        <is>
          <t>1</t>
        </is>
      </c>
      <c r="K13" s="9" t="inlineStr">
        <is>
          <t>1</t>
        </is>
      </c>
      <c r="L13" s="9" t="inlineStr">
        <is>
          <t>0</t>
        </is>
      </c>
      <c r="M13" s="9" t="inlineStr">
        <is>
          <t>0</t>
        </is>
      </c>
      <c r="N13" s="9" t="inlineStr">
        <is>
          <t>0</t>
        </is>
      </c>
      <c r="O13" s="10" t="inlineStr">
        <is>
          <t>1</t>
        </is>
      </c>
      <c r="P13" s="10" t="inlineStr">
        <is>
          <t>0</t>
        </is>
      </c>
      <c r="Q13" s="10" t="inlineStr">
        <is>
          <t>1</t>
        </is>
      </c>
      <c r="R13" s="10" t="inlineStr">
        <is>
          <t>0</t>
        </is>
      </c>
      <c r="S13" s="10" t="inlineStr">
        <is>
          <t>0</t>
        </is>
      </c>
    </row>
    <row r="14" ht="49"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inlineStr">
        <is>
          <t>Students read instructions, then proceed. Embedded artifacts include a lab app for experimenting with Hooke's law.</t>
        </is>
      </c>
      <c r="G14" s="8" t="inlineStr">
        <is>
          <t>1</t>
        </is>
      </c>
      <c r="H14" s="8" t="inlineStr">
        <is>
          <t>0</t>
        </is>
      </c>
      <c r="I14" s="8" t="inlineStr">
        <is>
          <t>0</t>
        </is>
      </c>
      <c r="J14" s="8" t="inlineStr">
        <is>
          <t>0</t>
        </is>
      </c>
      <c r="K14" s="9" t="inlineStr">
        <is>
          <t>1</t>
        </is>
      </c>
      <c r="L14" s="9" t="inlineStr">
        <is>
          <t>0</t>
        </is>
      </c>
      <c r="M14" s="9" t="inlineStr">
        <is>
          <t>0</t>
        </is>
      </c>
      <c r="N14" s="9" t="inlineStr">
        <is>
          <t>0</t>
        </is>
      </c>
      <c r="O14" s="10" t="inlineStr">
        <is>
          <t>0</t>
        </is>
      </c>
      <c r="P14" s="10" t="inlineStr">
        <is>
          <t>0</t>
        </is>
      </c>
      <c r="Q14" s="10" t="inlineStr">
        <is>
          <t>0</t>
        </is>
      </c>
      <c r="R14" s="10" t="inlineStr">
        <is>
          <t>0</t>
        </is>
      </c>
      <c r="S14" s="10" t="inlineStr">
        <is>
          <t>0</t>
        </is>
      </c>
    </row>
    <row r="15" ht="25"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inlineStr">
        <is>
          <t>Students were given tasks with some items having no descriptions. Embedded artifacts included the Golabz app/lab for experimenting with Hooke's law.</t>
        </is>
      </c>
      <c r="G15" s="8" t="inlineStr">
        <is>
          <t>1</t>
        </is>
      </c>
      <c r="H15" s="8" t="inlineStr">
        <is>
          <t>0</t>
        </is>
      </c>
      <c r="I15" s="8" t="inlineStr">
        <is>
          <t>0</t>
        </is>
      </c>
      <c r="J15" s="8" t="inlineStr">
        <is>
          <t>0</t>
        </is>
      </c>
      <c r="K15" s="9" t="inlineStr">
        <is>
          <t>0</t>
        </is>
      </c>
      <c r="L15" s="9" t="inlineStr">
        <is>
          <t>0</t>
        </is>
      </c>
      <c r="M15" s="9" t="inlineStr">
        <is>
          <t>0</t>
        </is>
      </c>
      <c r="N15" s="9" t="inlineStr">
        <is>
          <t>0</t>
        </is>
      </c>
      <c r="O15" s="10" t="inlineStr">
        <is>
          <t>0</t>
        </is>
      </c>
      <c r="P15" s="10" t="inlineStr">
        <is>
          <t>0</t>
        </is>
      </c>
      <c r="Q15" s="10" t="inlineStr">
        <is>
          <t>0</t>
        </is>
      </c>
      <c r="R15" s="10" t="inlineStr">
        <is>
          <t>0</t>
        </is>
      </c>
      <c r="S15" s="10" t="inlineStr">
        <is>
          <t>0</t>
        </is>
      </c>
    </row>
    <row r="16" ht="409.5"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inlineStr">
        <is>
          <t>Students click "Explain" with no embedded artifacts in Items 1 and 2. Item 3 has a Golabz app/lab for hypothesis formulation with configuration options.</t>
        </is>
      </c>
      <c r="G16" s="8" t="inlineStr">
        <is>
          <t>0</t>
        </is>
      </c>
      <c r="H16" s="8" t="inlineStr">
        <is>
          <t>1</t>
        </is>
      </c>
      <c r="I16" s="8" t="inlineStr">
        <is>
          <t>1</t>
        </is>
      </c>
      <c r="J16" s="8" t="inlineStr">
        <is>
          <t>1</t>
        </is>
      </c>
      <c r="K16" s="9" t="inlineStr">
        <is>
          <t>1</t>
        </is>
      </c>
      <c r="L16" s="9" t="inlineStr">
        <is>
          <t>1</t>
        </is>
      </c>
      <c r="M16" s="9" t="inlineStr">
        <is>
          <t>1</t>
        </is>
      </c>
      <c r="N16" s="9" t="inlineStr">
        <is>
          <t>1</t>
        </is>
      </c>
      <c r="O16" s="10" t="inlineStr">
        <is>
          <t>0</t>
        </is>
      </c>
      <c r="P16" s="10" t="inlineStr">
        <is>
          <t>1</t>
        </is>
      </c>
      <c r="Q16" s="10" t="inlineStr">
        <is>
          <t>1</t>
        </is>
      </c>
      <c r="R16" s="10" t="inlineStr">
        <is>
          <t>0</t>
        </is>
      </c>
      <c r="S16" s="10" t="inlineStr">
        <is>
          <t>0</t>
        </is>
      </c>
    </row>
    <row r="17" ht="85"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inlineStr">
        <is>
          <t>Students received no task descriptions for Items 1 and 2, but Item 2 had a Golabz app/lab with instructions on using the Hypothesis Scratchpad tool. Item 3 had a task description with no embedded artifact.</t>
        </is>
      </c>
      <c r="G17" s="8" t="inlineStr">
        <is>
          <t>0</t>
        </is>
      </c>
      <c r="H17" s="8" t="inlineStr">
        <is>
          <t>0</t>
        </is>
      </c>
      <c r="I17" s="8" t="inlineStr">
        <is>
          <t>0</t>
        </is>
      </c>
      <c r="J17" s="8" t="inlineStr">
        <is>
          <t>0</t>
        </is>
      </c>
      <c r="K17" s="9" t="inlineStr">
        <is>
          <t>1</t>
        </is>
      </c>
      <c r="L17" s="9" t="inlineStr">
        <is>
          <t>0</t>
        </is>
      </c>
      <c r="M17" s="9" t="inlineStr">
        <is>
          <t>0</t>
        </is>
      </c>
      <c r="N17" s="9" t="inlineStr">
        <is>
          <t>0</t>
        </is>
      </c>
      <c r="O17" s="10" t="inlineStr">
        <is>
          <t>1</t>
        </is>
      </c>
      <c r="P17" s="10" t="inlineStr">
        <is>
          <t>1</t>
        </is>
      </c>
      <c r="Q17" s="10" t="inlineStr">
        <is>
          <t>1</t>
        </is>
      </c>
      <c r="R17" s="10" t="inlineStr">
        <is>
          <t>0</t>
        </is>
      </c>
      <c r="S17" s="10" t="inlineStr">
        <is>
          <t>0</t>
        </is>
      </c>
    </row>
    <row r="18" ht="329"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inlineStr">
        <is>
          <t>Students were given tasks with some having no description. Embedded artifacts included interactive tools like Hypothesis Scratchpad and Input Box for hypothesis formulation and note-taking.</t>
        </is>
      </c>
      <c r="G18" s="8" t="inlineStr">
        <is>
          <t>0</t>
        </is>
      </c>
      <c r="H18" s="8" t="inlineStr">
        <is>
          <t>1</t>
        </is>
      </c>
      <c r="I18" s="8" t="inlineStr">
        <is>
          <t>1</t>
        </is>
      </c>
      <c r="J18" s="8" t="inlineStr">
        <is>
          <t>1</t>
        </is>
      </c>
      <c r="K18" s="9" t="inlineStr">
        <is>
          <t>0</t>
        </is>
      </c>
      <c r="L18" s="9" t="inlineStr">
        <is>
          <t>1</t>
        </is>
      </c>
      <c r="M18" s="9" t="inlineStr">
        <is>
          <t>1</t>
        </is>
      </c>
      <c r="N18" s="9" t="inlineStr">
        <is>
          <t>1</t>
        </is>
      </c>
      <c r="O18" s="10" t="inlineStr">
        <is>
          <t>0</t>
        </is>
      </c>
      <c r="P18" s="10" t="inlineStr">
        <is>
          <t>0</t>
        </is>
      </c>
      <c r="Q18" s="10" t="inlineStr">
        <is>
          <t>0</t>
        </is>
      </c>
      <c r="R18" s="10" t="inlineStr">
        <is>
          <t>0</t>
        </is>
      </c>
      <c r="S18" s="10" t="inlineStr">
        <is>
          <t>1</t>
        </is>
      </c>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inlineStr">
        <is>
          <t>Students receive task descriptions with no artifacts in Items 1 and 3, while Item 2 has an embedded Golabz app for note-taking.</t>
        </is>
      </c>
      <c r="G19" s="8" t="inlineStr">
        <is>
          <t>0</t>
        </is>
      </c>
      <c r="H19" s="8" t="inlineStr">
        <is>
          <t>0</t>
        </is>
      </c>
      <c r="I19" s="8" t="inlineStr">
        <is>
          <t>0</t>
        </is>
      </c>
      <c r="J19" s="8" t="inlineStr">
        <is>
          <t>0</t>
        </is>
      </c>
      <c r="K19" s="9" t="inlineStr">
        <is>
          <t>1</t>
        </is>
      </c>
      <c r="L19" s="9" t="inlineStr">
        <is>
          <t>0</t>
        </is>
      </c>
      <c r="M19" s="9" t="inlineStr">
        <is>
          <t>0</t>
        </is>
      </c>
      <c r="N19" s="9" t="inlineStr">
        <is>
          <t>0</t>
        </is>
      </c>
      <c r="O19" s="10" t="inlineStr">
        <is>
          <t>1</t>
        </is>
      </c>
      <c r="P19" s="10" t="inlineStr">
        <is>
          <t>1</t>
        </is>
      </c>
      <c r="Q19" s="10" t="inlineStr">
        <is>
          <t>1</t>
        </is>
      </c>
      <c r="R19" s="10" t="inlineStr">
        <is>
          <t>0</t>
        </is>
      </c>
      <c r="S19" s="10" t="inlineStr">
        <is>
          <t>1</t>
        </is>
      </c>
    </row>
    <row r="20" ht="329"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inlineStr">
        <is>
          <t>Students receive tasks with optional embedded artifacts, including a note-taking app for collaboration and reflection on forces applied to springs.</t>
        </is>
      </c>
      <c r="G20" s="8" t="inlineStr">
        <is>
          <t>0</t>
        </is>
      </c>
      <c r="H20" s="8" t="inlineStr">
        <is>
          <t>1</t>
        </is>
      </c>
      <c r="I20" s="8" t="inlineStr">
        <is>
          <t>1</t>
        </is>
      </c>
      <c r="J20" s="8" t="inlineStr">
        <is>
          <t>1</t>
        </is>
      </c>
      <c r="K20" s="9" t="inlineStr">
        <is>
          <t>1</t>
        </is>
      </c>
      <c r="L20" s="9" t="inlineStr">
        <is>
          <t>1</t>
        </is>
      </c>
      <c r="M20" s="9" t="inlineStr">
        <is>
          <t>1</t>
        </is>
      </c>
      <c r="N20" s="9" t="inlineStr">
        <is>
          <t>1</t>
        </is>
      </c>
      <c r="O20" s="10" t="inlineStr">
        <is>
          <t>0</t>
        </is>
      </c>
      <c r="P20" s="10" t="inlineStr">
        <is>
          <t>0</t>
        </is>
      </c>
      <c r="Q20" s="10" t="inlineStr">
        <is>
          <t>0</t>
        </is>
      </c>
      <c r="R20" s="10" t="inlineStr">
        <is>
          <t>0</t>
        </is>
      </c>
      <c r="S20" s="10" t="inlineStr">
        <is>
          <t>1</t>
        </is>
      </c>
    </row>
    <row r="21" ht="8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inlineStr">
        <is>
          <t>Students were asked about relationships between forces and spring extensions, and measured extensions. Embedded artifacts include a note-taking app in Item2.</t>
        </is>
      </c>
      <c r="G21" s="8" t="inlineStr">
        <is>
          <t>0</t>
        </is>
      </c>
      <c r="H21" s="8" t="inlineStr">
        <is>
          <t>0</t>
        </is>
      </c>
      <c r="I21" s="8" t="inlineStr">
        <is>
          <t>0</t>
        </is>
      </c>
      <c r="J21" s="8" t="inlineStr">
        <is>
          <t>0</t>
        </is>
      </c>
      <c r="K21" s="9" t="inlineStr">
        <is>
          <t>1</t>
        </is>
      </c>
      <c r="L21" s="9" t="inlineStr">
        <is>
          <t>0</t>
        </is>
      </c>
      <c r="M21" s="9" t="inlineStr">
        <is>
          <t>0</t>
        </is>
      </c>
      <c r="N21" s="9" t="inlineStr">
        <is>
          <t>0</t>
        </is>
      </c>
      <c r="O21" s="10" t="inlineStr">
        <is>
          <t>1</t>
        </is>
      </c>
      <c r="P21" s="10" t="inlineStr">
        <is>
          <t>1</t>
        </is>
      </c>
      <c r="Q21" s="10" t="inlineStr">
        <is>
          <t>1</t>
        </is>
      </c>
      <c r="R21" s="10" t="inlineStr">
        <is>
          <t>0</t>
        </is>
      </c>
      <c r="S21" s="10" t="inlineStr">
        <is>
          <t>0</t>
        </is>
      </c>
    </row>
    <row r="22" ht="329"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inlineStr">
        <is>
          <t>Students are given tasks and access to Golabz app/lab for note-taking, with optional collaboration mode.</t>
        </is>
      </c>
      <c r="G22" s="8" t="inlineStr">
        <is>
          <t>0</t>
        </is>
      </c>
      <c r="H22" s="8" t="inlineStr">
        <is>
          <t>1</t>
        </is>
      </c>
      <c r="I22" s="8" t="inlineStr">
        <is>
          <t>1</t>
        </is>
      </c>
      <c r="J22" s="8" t="inlineStr">
        <is>
          <t>1</t>
        </is>
      </c>
      <c r="K22" s="9" t="inlineStr">
        <is>
          <t>0</t>
        </is>
      </c>
      <c r="L22" s="9" t="inlineStr">
        <is>
          <t>0</t>
        </is>
      </c>
      <c r="M22" s="9" t="inlineStr">
        <is>
          <t>1</t>
        </is>
      </c>
      <c r="N22" s="9" t="inlineStr">
        <is>
          <t>1</t>
        </is>
      </c>
      <c r="O22" s="10" t="inlineStr">
        <is>
          <t>0</t>
        </is>
      </c>
      <c r="P22" s="10" t="inlineStr">
        <is>
          <t>0</t>
        </is>
      </c>
      <c r="Q22" s="10" t="inlineStr">
        <is>
          <t>0</t>
        </is>
      </c>
      <c r="R22" s="10" t="inlineStr">
        <is>
          <t>0</t>
        </is>
      </c>
      <c r="S22" s="10" t="inlineStr">
        <is>
          <t>1</t>
        </is>
      </c>
    </row>
    <row r="23" ht="37"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inlineStr">
        <is>
          <t>Students were given tasks with varying descriptions and some had embedded artifacts like the Golabz app for note-taking.</t>
        </is>
      </c>
      <c r="G23" s="8" t="inlineStr">
        <is>
          <t>1</t>
        </is>
      </c>
      <c r="H23" s="8" t="inlineStr">
        <is>
          <t>0</t>
        </is>
      </c>
      <c r="I23" s="8" t="inlineStr">
        <is>
          <t>0</t>
        </is>
      </c>
      <c r="J23" s="8" t="inlineStr">
        <is>
          <t>0</t>
        </is>
      </c>
      <c r="K23" s="9" t="inlineStr">
        <is>
          <t>1</t>
        </is>
      </c>
      <c r="L23" s="9" t="inlineStr">
        <is>
          <t>0</t>
        </is>
      </c>
      <c r="M23" s="9" t="inlineStr">
        <is>
          <t>0</t>
        </is>
      </c>
      <c r="N23" s="9" t="inlineStr">
        <is>
          <t>0</t>
        </is>
      </c>
      <c r="O23" s="10" t="inlineStr">
        <is>
          <t>0</t>
        </is>
      </c>
      <c r="P23" s="10" t="inlineStr">
        <is>
          <t>0</t>
        </is>
      </c>
      <c r="Q23" s="10" t="inlineStr">
        <is>
          <t>0</t>
        </is>
      </c>
      <c r="R23" s="10" t="inlineStr">
        <is>
          <t>0</t>
        </is>
      </c>
      <c r="S23" s="10" t="inlineStr">
        <is>
          <t>0</t>
        </is>
      </c>
    </row>
    <row r="24" ht="25"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inlineStr">
        <is>
          <t>Students are given tasks with optional descriptions and embedded artifacts, such as the Golabz app/lab for note-taking.</t>
        </is>
      </c>
      <c r="G24" s="8" t="inlineStr">
        <is>
          <t>1</t>
        </is>
      </c>
      <c r="H24" s="8" t="inlineStr">
        <is>
          <t>0</t>
        </is>
      </c>
      <c r="I24" s="8" t="inlineStr">
        <is>
          <t>0</t>
        </is>
      </c>
      <c r="J24" s="8" t="inlineStr">
        <is>
          <t>0</t>
        </is>
      </c>
      <c r="K24" s="9" t="inlineStr">
        <is>
          <t>0</t>
        </is>
      </c>
      <c r="L24" s="9" t="inlineStr">
        <is>
          <t>0</t>
        </is>
      </c>
      <c r="M24" s="9" t="inlineStr">
        <is>
          <t>0</t>
        </is>
      </c>
      <c r="N24" s="9" t="inlineStr">
        <is>
          <t>0</t>
        </is>
      </c>
      <c r="O24" s="10" t="inlineStr">
        <is>
          <t>0</t>
        </is>
      </c>
      <c r="P24" s="10" t="inlineStr">
        <is>
          <t>0</t>
        </is>
      </c>
      <c r="Q24" s="10" t="inlineStr">
        <is>
          <t>0</t>
        </is>
      </c>
      <c r="R24" s="10" t="inlineStr">
        <is>
          <t>0</t>
        </is>
      </c>
      <c r="S24" s="10" t="inlineStr">
        <is>
          <t>0</t>
        </is>
      </c>
    </row>
    <row r="25" ht="409.5"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inlineStr">
        <is>
          <t>Students were given task descriptions with no artifacts embedded. Item 1 and 2 had minimal instructions, while Item 3 described elastic materials.</t>
        </is>
      </c>
      <c r="G25" s="8" t="inlineStr">
        <is>
          <t>1</t>
        </is>
      </c>
      <c r="H25" s="8" t="inlineStr">
        <is>
          <t>0</t>
        </is>
      </c>
      <c r="I25" s="8" t="inlineStr">
        <is>
          <t>0</t>
        </is>
      </c>
      <c r="J25" s="8" t="inlineStr">
        <is>
          <t>0</t>
        </is>
      </c>
      <c r="K25" s="9" t="inlineStr">
        <is>
          <t>0</t>
        </is>
      </c>
      <c r="L25" s="9" t="inlineStr">
        <is>
          <t>0</t>
        </is>
      </c>
      <c r="M25" s="9" t="inlineStr">
        <is>
          <t>0</t>
        </is>
      </c>
      <c r="N25" s="9" t="inlineStr">
        <is>
          <t>0</t>
        </is>
      </c>
      <c r="O25" s="10" t="inlineStr">
        <is>
          <t>0</t>
        </is>
      </c>
      <c r="P25" s="10" t="inlineStr">
        <is>
          <t>0</t>
        </is>
      </c>
      <c r="Q25" s="10" t="inlineStr">
        <is>
          <t>0</t>
        </is>
      </c>
      <c r="R25" s="10" t="inlineStr">
        <is>
          <t>0</t>
        </is>
      </c>
      <c r="S25" s="10" t="inlineStr">
        <is>
          <t>0</t>
        </is>
      </c>
    </row>
    <row r="26" ht="37"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inlineStr">
        <is>
          <t>No task descriptions or artifacts in Items 1 and 3. Item 2 describes elastic materials and Hooke's Law.</t>
        </is>
      </c>
      <c r="G26" s="8" t="inlineStr">
        <is>
          <t>1</t>
        </is>
      </c>
      <c r="H26" s="8" t="inlineStr">
        <is>
          <t>0</t>
        </is>
      </c>
      <c r="I26" s="8" t="inlineStr">
        <is>
          <t>0</t>
        </is>
      </c>
      <c r="J26" s="8" t="inlineStr">
        <is>
          <t>0</t>
        </is>
      </c>
      <c r="K26" s="9" t="inlineStr">
        <is>
          <t>1</t>
        </is>
      </c>
      <c r="L26" s="9" t="inlineStr">
        <is>
          <t>0</t>
        </is>
      </c>
      <c r="M26" s="9" t="inlineStr">
        <is>
          <t>0</t>
        </is>
      </c>
      <c r="N26" s="9" t="inlineStr">
        <is>
          <t>0</t>
        </is>
      </c>
      <c r="O26" s="10" t="inlineStr">
        <is>
          <t>0</t>
        </is>
      </c>
      <c r="P26" s="10" t="inlineStr">
        <is>
          <t>0</t>
        </is>
      </c>
      <c r="Q26" s="10" t="inlineStr">
        <is>
          <t>0</t>
        </is>
      </c>
      <c r="R26" s="10" t="inlineStr">
        <is>
          <t>0</t>
        </is>
      </c>
      <c r="S26" s="10" t="inlineStr">
        <is>
          <t>0</t>
        </is>
      </c>
    </row>
    <row r="27" ht="2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inlineStr">
        <is>
          <t>No instructions are provided to students. All items have "No artifact embedded" and lack meaningful tasks, except for Item2 which says "Click on Evaluation to continue".</t>
        </is>
      </c>
      <c r="G27" s="8" t="inlineStr">
        <is>
          <t>1</t>
        </is>
      </c>
      <c r="H27" s="8" t="inlineStr">
        <is>
          <t>0</t>
        </is>
      </c>
      <c r="I27" s="8" t="inlineStr">
        <is>
          <t>0</t>
        </is>
      </c>
      <c r="J27" s="8" t="inlineStr">
        <is>
          <t>0</t>
        </is>
      </c>
      <c r="K27" s="9" t="inlineStr">
        <is>
          <t>0</t>
        </is>
      </c>
      <c r="L27" s="9" t="inlineStr">
        <is>
          <t>0</t>
        </is>
      </c>
      <c r="M27" s="9" t="inlineStr">
        <is>
          <t>0</t>
        </is>
      </c>
      <c r="N27" s="9" t="inlineStr">
        <is>
          <t>0</t>
        </is>
      </c>
      <c r="O27" s="10" t="inlineStr">
        <is>
          <t>0</t>
        </is>
      </c>
      <c r="P27" s="10" t="inlineStr">
        <is>
          <t>0</t>
        </is>
      </c>
      <c r="Q27" s="10" t="inlineStr">
        <is>
          <t>0</t>
        </is>
      </c>
      <c r="R27" s="10" t="inlineStr">
        <is>
          <t>0</t>
        </is>
      </c>
      <c r="S27" s="10" t="inlineStr">
        <is>
          <t>0</t>
        </is>
      </c>
    </row>
    <row r="28" ht="296"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inlineStr">
        <is>
          <t>Students were instructed to click "Evaluation", attempt questions, with an embedded Golabz quiz app artifact in Item3.</t>
        </is>
      </c>
      <c r="G28" s="8" t="inlineStr">
        <is>
          <t>0</t>
        </is>
      </c>
      <c r="H28" s="8" t="inlineStr">
        <is>
          <t>1</t>
        </is>
      </c>
      <c r="I28" s="8" t="inlineStr">
        <is>
          <t>0</t>
        </is>
      </c>
      <c r="J28" s="8" t="inlineStr">
        <is>
          <t>1</t>
        </is>
      </c>
      <c r="K28" s="9" t="inlineStr">
        <is>
          <t>1</t>
        </is>
      </c>
      <c r="L28" s="9" t="inlineStr">
        <is>
          <t>1</t>
        </is>
      </c>
      <c r="M28" s="9" t="inlineStr">
        <is>
          <t>0</t>
        </is>
      </c>
      <c r="N28" s="9" t="inlineStr">
        <is>
          <t>0</t>
        </is>
      </c>
      <c r="O28" s="10" t="inlineStr">
        <is>
          <t>0</t>
        </is>
      </c>
      <c r="P28" s="10" t="inlineStr">
        <is>
          <t>0</t>
        </is>
      </c>
      <c r="Q28" s="10" t="inlineStr">
        <is>
          <t>0</t>
        </is>
      </c>
      <c r="R28" s="10" t="inlineStr">
        <is>
          <t>0</t>
        </is>
      </c>
      <c r="S28" s="10" t="inlineStr">
        <is>
          <t>0</t>
        </is>
      </c>
    </row>
    <row r="29" ht="37"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inlineStr">
        <is>
          <t>Students were given tasks with varying levels of guidance, including taking a quiz via Golabz app and answering a question about Hooke's Law.</t>
        </is>
      </c>
      <c r="G29" s="8" t="inlineStr">
        <is>
          <t>1</t>
        </is>
      </c>
      <c r="H29" s="8" t="inlineStr">
        <is>
          <t>0</t>
        </is>
      </c>
      <c r="I29" s="8" t="inlineStr">
        <is>
          <t>0</t>
        </is>
      </c>
      <c r="J29" s="8" t="inlineStr">
        <is>
          <t>0</t>
        </is>
      </c>
      <c r="K29" s="9" t="inlineStr">
        <is>
          <t>1</t>
        </is>
      </c>
      <c r="L29" s="9" t="inlineStr">
        <is>
          <t>0</t>
        </is>
      </c>
      <c r="M29" s="9" t="inlineStr">
        <is>
          <t>0</t>
        </is>
      </c>
      <c r="N29" s="9" t="inlineStr">
        <is>
          <t>0</t>
        </is>
      </c>
      <c r="O29" s="10" t="inlineStr">
        <is>
          <t>0</t>
        </is>
      </c>
      <c r="P29" s="10" t="inlineStr">
        <is>
          <t>0</t>
        </is>
      </c>
      <c r="Q29" s="10" t="inlineStr">
        <is>
          <t>0</t>
        </is>
      </c>
      <c r="R29" s="10" t="inlineStr">
        <is>
          <t>0</t>
        </is>
      </c>
      <c r="S29" s="10" t="inlineStr">
        <is>
          <t>0</t>
        </is>
      </c>
    </row>
    <row r="30" ht="329"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inlineStr">
        <is>
          <t>Students attempt quiz questions with interactive tools and apps, including Golabz and input boxes, with some items having no task or artifact description.</t>
        </is>
      </c>
      <c r="G30" s="8" t="inlineStr">
        <is>
          <t>0</t>
        </is>
      </c>
      <c r="H30" s="8" t="inlineStr">
        <is>
          <t>1</t>
        </is>
      </c>
      <c r="I30" s="8" t="inlineStr">
        <is>
          <t>1</t>
        </is>
      </c>
      <c r="J30" s="8" t="inlineStr">
        <is>
          <t>1</t>
        </is>
      </c>
      <c r="K30" s="9" t="inlineStr">
        <is>
          <t>0</t>
        </is>
      </c>
      <c r="L30" s="9" t="inlineStr">
        <is>
          <t>1</t>
        </is>
      </c>
      <c r="M30" s="9" t="inlineStr">
        <is>
          <t>1</t>
        </is>
      </c>
      <c r="N30" s="9" t="inlineStr">
        <is>
          <t>1</t>
        </is>
      </c>
      <c r="O30" s="10" t="inlineStr">
        <is>
          <t>0</t>
        </is>
      </c>
      <c r="P30" s="10" t="inlineStr">
        <is>
          <t>0</t>
        </is>
      </c>
      <c r="Q30" s="10" t="inlineStr">
        <is>
          <t>0</t>
        </is>
      </c>
      <c r="R30" s="10" t="inlineStr">
        <is>
          <t>0</t>
        </is>
      </c>
      <c r="S30" s="10" t="inlineStr">
        <is>
          <t>1</t>
        </is>
      </c>
    </row>
    <row r="31" ht="73"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inlineStr">
        <is>
          <t>Students were instructed to state Hooke's Law. Embedded artifacts include note-taking and feedback tools.</t>
        </is>
      </c>
      <c r="G31" s="8" t="inlineStr">
        <is>
          <t>0</t>
        </is>
      </c>
      <c r="H31" s="8" t="inlineStr">
        <is>
          <t>0</t>
        </is>
      </c>
      <c r="I31" s="8" t="inlineStr">
        <is>
          <t>0</t>
        </is>
      </c>
      <c r="J31" s="8" t="inlineStr">
        <is>
          <t>1</t>
        </is>
      </c>
      <c r="K31" s="9" t="inlineStr">
        <is>
          <t>0</t>
        </is>
      </c>
      <c r="L31" s="9" t="inlineStr">
        <is>
          <t>0</t>
        </is>
      </c>
      <c r="M31" s="9" t="inlineStr">
        <is>
          <t>0</t>
        </is>
      </c>
      <c r="N31" s="9" t="inlineStr">
        <is>
          <t>0</t>
        </is>
      </c>
      <c r="O31" s="10" t="inlineStr">
        <is>
          <t>0</t>
        </is>
      </c>
      <c r="P31" s="10" t="inlineStr">
        <is>
          <t>0</t>
        </is>
      </c>
      <c r="Q31" s="10" t="inlineStr">
        <is>
          <t>0</t>
        </is>
      </c>
      <c r="R31" s="10" t="inlineStr">
        <is>
          <t>0</t>
        </is>
      </c>
      <c r="S31" s="10" t="inlineStr">
        <is>
          <t>1</t>
        </is>
      </c>
    </row>
    <row r="32" ht="109"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inlineStr">
        <is>
          <t>Students have no task descriptions for Items 1 and 2, but Item 3 has a question about Hooke's Law. Embedded artifacts include note-taking and feedback tools in Golabz app/lab.</t>
        </is>
      </c>
      <c r="G32" s="8" t="inlineStr">
        <is>
          <t>1</t>
        </is>
      </c>
      <c r="H32" s="8" t="inlineStr">
        <is>
          <t>0</t>
        </is>
      </c>
      <c r="I32" s="8" t="inlineStr">
        <is>
          <t>1</t>
        </is>
      </c>
      <c r="J32" s="8" t="inlineStr">
        <is>
          <t>0</t>
        </is>
      </c>
      <c r="K32" s="9" t="inlineStr">
        <is>
          <t>1</t>
        </is>
      </c>
      <c r="L32" s="9" t="inlineStr">
        <is>
          <t>1</t>
        </is>
      </c>
      <c r="M32" s="9" t="inlineStr">
        <is>
          <t>0</t>
        </is>
      </c>
      <c r="N32" s="9" t="inlineStr">
        <is>
          <t>0</t>
        </is>
      </c>
      <c r="O32" s="10" t="inlineStr">
        <is>
          <t>0</t>
        </is>
      </c>
      <c r="P32" s="10" t="inlineStr">
        <is>
          <t>0</t>
        </is>
      </c>
      <c r="Q32" s="10" t="inlineStr">
        <is>
          <t>0</t>
        </is>
      </c>
      <c r="R32" s="10" t="inlineStr">
        <is>
          <t>0</t>
        </is>
      </c>
      <c r="S32" s="10" t="inlineStr">
        <is>
          <t>0</t>
        </is>
      </c>
    </row>
    <row r="33" ht="329"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inlineStr">
        <is>
          <t>Students received task descriptions and embedded artifacts, including Golabz apps for feedback and note-taking with optional collaboration mode.</t>
        </is>
      </c>
      <c r="G33" s="8" t="inlineStr">
        <is>
          <t>0</t>
        </is>
      </c>
      <c r="H33" s="8" t="inlineStr">
        <is>
          <t>1</t>
        </is>
      </c>
      <c r="I33" s="8" t="inlineStr">
        <is>
          <t>1</t>
        </is>
      </c>
      <c r="J33" s="8" t="inlineStr">
        <is>
          <t>1</t>
        </is>
      </c>
      <c r="K33" s="9" t="inlineStr">
        <is>
          <t>1</t>
        </is>
      </c>
      <c r="L33" s="9" t="inlineStr">
        <is>
          <t>1</t>
        </is>
      </c>
      <c r="M33" s="9" t="inlineStr">
        <is>
          <t>1</t>
        </is>
      </c>
      <c r="N33" s="9" t="inlineStr">
        <is>
          <t>1</t>
        </is>
      </c>
      <c r="O33" s="10" t="inlineStr">
        <is>
          <t>0</t>
        </is>
      </c>
      <c r="P33" s="10" t="inlineStr">
        <is>
          <t>0</t>
        </is>
      </c>
      <c r="Q33" s="10" t="inlineStr">
        <is>
          <t>0</t>
        </is>
      </c>
      <c r="R33" s="10" t="inlineStr">
        <is>
          <t>0</t>
        </is>
      </c>
      <c r="S33" s="10" t="inlineStr">
        <is>
          <t>1</t>
        </is>
      </c>
    </row>
    <row r="34" ht="73"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inlineStr">
        <is>
          <t>Students state practical applications of materials obeying or not obeying Hooke's Law. Embedded artifacts include note-taking and feedback tools.</t>
        </is>
      </c>
      <c r="G34" s="8" t="inlineStr">
        <is>
          <t>0</t>
        </is>
      </c>
      <c r="H34" s="8" t="inlineStr">
        <is>
          <t>0</t>
        </is>
      </c>
      <c r="I34" s="8" t="inlineStr">
        <is>
          <t>0</t>
        </is>
      </c>
      <c r="J34" s="8" t="inlineStr">
        <is>
          <t>1</t>
        </is>
      </c>
      <c r="K34" s="9" t="inlineStr">
        <is>
          <t>0</t>
        </is>
      </c>
      <c r="L34" s="9" t="inlineStr">
        <is>
          <t>0</t>
        </is>
      </c>
      <c r="M34" s="9" t="inlineStr">
        <is>
          <t>0</t>
        </is>
      </c>
      <c r="N34" s="9" t="inlineStr">
        <is>
          <t>0</t>
        </is>
      </c>
      <c r="O34" s="10" t="inlineStr">
        <is>
          <t>0</t>
        </is>
      </c>
      <c r="P34" s="10" t="inlineStr">
        <is>
          <t>0</t>
        </is>
      </c>
      <c r="Q34" s="10" t="inlineStr">
        <is>
          <t>0</t>
        </is>
      </c>
      <c r="R34" s="10" t="inlineStr">
        <is>
          <t>0</t>
        </is>
      </c>
      <c r="S34" s="10" t="inlineStr">
        <is>
          <t>1</t>
        </is>
      </c>
    </row>
    <row r="35" ht="2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inlineStr">
        <is>
          <t>No instructions provided. Embedded artifacts include note-taking and feedback tools in Golabz app/lab.</t>
        </is>
      </c>
      <c r="G35" s="8" t="inlineStr">
        <is>
          <t>1</t>
        </is>
      </c>
      <c r="H35" s="8" t="inlineStr">
        <is>
          <t>0</t>
        </is>
      </c>
      <c r="I35" s="8" t="inlineStr">
        <is>
          <t>0</t>
        </is>
      </c>
      <c r="J35" s="8" t="inlineStr">
        <is>
          <t>0</t>
        </is>
      </c>
      <c r="K35" s="9" t="inlineStr">
        <is>
          <t>0</t>
        </is>
      </c>
      <c r="L35" s="9" t="inlineStr">
        <is>
          <t>0</t>
        </is>
      </c>
      <c r="M35" s="9" t="inlineStr">
        <is>
          <t>0</t>
        </is>
      </c>
      <c r="N35" s="9" t="inlineStr">
        <is>
          <t>0</t>
        </is>
      </c>
      <c r="O35" s="10" t="inlineStr">
        <is>
          <t>0</t>
        </is>
      </c>
      <c r="P35" s="10" t="inlineStr">
        <is>
          <t>0</t>
        </is>
      </c>
      <c r="Q35" s="10" t="inlineStr">
        <is>
          <t>0</t>
        </is>
      </c>
      <c r="R35" s="10" t="inlineStr">
        <is>
          <t>0</t>
        </is>
      </c>
      <c r="S35" s="10" t="inlineStr">
        <is>
          <t>0</t>
        </is>
      </c>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inlineStr">
        <is>
          <t>Students received tasks with varying levels of detail, including using Golabz app for feedback and explaining uses of elastic materials. Some items had no task description or embedded artifacts.</t>
        </is>
      </c>
      <c r="G36" s="8" t="inlineStr">
        <is>
          <t>1</t>
        </is>
      </c>
      <c r="H36" s="8" t="inlineStr">
        <is>
          <t>0</t>
        </is>
      </c>
      <c r="I36" s="8" t="inlineStr">
        <is>
          <t>1</t>
        </is>
      </c>
      <c r="J36" s="8" t="inlineStr">
        <is>
          <t>0</t>
        </is>
      </c>
      <c r="K36" s="9" t="inlineStr">
        <is>
          <t>1</t>
        </is>
      </c>
      <c r="L36" s="9" t="inlineStr">
        <is>
          <t>1</t>
        </is>
      </c>
      <c r="M36" s="9" t="inlineStr">
        <is>
          <t>0</t>
        </is>
      </c>
      <c r="N36" s="9" t="inlineStr">
        <is>
          <t>0</t>
        </is>
      </c>
      <c r="O36" s="10" t="inlineStr">
        <is>
          <t>1</t>
        </is>
      </c>
      <c r="P36" s="10" t="inlineStr">
        <is>
          <t>1</t>
        </is>
      </c>
      <c r="Q36" s="10" t="inlineStr">
        <is>
          <t>1</t>
        </is>
      </c>
      <c r="R36" s="10" t="inlineStr">
        <is>
          <t>0</t>
        </is>
      </c>
      <c r="S36" s="10" t="inlineStr">
        <is>
          <t>0</t>
        </is>
      </c>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inlineStr">
        <is>
          <t>Students are assigned to explain elastic materials' uses and analyze spring connections. Embedded artifacts include a Microsoft Word document in Item 3.</t>
        </is>
      </c>
      <c r="G37" s="8" t="inlineStr">
        <is>
          <t>1</t>
        </is>
      </c>
      <c r="H37" s="8" t="inlineStr">
        <is>
          <t>0</t>
        </is>
      </c>
      <c r="I37" s="8" t="inlineStr">
        <is>
          <t>0</t>
        </is>
      </c>
      <c r="J37" s="8" t="inlineStr">
        <is>
          <t>0</t>
        </is>
      </c>
      <c r="K37" s="9" t="inlineStr">
        <is>
          <t>0</t>
        </is>
      </c>
      <c r="L37" s="9" t="inlineStr">
        <is>
          <t>0</t>
        </is>
      </c>
      <c r="M37" s="9" t="inlineStr">
        <is>
          <t>0</t>
        </is>
      </c>
      <c r="N37" s="9" t="inlineStr">
        <is>
          <t>0</t>
        </is>
      </c>
      <c r="O37" s="10" t="inlineStr">
        <is>
          <t>0</t>
        </is>
      </c>
      <c r="P37" s="10" t="inlineStr">
        <is>
          <t>0</t>
        </is>
      </c>
      <c r="Q37" s="10" t="inlineStr">
        <is>
          <t>0</t>
        </is>
      </c>
      <c r="R37" s="10" t="inlineStr">
        <is>
          <t>0</t>
        </is>
      </c>
      <c r="S37" s="10" t="inlineStr">
        <is>
          <t>0</t>
        </is>
      </c>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inlineStr">
        <is>
          <t>Students are asked to state and explain uses of elastic materials and analyze spring connections. Embedded artifacts include a Microsoft Word document and a file-upload app.</t>
        </is>
      </c>
      <c r="G38" s="8" t="inlineStr">
        <is>
          <t>0</t>
        </is>
      </c>
      <c r="H38" s="8" t="inlineStr">
        <is>
          <t>0</t>
        </is>
      </c>
      <c r="I38" s="8" t="inlineStr">
        <is>
          <t>0</t>
        </is>
      </c>
      <c r="J38" s="8" t="inlineStr">
        <is>
          <t>0</t>
        </is>
      </c>
      <c r="K38" s="9" t="inlineStr">
        <is>
          <t>0</t>
        </is>
      </c>
      <c r="L38" s="9" t="inlineStr">
        <is>
          <t>1</t>
        </is>
      </c>
      <c r="M38" s="9" t="inlineStr">
        <is>
          <t>0</t>
        </is>
      </c>
      <c r="N38" s="9" t="inlineStr">
        <is>
          <t>0</t>
        </is>
      </c>
      <c r="O38" s="10" t="inlineStr">
        <is>
          <t>0</t>
        </is>
      </c>
      <c r="P38" s="10" t="inlineStr">
        <is>
          <t>0</t>
        </is>
      </c>
      <c r="Q38" s="10" t="inlineStr">
        <is>
          <t>0</t>
        </is>
      </c>
      <c r="R38" s="10" t="inlineStr">
        <is>
          <t>0</t>
        </is>
      </c>
      <c r="S38" s="10" t="inlineStr">
        <is>
          <t>0</t>
        </is>
      </c>
    </row>
    <row r="39" ht="263" customHeight="1">
      <c r="A39" s="6">
        <f>IFERROR(__xludf.DUMMYFUNCTION("""COMPUTED_VALUE"""),"Machine Learning and Artificial Intelligence")</f>
        <v/>
      </c>
      <c r="B39" s="6">
        <f>IFERROR(__xludf.DUMMYFUNCTION("""COMPUTED_VALUE"""),"Space")</f>
        <v/>
      </c>
      <c r="C39" s="6">
        <f>IFERROR(__xludf.DUMMYFUNCTION("""COMPUTED_VALUE"""),"Orientation")</f>
        <v/>
      </c>
      <c r="D39" s="7">
        <f>IFERROR(__xludf.DUMMYFUNCTION("""COMPUTED_VALUE"""),"&lt;p&gt;More and more, we are using and relying on smart devices (smartphones, smartwatches, smart cars, smart virtual assistants) to help us and assist in our daily life. But how can we teach a machine to react to our words ? Watch the video, discuss  with yo"&amp;"ur team and try to answer to the questions below.&lt;/p&gt;")</f>
        <v/>
      </c>
      <c r="E39" s="7">
        <f>IFERROR(__xludf.DUMMYFUNCTION("""COMPUTED_VALUE"""),"No artifact embedded")</f>
        <v/>
      </c>
      <c r="F39" s="7" t="inlineStr">
        <is>
          <t>Students received no task descriptions for Items 1 and 2, but Item 3 involves watching a video and discussing. Embedded artifacts include a Word document and Golabz app/lab.</t>
        </is>
      </c>
      <c r="G39" s="8" t="inlineStr">
        <is>
          <t>0</t>
        </is>
      </c>
      <c r="H39" s="8" t="inlineStr">
        <is>
          <t>0</t>
        </is>
      </c>
      <c r="I39" s="8" t="inlineStr">
        <is>
          <t>0</t>
        </is>
      </c>
      <c r="J39" s="8" t="inlineStr">
        <is>
          <t>1</t>
        </is>
      </c>
      <c r="K39" s="9" t="inlineStr">
        <is>
          <t>0</t>
        </is>
      </c>
      <c r="L39" s="9" t="inlineStr">
        <is>
          <t>0</t>
        </is>
      </c>
      <c r="M39" s="9" t="inlineStr">
        <is>
          <t>1</t>
        </is>
      </c>
      <c r="N39" s="9" t="inlineStr">
        <is>
          <t>1</t>
        </is>
      </c>
      <c r="O39" s="10" t="inlineStr">
        <is>
          <t>1</t>
        </is>
      </c>
      <c r="P39" s="10" t="inlineStr">
        <is>
          <t>1</t>
        </is>
      </c>
      <c r="Q39" s="10" t="inlineStr">
        <is>
          <t>1</t>
        </is>
      </c>
      <c r="R39" s="10" t="inlineStr">
        <is>
          <t>0</t>
        </is>
      </c>
      <c r="S39" s="10" t="inlineStr">
        <is>
          <t>1</t>
        </is>
      </c>
    </row>
    <row r="40" ht="373" customHeight="1">
      <c r="A40" s="6">
        <f>IFERROR(__xludf.DUMMYFUNCTION("""COMPUTED_VALUE"""),"Machine Learning and Artificial Intelligence")</f>
        <v/>
      </c>
      <c r="B40" s="6">
        <f>IFERROR(__xludf.DUMMYFUNCTION("""COMPUTED_VALUE"""),"Resource")</f>
        <v/>
      </c>
      <c r="C40" s="6">
        <f>IFERROR(__xludf.DUMMYFUNCTION("""COMPUTED_VALUE"""),"BUDDY - the Emotional Robot (EN-FR)")</f>
        <v/>
      </c>
      <c r="D40" s="7">
        <f>IFERROR(__xludf.DUMMYFUNCTION("""COMPUTED_VALUE"""),"&lt;p&gt;BUDDY is an endearing emotional robot that wins the heart of the whole family, including children and adults. And it is not his 60 cm high that will stop him in his quest for bringing the family around a new emotional experience.&lt;/p&gt;&lt;p&gt;Not content with"&amp;" being just an emotional companion, BUDDY is also democratizing robotics. BUDDY is built on an open technology platform making it easy for global developers to build applications.&lt;/p&gt;&lt;p&gt;&lt;br&gt;&lt;/p&gt;")</f>
        <v/>
      </c>
      <c r="E40" s="7">
        <f>IFERROR(__xludf.DUMMYFUNCTION("""COMPUTED_VALUE"""),"youtube.com: A widely known video-sharing platform where users can watch videos on a vast array of topics, including educational content.")</f>
        <v/>
      </c>
      <c r="F40" s="7" t="inlineStr">
        <is>
          <t>Students are given tasks with varying levels of guidance and embedded artifacts such as apps and videos.</t>
        </is>
      </c>
      <c r="G40" s="8" t="inlineStr">
        <is>
          <t>1</t>
        </is>
      </c>
      <c r="H40" s="8" t="inlineStr">
        <is>
          <t>0</t>
        </is>
      </c>
      <c r="I40" s="8" t="inlineStr">
        <is>
          <t>0</t>
        </is>
      </c>
      <c r="J40" s="8" t="inlineStr">
        <is>
          <t>0</t>
        </is>
      </c>
      <c r="K40" s="9" t="inlineStr">
        <is>
          <t>0</t>
        </is>
      </c>
      <c r="L40" s="9" t="inlineStr">
        <is>
          <t>0</t>
        </is>
      </c>
      <c r="M40" s="9" t="inlineStr">
        <is>
          <t>0</t>
        </is>
      </c>
      <c r="N40" s="9" t="inlineStr">
        <is>
          <t>0</t>
        </is>
      </c>
      <c r="O40" s="10" t="inlineStr">
        <is>
          <t>0</t>
        </is>
      </c>
      <c r="P40" s="10" t="inlineStr">
        <is>
          <t>0</t>
        </is>
      </c>
      <c r="Q40" s="10" t="inlineStr">
        <is>
          <t>0</t>
        </is>
      </c>
      <c r="R40" s="10" t="inlineStr">
        <is>
          <t>0</t>
        </is>
      </c>
      <c r="S40" s="10" t="inlineStr">
        <is>
          <t>0</t>
        </is>
      </c>
    </row>
    <row r="41" ht="409.5" customHeight="1">
      <c r="A41" s="6">
        <f>IFERROR(__xludf.DUMMYFUNCTION("""COMPUTED_VALUE"""),"Machine Learning and Artificial Intelligence")</f>
        <v/>
      </c>
      <c r="B41" s="6">
        <f>IFERROR(__xludf.DUMMYFUNCTION("""COMPUTED_VALUE"""),"Application")</f>
        <v/>
      </c>
      <c r="C41" s="6">
        <f>IFERROR(__xludf.DUMMYFUNCTION("""COMPUTED_VALUE"""),"Speakup: how can Buddy interact with us?")</f>
        <v/>
      </c>
      <c r="D41" s="7">
        <f>IFERROR(__xludf.DUMMYFUNCTION("""COMPUTED_VALUE"""),"&lt;p&gt;Discuss with your team and try to respond to the next questions.&lt;/p&gt;&lt;p&gt;1) How do you think that Buddy can interact with people?&lt;br&gt;2) How does it ""hear"", ""see"", or ""talk""?&lt;br&gt;3) How does it move?&lt;/p&gt;")</f>
        <v/>
      </c>
      <c r="E41"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1" s="7" t="inlineStr">
        <is>
          <t>Students discuss and answer questions about smart devices and robots, with embedded artifacts including videos and interactive apps like SpeakUp.</t>
        </is>
      </c>
      <c r="G41" s="8" t="inlineStr">
        <is>
          <t>0</t>
        </is>
      </c>
      <c r="H41" s="8" t="inlineStr">
        <is>
          <t>1</t>
        </is>
      </c>
      <c r="I41" s="8" t="inlineStr">
        <is>
          <t>1</t>
        </is>
      </c>
      <c r="J41" s="8" t="inlineStr">
        <is>
          <t>1</t>
        </is>
      </c>
      <c r="K41" s="9" t="inlineStr">
        <is>
          <t>0</t>
        </is>
      </c>
      <c r="L41" s="9" t="inlineStr">
        <is>
          <t>0</t>
        </is>
      </c>
      <c r="M41" s="9" t="inlineStr">
        <is>
          <t>1</t>
        </is>
      </c>
      <c r="N41" s="9" t="inlineStr">
        <is>
          <t>1</t>
        </is>
      </c>
      <c r="O41" s="10" t="inlineStr">
        <is>
          <t>1</t>
        </is>
      </c>
      <c r="P41" s="10" t="inlineStr">
        <is>
          <t>1</t>
        </is>
      </c>
      <c r="Q41" s="10" t="inlineStr">
        <is>
          <t>0</t>
        </is>
      </c>
      <c r="R41" s="10" t="inlineStr">
        <is>
          <t>0</t>
        </is>
      </c>
      <c r="S41" s="10" t="inlineStr">
        <is>
          <t>1</t>
        </is>
      </c>
    </row>
    <row r="42" ht="145" customHeight="1">
      <c r="A42" s="6">
        <f>IFERROR(__xludf.DUMMYFUNCTION("""COMPUTED_VALUE"""),"Machine Learning and Artificial Intelligence")</f>
        <v/>
      </c>
      <c r="B42" s="6">
        <f>IFERROR(__xludf.DUMMYFUNCTION("""COMPUTED_VALUE"""),"Space")</f>
        <v/>
      </c>
      <c r="C42" s="6">
        <f>IFERROR(__xludf.DUMMYFUNCTION("""COMPUTED_VALUE"""),"Conceptualisation")</f>
        <v/>
      </c>
      <c r="D42" s="7">
        <f>IFERROR(__xludf.DUMMYFUNCTION("""COMPUTED_VALUE"""),"&lt;p&gt;Maybe you have come to some answers about how Buddy can respond to different requests. Think of Buddy as a computer. Watch the video bellow and try to resolve the quizzes!&lt;/p&gt;")</f>
        <v/>
      </c>
      <c r="E42" s="7">
        <f>IFERROR(__xludf.DUMMYFUNCTION("""COMPUTED_VALUE"""),"No artifact embedded")</f>
        <v/>
      </c>
      <c r="F42" s="7" t="inlineStr">
        <is>
          <t>Students are given tasks to discuss BUDDY robot's interactions, watch videos, and complete quizzes using embedded artifacts like YouTube and Golabz app/lab.</t>
        </is>
      </c>
      <c r="G42" s="8" t="inlineStr">
        <is>
          <t>0</t>
        </is>
      </c>
      <c r="H42" s="8" t="inlineStr">
        <is>
          <t>0</t>
        </is>
      </c>
      <c r="I42" s="8" t="inlineStr">
        <is>
          <t>0</t>
        </is>
      </c>
      <c r="J42" s="8" t="inlineStr">
        <is>
          <t>0</t>
        </is>
      </c>
      <c r="K42" s="9" t="inlineStr">
        <is>
          <t>1</t>
        </is>
      </c>
      <c r="L42" s="9" t="inlineStr">
        <is>
          <t>0</t>
        </is>
      </c>
      <c r="M42" s="9" t="inlineStr">
        <is>
          <t>0</t>
        </is>
      </c>
      <c r="N42" s="9" t="inlineStr">
        <is>
          <t>0</t>
        </is>
      </c>
      <c r="O42" s="10" t="inlineStr">
        <is>
          <t>1</t>
        </is>
      </c>
      <c r="P42" s="10" t="inlineStr">
        <is>
          <t>0</t>
        </is>
      </c>
      <c r="Q42" s="10" t="inlineStr">
        <is>
          <t>0</t>
        </is>
      </c>
      <c r="R42" s="10" t="inlineStr">
        <is>
          <t>0</t>
        </is>
      </c>
      <c r="S42" s="10" t="inlineStr">
        <is>
          <t>0</t>
        </is>
      </c>
    </row>
    <row r="43" ht="157" customHeight="1">
      <c r="A43" s="6">
        <f>IFERROR(__xludf.DUMMYFUNCTION("""COMPUTED_VALUE"""),"Machine Learning and Artificial Intelligence")</f>
        <v/>
      </c>
      <c r="B43" s="6">
        <f>IFERROR(__xludf.DUMMYFUNCTION("""COMPUTED_VALUE"""),"Resource")</f>
        <v/>
      </c>
      <c r="C43" s="6">
        <f>IFERROR(__xludf.DUMMYFUNCTION("""COMPUTED_VALUE"""),"How Computers Work: What Makes a Computer, a Computer?")</f>
        <v/>
      </c>
      <c r="D43" s="7">
        <f>IFERROR(__xludf.DUMMYFUNCTION("""COMPUTED_VALUE"""),"&lt;p&gt;Computers are all around us, but what really makes a computer, a computer? Explore the history of computers and the features they all share.&lt;/p&gt;&lt;p&gt;&lt;br&gt;&lt;/p&gt;")</f>
        <v/>
      </c>
      <c r="E43" s="7">
        <f>IFERROR(__xludf.DUMMYFUNCTION("""COMPUTED_VALUE"""),"youtu.be: A shortened URL service for YouTube, leading to various videos on the platform.")</f>
        <v/>
      </c>
      <c r="F43" s="7" t="inlineStr">
        <is>
          <t>Students discuss and respond to questions about Buddy's interactions. Embedded artifacts include Golabz app and YouTube video links.</t>
        </is>
      </c>
      <c r="G43" s="8" t="inlineStr">
        <is>
          <t>1</t>
        </is>
      </c>
      <c r="H43" s="8" t="inlineStr">
        <is>
          <t>0</t>
        </is>
      </c>
      <c r="I43" s="8" t="inlineStr">
        <is>
          <t>0</t>
        </is>
      </c>
      <c r="J43" s="8" t="inlineStr">
        <is>
          <t>0</t>
        </is>
      </c>
      <c r="K43" s="9" t="inlineStr">
        <is>
          <t>1</t>
        </is>
      </c>
      <c r="L43" s="9" t="inlineStr">
        <is>
          <t>0</t>
        </is>
      </c>
      <c r="M43" s="9" t="inlineStr">
        <is>
          <t>0</t>
        </is>
      </c>
      <c r="N43" s="9" t="inlineStr">
        <is>
          <t>0</t>
        </is>
      </c>
      <c r="O43" s="10" t="inlineStr">
        <is>
          <t>1</t>
        </is>
      </c>
      <c r="P43" s="10" t="inlineStr">
        <is>
          <t>1</t>
        </is>
      </c>
      <c r="Q43" s="10" t="inlineStr">
        <is>
          <t>1</t>
        </is>
      </c>
      <c r="R43" s="10" t="inlineStr">
        <is>
          <t>0</t>
        </is>
      </c>
      <c r="S43" s="10" t="inlineStr">
        <is>
          <t>0</t>
        </is>
      </c>
    </row>
    <row r="44" ht="157" customHeight="1">
      <c r="A44" s="6">
        <f>IFERROR(__xludf.DUMMYFUNCTION("""COMPUTED_VALUE"""),"Machine Learning and Artificial Intelligence")</f>
        <v/>
      </c>
      <c r="B44" s="6">
        <f>IFERROR(__xludf.DUMMYFUNCTION("""COMPUTED_VALUE"""),"Resource")</f>
        <v/>
      </c>
      <c r="C44" s="6">
        <f>IFERROR(__xludf.DUMMYFUNCTION("""COMPUTED_VALUE"""),"Algorithm:Teach a Computer to draw the letter L")</f>
        <v/>
      </c>
      <c r="D44" s="7">
        <f>IFERROR(__xludf.DUMMYFUNCTION("""COMPUTED_VALUE"""),"Me the A.I eTwinning Project 2019-2020 Create an algorithm! Put the sentences in the right place and teach a computer how to draw the letter L! Teacher: Lascaris Georgia, Greece")</f>
        <v/>
      </c>
      <c r="E44" s="7">
        <f>IFERROR(__xludf.DUMMYFUNCTION("""COMPUTED_VALUE"""),"learningapps.org: A platform for interactive learning modules and educational games.")</f>
        <v/>
      </c>
      <c r="F44" s="7" t="inlineStr">
        <is>
          <t>Students are instructed to watch videos, resolve quizzes, explore computer history, and create an algorithm. Embedded artifacts include YouTube videos and interactive learning modules from learningapps.org.</t>
        </is>
      </c>
      <c r="G44" s="8" t="inlineStr">
        <is>
          <t>0</t>
        </is>
      </c>
      <c r="H44" s="8" t="inlineStr">
        <is>
          <t>1</t>
        </is>
      </c>
      <c r="I44" s="8" t="inlineStr">
        <is>
          <t>1</t>
        </is>
      </c>
      <c r="J44" s="8" t="inlineStr">
        <is>
          <t>1</t>
        </is>
      </c>
      <c r="K44" s="9" t="inlineStr">
        <is>
          <t>0</t>
        </is>
      </c>
      <c r="L44" s="9" t="inlineStr">
        <is>
          <t>1</t>
        </is>
      </c>
      <c r="M44" s="9" t="inlineStr">
        <is>
          <t>0</t>
        </is>
      </c>
      <c r="N44" s="9" t="inlineStr">
        <is>
          <t>0</t>
        </is>
      </c>
      <c r="O44" s="10" t="inlineStr">
        <is>
          <t>1</t>
        </is>
      </c>
      <c r="P44" s="10" t="inlineStr">
        <is>
          <t>0</t>
        </is>
      </c>
      <c r="Q44" s="10" t="inlineStr">
        <is>
          <t>0</t>
        </is>
      </c>
      <c r="R44" s="10" t="inlineStr">
        <is>
          <t>0</t>
        </is>
      </c>
      <c r="S44" s="10" t="inlineStr">
        <is>
          <t>0</t>
        </is>
      </c>
    </row>
    <row r="45" ht="409.5" customHeight="1">
      <c r="A45" s="6">
        <f>IFERROR(__xludf.DUMMYFUNCTION("""COMPUTED_VALUE"""),"Machine Learning and Artificial Intelligence")</f>
        <v/>
      </c>
      <c r="B45" s="6">
        <f>IFERROR(__xludf.DUMMYFUNCTION("""COMPUTED_VALUE"""),"Space")</f>
        <v/>
      </c>
      <c r="C45" s="6">
        <f>IFERROR(__xludf.DUMMYFUNCTION("""COMPUTED_VALUE"""),"Investigation")</f>
        <v/>
      </c>
      <c r="D45" s="7">
        <f>IFERROR(__xludf.DUMMYFUNCTION("""COMPUTED_VALUE"""),"&lt;p&gt;So far, we have understand that robots, as Buddy are complex computers using Input devices (web camera, sensors, microphone...) to take informations from the environment, process them, and produce an adequate response using their output devices (monito"&amp;"r, headphones, movements...). But how can we program a robot to react for example to our commands? Next we will use Scratch programming to teach a robot to smile when we text it compliments and to be sad when we text it not very polite words.&lt;/p&gt;")</f>
        <v/>
      </c>
      <c r="E45" s="7">
        <f>IFERROR(__xludf.DUMMYFUNCTION("""COMPUTED_VALUE"""),"No artifact embedded")</f>
        <v/>
      </c>
      <c r="F45" s="7" t="inlineStr">
        <is>
          <t>Students explore computer history, create algorithms, and program robots using platforms like YouTube, LearningApps, and Scratch.</t>
        </is>
      </c>
      <c r="G45" s="8" t="inlineStr">
        <is>
          <t>0</t>
        </is>
      </c>
      <c r="H45" s="8" t="inlineStr">
        <is>
          <t>1</t>
        </is>
      </c>
      <c r="I45" s="8" t="inlineStr">
        <is>
          <t>1</t>
        </is>
      </c>
      <c r="J45" s="8" t="inlineStr">
        <is>
          <t>1</t>
        </is>
      </c>
      <c r="K45" s="9" t="inlineStr">
        <is>
          <t>1</t>
        </is>
      </c>
      <c r="L45" s="9" t="inlineStr">
        <is>
          <t>0</t>
        </is>
      </c>
      <c r="M45" s="9" t="inlineStr">
        <is>
          <t>0</t>
        </is>
      </c>
      <c r="N45" s="9" t="inlineStr">
        <is>
          <t>0</t>
        </is>
      </c>
      <c r="O45" s="10" t="inlineStr">
        <is>
          <t>1</t>
        </is>
      </c>
      <c r="P45" s="10" t="inlineStr">
        <is>
          <t>1</t>
        </is>
      </c>
      <c r="Q45" s="10" t="inlineStr">
        <is>
          <t>1</t>
        </is>
      </c>
      <c r="R45" s="10" t="inlineStr">
        <is>
          <t>0</t>
        </is>
      </c>
      <c r="S45" s="10" t="inlineStr">
        <is>
          <t>0</t>
        </is>
      </c>
    </row>
    <row r="46" ht="409.5" customHeight="1">
      <c r="A46" s="6">
        <f>IFERROR(__xludf.DUMMYFUNCTION("""COMPUTED_VALUE"""),"Machine Learning and Artificial Intelligence")</f>
        <v/>
      </c>
      <c r="B46" s="6">
        <f>IFERROR(__xludf.DUMMYFUNCTION("""COMPUTED_VALUE"""),"Application")</f>
        <v/>
      </c>
      <c r="C46" s="6">
        <f>IFERROR(__xludf.DUMMYFUNCTION("""COMPUTED_VALUE"""),"Hypothesis : If ...Then")</f>
        <v/>
      </c>
      <c r="D46" s="7">
        <f>IFERROR(__xludf.DUMMYFUNCTION("""COMPUTED_VALUE"""),"&lt;p&gt;Next, complete the 3 hypotheses our robot has to face: when we text it a compliment, it smiles, when we text it a not very polite words, it looks sad , and we text it something it can't understand, it puts on its neutral face. Suppose that ""INPUT TEXT"&amp;""" is the text we give as input to our robot.&lt;/p&gt;")</f>
        <v/>
      </c>
      <c r="E4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6" s="7" t="inlineStr">
        <is>
          <t>Students create algorithms and program robots using platforms like LearningApps and Scratch, with embedded artifacts including interactive learning modules and hypothesis-forming tools like Golabz app/lab.</t>
        </is>
      </c>
      <c r="G46" s="8" t="inlineStr">
        <is>
          <t>0</t>
        </is>
      </c>
      <c r="H46" s="8" t="inlineStr">
        <is>
          <t>1</t>
        </is>
      </c>
      <c r="I46" s="8" t="inlineStr">
        <is>
          <t>1</t>
        </is>
      </c>
      <c r="J46" s="8" t="inlineStr">
        <is>
          <t>1</t>
        </is>
      </c>
      <c r="K46" s="9" t="inlineStr">
        <is>
          <t>1</t>
        </is>
      </c>
      <c r="L46" s="9" t="inlineStr">
        <is>
          <t>1</t>
        </is>
      </c>
      <c r="M46" s="9" t="inlineStr">
        <is>
          <t>1</t>
        </is>
      </c>
      <c r="N46" s="9" t="inlineStr">
        <is>
          <t>1</t>
        </is>
      </c>
      <c r="O46" s="10" t="inlineStr">
        <is>
          <t>1</t>
        </is>
      </c>
      <c r="P46" s="10" t="inlineStr">
        <is>
          <t>1</t>
        </is>
      </c>
      <c r="Q46" s="10" t="inlineStr">
        <is>
          <t>1</t>
        </is>
      </c>
      <c r="R46" s="10" t="inlineStr">
        <is>
          <t>0</t>
        </is>
      </c>
      <c r="S46" s="10" t="inlineStr">
        <is>
          <t>0</t>
        </is>
      </c>
    </row>
    <row r="47" ht="145" customHeight="1">
      <c r="A47" s="6">
        <f>IFERROR(__xludf.DUMMYFUNCTION("""COMPUTED_VALUE"""),"Machine Learning and Artificial Intelligence")</f>
        <v/>
      </c>
      <c r="B47" s="6">
        <f>IFERROR(__xludf.DUMMYFUNCTION("""COMPUTED_VALUE"""),"Resource")</f>
        <v/>
      </c>
      <c r="C47" s="6">
        <f>IFERROR(__xludf.DUMMYFUNCTION("""COMPUTED_VALUE"""),"Video tutorial: ""Make me Happy"" - Scratch coding")</f>
        <v/>
      </c>
      <c r="D47" s="7">
        <f>IFERROR(__xludf.DUMMYFUNCTION("""COMPUTED_VALUE"""),"&lt;p&gt;Watch carefully to video below and try to understand how the scratch commands as used to make a face respond (happy, sad, neutral) to the words we are texting. &lt;/p&gt;")</f>
        <v/>
      </c>
      <c r="E47" s="7">
        <f>IFERROR(__xludf.DUMMYFUNCTION("""COMPUTED_VALUE"""),"youtu.be: A shortened URL service for YouTube, leading to various videos on the platform.")</f>
        <v/>
      </c>
      <c r="F47" s="7" t="inlineStr">
        <is>
          <t>Students program robots using Scratch, creating reactions to text inputs. Embedded artifacts include Scratchpad and YouTube video.</t>
        </is>
      </c>
      <c r="G47" s="8" t="inlineStr">
        <is>
          <t>1</t>
        </is>
      </c>
      <c r="H47" s="8" t="inlineStr">
        <is>
          <t>0</t>
        </is>
      </c>
      <c r="I47" s="8" t="inlineStr">
        <is>
          <t>0</t>
        </is>
      </c>
      <c r="J47" s="8" t="inlineStr">
        <is>
          <t>0</t>
        </is>
      </c>
      <c r="K47" s="9" t="inlineStr">
        <is>
          <t>1</t>
        </is>
      </c>
      <c r="L47" s="9" t="inlineStr">
        <is>
          <t>0</t>
        </is>
      </c>
      <c r="M47" s="9" t="inlineStr">
        <is>
          <t>0</t>
        </is>
      </c>
      <c r="N47" s="9" t="inlineStr">
        <is>
          <t>0</t>
        </is>
      </c>
      <c r="O47" s="10" t="inlineStr">
        <is>
          <t>1</t>
        </is>
      </c>
      <c r="P47" s="10" t="inlineStr">
        <is>
          <t>0</t>
        </is>
      </c>
      <c r="Q47" s="10" t="inlineStr">
        <is>
          <t>0</t>
        </is>
      </c>
      <c r="R47" s="10" t="inlineStr">
        <is>
          <t>0</t>
        </is>
      </c>
      <c r="S47" s="10" t="inlineStr">
        <is>
          <t>0</t>
        </is>
      </c>
    </row>
    <row r="48" ht="296" customHeight="1">
      <c r="A48" s="6">
        <f>IFERROR(__xludf.DUMMYFUNCTION("""COMPUTED_VALUE"""),"Machine Learning and Artificial Intelligence")</f>
        <v/>
      </c>
      <c r="B48" s="6">
        <f>IFERROR(__xludf.DUMMYFUNCTION("""COMPUTED_VALUE"""),"Application")</f>
        <v/>
      </c>
      <c r="C48" s="6">
        <f>IFERROR(__xludf.DUMMYFUNCTION("""COMPUTED_VALUE"""),"Quiz Tool")</f>
        <v/>
      </c>
      <c r="D48" s="7">
        <f>IFERROR(__xludf.DUMMYFUNCTION("""COMPUTED_VALUE"""),"&lt;p&gt;Select True or False&lt;/p&gt;")</f>
        <v/>
      </c>
      <c r="E4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8" s="7" t="inlineStr">
        <is>
          <t>Students complete tasks: formulate hypotheses, watch a video, and take a quiz, using embedded artifacts like Scratchpad, YouTube, and Quiz apps.</t>
        </is>
      </c>
      <c r="G48" s="8" t="inlineStr">
        <is>
          <t>0</t>
        </is>
      </c>
      <c r="H48" s="8" t="inlineStr">
        <is>
          <t>0</t>
        </is>
      </c>
      <c r="I48" s="8" t="inlineStr">
        <is>
          <t>0</t>
        </is>
      </c>
      <c r="J48" s="8" t="inlineStr">
        <is>
          <t>1</t>
        </is>
      </c>
      <c r="K48" s="9" t="inlineStr">
        <is>
          <t>1</t>
        </is>
      </c>
      <c r="L48" s="9" t="inlineStr">
        <is>
          <t>1</t>
        </is>
      </c>
      <c r="M48" s="9" t="inlineStr">
        <is>
          <t>0</t>
        </is>
      </c>
      <c r="N48" s="9" t="inlineStr">
        <is>
          <t>0</t>
        </is>
      </c>
      <c r="O48" s="10" t="inlineStr">
        <is>
          <t>0</t>
        </is>
      </c>
      <c r="P48" s="10" t="inlineStr">
        <is>
          <t>0</t>
        </is>
      </c>
      <c r="Q48" s="10" t="inlineStr">
        <is>
          <t>0</t>
        </is>
      </c>
      <c r="R48" s="10" t="inlineStr">
        <is>
          <t>0</t>
        </is>
      </c>
      <c r="S48" s="10" t="inlineStr">
        <is>
          <t>0</t>
        </is>
      </c>
    </row>
    <row r="49" ht="409.5" customHeight="1">
      <c r="A49" s="6">
        <f>IFERROR(__xludf.DUMMYFUNCTION("""COMPUTED_VALUE"""),"Machine Learning and Artificial Intelligence")</f>
        <v/>
      </c>
      <c r="B49" s="6">
        <f>IFERROR(__xludf.DUMMYFUNCTION("""COMPUTED_VALUE"""),"Application")</f>
        <v/>
      </c>
      <c r="C49" s="6">
        <f>IFERROR(__xludf.DUMMYFUNCTION("""COMPUTED_VALUE"""),"Create your own Scratch program: Emotional Robot Face")</f>
        <v/>
      </c>
      <c r="D49" s="7">
        <f>IFERROR(__xludf.DUMMYFUNCTION("""COMPUTED_VALUE"""),"&lt;p&gt;Now, you are going to create your own program to ""teach"" a robot how to react to polite and no so polite words. &lt;/p&gt;&lt;p&gt;Go to &lt;a href=""https://scratch.mit.edu"" target=""_blank""&gt;https://scratch.mit.edu&lt;/a&gt; , login into your account and create a new "&amp;"Scratch program. Make your robot-face react to at least 5 compliments and 5 not polite words. You can return at any time to the video for help and add if you wish more reactions to your robot. Save your work as A.I at the scratch platform.&lt;br&gt;&lt;/p&gt;&lt;p&gt;Write"&amp;" down some of the difficulties you have faced.&lt;/p&gt;")</f>
        <v/>
      </c>
      <c r="E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9" s="7" t="inlineStr">
        <is>
          <t>Students are instructed to watch a video, complete a quiz, and create a Scratch program with reactions to polite and impolite words, using embedded artifacts like YouTube videos and Golabz apps.</t>
        </is>
      </c>
      <c r="G49" s="8" t="inlineStr">
        <is>
          <t>0</t>
        </is>
      </c>
      <c r="H49" s="8" t="inlineStr">
        <is>
          <t>1</t>
        </is>
      </c>
      <c r="I49" s="8" t="inlineStr">
        <is>
          <t>1</t>
        </is>
      </c>
      <c r="J49" s="8" t="inlineStr">
        <is>
          <t>1</t>
        </is>
      </c>
      <c r="K49" s="9" t="inlineStr">
        <is>
          <t>0</t>
        </is>
      </c>
      <c r="L49" s="9" t="inlineStr">
        <is>
          <t>1</t>
        </is>
      </c>
      <c r="M49" s="9" t="inlineStr">
        <is>
          <t>0</t>
        </is>
      </c>
      <c r="N49" s="9" t="inlineStr">
        <is>
          <t>0</t>
        </is>
      </c>
      <c r="O49" s="10" t="inlineStr">
        <is>
          <t>1</t>
        </is>
      </c>
      <c r="P49" s="10" t="inlineStr">
        <is>
          <t>0</t>
        </is>
      </c>
      <c r="Q49" s="10" t="inlineStr">
        <is>
          <t>1</t>
        </is>
      </c>
      <c r="R49" s="10" t="inlineStr">
        <is>
          <t>0</t>
        </is>
      </c>
      <c r="S49" s="10" t="inlineStr">
        <is>
          <t>0</t>
        </is>
      </c>
    </row>
    <row r="50" ht="409.5" customHeight="1">
      <c r="A50" s="6">
        <f>IFERROR(__xludf.DUMMYFUNCTION("""COMPUTED_VALUE"""),"Machine Learning and Artificial Intelligence")</f>
        <v/>
      </c>
      <c r="B50" s="6">
        <f>IFERROR(__xludf.DUMMYFUNCTION("""COMPUTED_VALUE"""),"Application")</f>
        <v/>
      </c>
      <c r="C50" s="6">
        <f>IFERROR(__xludf.DUMMYFUNCTION("""COMPUTED_VALUE"""),"SpeakUp: How can we improve our Scratch Program?")</f>
        <v/>
      </c>
      <c r="D50" s="7">
        <f>IFERROR(__xludf.DUMMYFUNCTION("""COMPUTED_VALUE"""),"&lt;p&gt;Share your thoughts/ideas/suggestions of how you could improve this program to trace for example Speech Hate on Social Media.&lt;/p&gt;")</f>
        <v/>
      </c>
      <c r="E50"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0" s="7" t="inlineStr">
        <is>
          <t>Students select true/false, create a robot reaction program, and share thoughts on improving a hate speech tracing program, with embedded artifacts including quiz apps and collaboration tools.</t>
        </is>
      </c>
      <c r="G50" s="8" t="inlineStr">
        <is>
          <t>0</t>
        </is>
      </c>
      <c r="H50" s="8" t="inlineStr">
        <is>
          <t>1</t>
        </is>
      </c>
      <c r="I50" s="8" t="inlineStr">
        <is>
          <t>1</t>
        </is>
      </c>
      <c r="J50" s="8" t="inlineStr">
        <is>
          <t>1</t>
        </is>
      </c>
      <c r="K50" s="9" t="inlineStr">
        <is>
          <t>0</t>
        </is>
      </c>
      <c r="L50" s="9" t="inlineStr">
        <is>
          <t>1</t>
        </is>
      </c>
      <c r="M50" s="9" t="inlineStr">
        <is>
          <t>1</t>
        </is>
      </c>
      <c r="N50" s="9" t="inlineStr">
        <is>
          <t>1</t>
        </is>
      </c>
      <c r="O50" s="10" t="inlineStr">
        <is>
          <t>1</t>
        </is>
      </c>
      <c r="P50" s="10" t="inlineStr">
        <is>
          <t>1</t>
        </is>
      </c>
      <c r="Q50" s="10" t="inlineStr">
        <is>
          <t>0</t>
        </is>
      </c>
      <c r="R50" s="10" t="inlineStr">
        <is>
          <t>0</t>
        </is>
      </c>
      <c r="S50" s="10" t="inlineStr">
        <is>
          <t>1</t>
        </is>
      </c>
    </row>
    <row r="51" ht="409.5" customHeight="1">
      <c r="A51" s="6">
        <f>IFERROR(__xludf.DUMMYFUNCTION("""COMPUTED_VALUE"""),"Machine Learning and Artificial Intelligence")</f>
        <v/>
      </c>
      <c r="B51" s="6">
        <f>IFERROR(__xludf.DUMMYFUNCTION("""COMPUTED_VALUE"""),"Space")</f>
        <v/>
      </c>
      <c r="C51" s="6">
        <f>IFERROR(__xludf.DUMMYFUNCTION("""COMPUTED_VALUE"""),"Conclusion")</f>
        <v/>
      </c>
      <c r="D51" s="7">
        <f>IFERROR(__xludf.DUMMYFUNCTION("""COMPUTED_VALUE"""),"&lt;p&gt;We can program a robot or a program to react to the informations (Input)we give to it. It's like as we teach a child to learn something new. The more data ( in our case words) we provite it, the more accurate will be its reaction. This is the basic con"&amp;"cept of Machine Learning. We teach a Machine/Computer/Robot by giving it a large set of data and help it, in a first place recognize (learn) the pattern so, later it could learn how to do it by itselft. This leads us to smart machines, machines with Artif"&amp;"icial Intelligence! &lt;/p&gt;&lt;p&gt;Let's relax and have fun with this activity from Google AI Experiments , a ""showcase for simple experiments that make it easier for anyone to start exploring machine learning, through pictures, drawings, language, music, and mo"&amp;"re"". Think that someone has teach the program Quick Draw to recognize drawings. Now the program tries to figure out if your drawing is similar to hundred other drawings describing the same object, and this way, continues to learn.&lt;/p&gt;")</f>
        <v/>
      </c>
      <c r="E51" s="7">
        <f>IFERROR(__xludf.DUMMYFUNCTION("""COMPUTED_VALUE"""),"No artifact embedded")</f>
        <v/>
      </c>
      <c r="F51" s="7" t="inlineStr">
        <is>
          <t>Students create a robot program, share improvement ideas, and explore machine learning concepts through interactive activities on Scratch and Google AI Experiments. Embedded artifacts include Golabz apps for note-taking and social discussions.</t>
        </is>
      </c>
      <c r="G51" s="8" t="inlineStr">
        <is>
          <t>0</t>
        </is>
      </c>
      <c r="H51" s="8" t="inlineStr">
        <is>
          <t>1</t>
        </is>
      </c>
      <c r="I51" s="8" t="inlineStr">
        <is>
          <t>0</t>
        </is>
      </c>
      <c r="J51" s="8" t="inlineStr">
        <is>
          <t>1</t>
        </is>
      </c>
      <c r="K51" s="9" t="inlineStr">
        <is>
          <t>1</t>
        </is>
      </c>
      <c r="L51" s="9" t="inlineStr">
        <is>
          <t>0</t>
        </is>
      </c>
      <c r="M51" s="9" t="inlineStr">
        <is>
          <t>0</t>
        </is>
      </c>
      <c r="N51" s="9" t="inlineStr">
        <is>
          <t>0</t>
        </is>
      </c>
      <c r="O51" s="10" t="inlineStr">
        <is>
          <t>1</t>
        </is>
      </c>
      <c r="P51" s="10" t="inlineStr">
        <is>
          <t>0</t>
        </is>
      </c>
      <c r="Q51" s="10" t="inlineStr">
        <is>
          <t>0</t>
        </is>
      </c>
      <c r="R51" s="10" t="inlineStr">
        <is>
          <t>0</t>
        </is>
      </c>
      <c r="S51" s="10" t="inlineStr">
        <is>
          <t>0</t>
        </is>
      </c>
    </row>
    <row r="52" ht="145" customHeight="1">
      <c r="A52" s="6">
        <f>IFERROR(__xludf.DUMMYFUNCTION("""COMPUTED_VALUE"""),"Machine Learning and Artificial Intelligence")</f>
        <v/>
      </c>
      <c r="B52" s="6">
        <f>IFERROR(__xludf.DUMMYFUNCTION("""COMPUTED_VALUE"""),"Resource")</f>
        <v/>
      </c>
      <c r="C52" s="6">
        <f>IFERROR(__xludf.DUMMYFUNCTION("""COMPUTED_VALUE"""),"Quick, Draw! by Google Creative Lab | Experiments with Google")</f>
        <v/>
      </c>
      <c r="D52" s="7">
        <f>IFERROR(__xludf.DUMMYFUNCTION("""COMPUTED_VALUE"""),"&lt;p&gt;A game where a neural net tries to guess what you’re drawing. Watch the tutorial video first and then click on the LAUNCH EXPERIMENT button below! &lt;/p&gt;")</f>
        <v/>
      </c>
      <c r="E52" s="7">
        <f>IFERROR(__xludf.DUMMYFUNCTION("""COMPUTED_VALUE"""),"experiments.withgoogle.com: Showcases Google's experimental projects, such as ""Quick, Draw!"", an AI-based drawing game.")</f>
        <v/>
      </c>
      <c r="F52" s="7" t="inlineStr">
        <is>
          <t>Students share ideas to improve a program tracing hate speech. Embedded artifacts include Golabz app and Google AI Experiments.</t>
        </is>
      </c>
      <c r="G52" s="8" t="inlineStr">
        <is>
          <t>0</t>
        </is>
      </c>
      <c r="H52" s="8" t="inlineStr">
        <is>
          <t>1</t>
        </is>
      </c>
      <c r="I52" s="8" t="inlineStr">
        <is>
          <t>1</t>
        </is>
      </c>
      <c r="J52" s="8" t="inlineStr">
        <is>
          <t>1</t>
        </is>
      </c>
      <c r="K52" s="9" t="inlineStr">
        <is>
          <t>1</t>
        </is>
      </c>
      <c r="L52" s="9" t="inlineStr">
        <is>
          <t>0</t>
        </is>
      </c>
      <c r="M52" s="9" t="inlineStr">
        <is>
          <t>0</t>
        </is>
      </c>
      <c r="N52" s="9" t="inlineStr">
        <is>
          <t>0</t>
        </is>
      </c>
      <c r="O52" s="10" t="inlineStr">
        <is>
          <t>1</t>
        </is>
      </c>
      <c r="P52" s="10" t="inlineStr">
        <is>
          <t>0</t>
        </is>
      </c>
      <c r="Q52" s="10" t="inlineStr">
        <is>
          <t>1</t>
        </is>
      </c>
      <c r="R52" s="10" t="inlineStr">
        <is>
          <t>0</t>
        </is>
      </c>
      <c r="S52" s="10" t="inlineStr">
        <is>
          <t>0</t>
        </is>
      </c>
    </row>
    <row r="53" ht="133" customHeight="1">
      <c r="A53" s="6">
        <f>IFERROR(__xludf.DUMMYFUNCTION("""COMPUTED_VALUE"""),"Machine Learning and Artificial Intelligence")</f>
        <v/>
      </c>
      <c r="B53" s="6">
        <f>IFERROR(__xludf.DUMMYFUNCTION("""COMPUTED_VALUE"""),"Space")</f>
        <v/>
      </c>
      <c r="C53" s="6">
        <f>IFERROR(__xludf.DUMMYFUNCTION("""COMPUTED_VALUE"""),"Discussion")</f>
        <v/>
      </c>
      <c r="D53" s="7">
        <f>IFERROR(__xludf.DUMMYFUNCTION("""COMPUTED_VALUE"""),"&lt;p&gt;We have seen that the quantity of data has a direct impact to how accurate will be the reactions of  our model (robot). But, what about the data quality?&lt;/p&gt;")</f>
        <v/>
      </c>
      <c r="E53" s="7">
        <f>IFERROR(__xludf.DUMMYFUNCTION("""COMPUTED_VALUE"""),"No artifact embedded")</f>
        <v/>
      </c>
      <c r="F53" s="7" t="inlineStr">
        <is>
          <t>Students are taught machine learning concepts through interactive experiments, such as drawing games, with embedded artifacts like Google AI Experiments.</t>
        </is>
      </c>
      <c r="G53" s="8" t="inlineStr">
        <is>
          <t>0</t>
        </is>
      </c>
      <c r="H53" s="8" t="inlineStr">
        <is>
          <t>0</t>
        </is>
      </c>
      <c r="I53" s="8" t="inlineStr">
        <is>
          <t>0</t>
        </is>
      </c>
      <c r="J53" s="8" t="inlineStr">
        <is>
          <t>0</t>
        </is>
      </c>
      <c r="K53" s="9" t="inlineStr">
        <is>
          <t>1</t>
        </is>
      </c>
      <c r="L53" s="9" t="inlineStr">
        <is>
          <t>0</t>
        </is>
      </c>
      <c r="M53" s="9" t="inlineStr">
        <is>
          <t>0</t>
        </is>
      </c>
      <c r="N53" s="9" t="inlineStr">
        <is>
          <t>0</t>
        </is>
      </c>
      <c r="O53" s="10" t="inlineStr">
        <is>
          <t>1</t>
        </is>
      </c>
      <c r="P53" s="10" t="inlineStr">
        <is>
          <t>1</t>
        </is>
      </c>
      <c r="Q53" s="10" t="inlineStr">
        <is>
          <t>1</t>
        </is>
      </c>
      <c r="R53" s="10" t="inlineStr">
        <is>
          <t>0</t>
        </is>
      </c>
      <c r="S53" s="10" t="inlineStr">
        <is>
          <t>0</t>
        </is>
      </c>
    </row>
    <row r="54" ht="409.5" customHeight="1">
      <c r="A54" s="6">
        <f>IFERROR(__xludf.DUMMYFUNCTION("""COMPUTED_VALUE"""),"Machine Learning and Artificial Intelligence")</f>
        <v/>
      </c>
      <c r="B54" s="6">
        <f>IFERROR(__xludf.DUMMYFUNCTION("""COMPUTED_VALUE"""),"Application")</f>
        <v/>
      </c>
      <c r="C54" s="6">
        <f>IFERROR(__xludf.DUMMYFUNCTION("""COMPUTED_VALUE"""),"Speakup")</f>
        <v/>
      </c>
      <c r="D54" s="7">
        <f>IFERROR(__xludf.DUMMYFUNCTION("""COMPUTED_VALUE"""),"&lt;p&gt;How important do you think the quality of the data is? If the words we provided to our robot, weren't very accurate, what to you think the result would be? And if, for some reason (can you name any ?) we didn't teach it the right way ( for example prov"&amp;"ide unpolite words and learn the robot that they are compliments), what do you think the concequences would be? Do you think ETHICS are important when it comes to Machine Learning and Artificial Intelligence? Share your thoughts.&lt;/p&gt;")</f>
        <v/>
      </c>
      <c r="E5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4" s="7" t="inlineStr">
        <is>
          <t>Students are given tasks and tutorials with embedded artifacts like AI games and discussion apps to explore machine learning concepts and ethics.</t>
        </is>
      </c>
      <c r="G54" s="8" t="inlineStr">
        <is>
          <t>0</t>
        </is>
      </c>
      <c r="H54" s="8" t="inlineStr">
        <is>
          <t>0</t>
        </is>
      </c>
      <c r="I54" s="8" t="inlineStr">
        <is>
          <t>1</t>
        </is>
      </c>
      <c r="J54" s="8" t="inlineStr">
        <is>
          <t>1</t>
        </is>
      </c>
      <c r="K54" s="9" t="inlineStr">
        <is>
          <t>0</t>
        </is>
      </c>
      <c r="L54" s="9" t="inlineStr">
        <is>
          <t>1</t>
        </is>
      </c>
      <c r="M54" s="9" t="inlineStr">
        <is>
          <t>1</t>
        </is>
      </c>
      <c r="N54" s="9" t="inlineStr">
        <is>
          <t>1</t>
        </is>
      </c>
      <c r="O54" s="10" t="inlineStr">
        <is>
          <t>1</t>
        </is>
      </c>
      <c r="P54" s="10" t="inlineStr">
        <is>
          <t>1</t>
        </is>
      </c>
      <c r="Q54" s="10" t="inlineStr">
        <is>
          <t>0</t>
        </is>
      </c>
      <c r="R54" s="10" t="inlineStr">
        <is>
          <t>0</t>
        </is>
      </c>
      <c r="S54" s="10" t="inlineStr">
        <is>
          <t>1</t>
        </is>
      </c>
    </row>
    <row r="55" ht="61" customHeight="1">
      <c r="A55" s="6">
        <f>IFERROR(__xludf.DUMMYFUNCTION("""COMPUTED_VALUE"""),"BHIMS")</f>
        <v/>
      </c>
      <c r="B55" s="6">
        <f>IFERROR(__xludf.DUMMYFUNCTION("""COMPUTED_VALUE"""),"Space")</f>
        <v/>
      </c>
      <c r="C55" s="6">
        <f>IFERROR(__xludf.DUMMYFUNCTION("""COMPUTED_VALUE"""),"Orientation")</f>
        <v/>
      </c>
      <c r="D55" s="7">
        <f>IFERROR(__xludf.DUMMYFUNCTION("""COMPUTED_VALUE"""),"&lt;p&gt;What do we know about Black holes?&lt;/p&gt;&lt;p&gt;&lt;br&gt;&lt;/p&gt;")</f>
        <v/>
      </c>
      <c r="E55" s="7">
        <f>IFERROR(__xludf.DUMMYFUNCTION("""COMPUTED_VALUE"""),"No artifact embedded")</f>
        <v/>
      </c>
      <c r="F55" s="7" t="inlineStr">
        <is>
          <t>Students discuss data quality and ethics in AI, with one task using the SpeakUp app for a class discussion.</t>
        </is>
      </c>
      <c r="G55" s="8" t="inlineStr">
        <is>
          <t>1</t>
        </is>
      </c>
      <c r="H55" s="8" t="inlineStr">
        <is>
          <t>0</t>
        </is>
      </c>
      <c r="I55" s="8" t="inlineStr">
        <is>
          <t>0</t>
        </is>
      </c>
      <c r="J55" s="8" t="inlineStr">
        <is>
          <t>0</t>
        </is>
      </c>
      <c r="K55" s="9" t="inlineStr">
        <is>
          <t>1</t>
        </is>
      </c>
      <c r="L55" s="9" t="inlineStr">
        <is>
          <t>0</t>
        </is>
      </c>
      <c r="M55" s="9" t="inlineStr">
        <is>
          <t>0</t>
        </is>
      </c>
      <c r="N55" s="9" t="inlineStr">
        <is>
          <t>0</t>
        </is>
      </c>
      <c r="O55" s="10" t="inlineStr">
        <is>
          <t>1</t>
        </is>
      </c>
      <c r="P55" s="10" t="inlineStr">
        <is>
          <t>1</t>
        </is>
      </c>
      <c r="Q55" s="10" t="inlineStr">
        <is>
          <t>0</t>
        </is>
      </c>
      <c r="R55" s="10" t="inlineStr">
        <is>
          <t>0</t>
        </is>
      </c>
      <c r="S55" s="10" t="inlineStr">
        <is>
          <t>0</t>
        </is>
      </c>
    </row>
    <row r="56" ht="97" customHeight="1">
      <c r="A56" s="6">
        <f>IFERROR(__xludf.DUMMYFUNCTION("""COMPUTED_VALUE"""),"BHIMS")</f>
        <v/>
      </c>
      <c r="B56" s="6">
        <f>IFERROR(__xludf.DUMMYFUNCTION("""COMPUTED_VALUE"""),"Resource")</f>
        <v/>
      </c>
      <c r="C56" s="6">
        <f>IFERROR(__xludf.DUMMYFUNCTION("""COMPUTED_VALUE"""),"cygX1.gif")</f>
        <v/>
      </c>
      <c r="D56" s="7">
        <f>IFERROR(__xludf.DUMMYFUNCTION("""COMPUTED_VALUE"""),"No task description")</f>
        <v/>
      </c>
      <c r="E56" s="7">
        <f>IFERROR(__xludf.DUMMYFUNCTION("""COMPUTED_VALUE"""),"image/gif – An animated or static graphic using the GIF format, often seen in memes and web animations.")</f>
        <v/>
      </c>
      <c r="F56" s="7" t="inlineStr">
        <is>
          <t>Students discuss data quality, ethics in AI, and consequences of biased teaching. Embedded artifacts include a discussion app and a GIF image.</t>
        </is>
      </c>
      <c r="G56" s="8" t="inlineStr">
        <is>
          <t>1</t>
        </is>
      </c>
      <c r="H56" s="8" t="inlineStr">
        <is>
          <t>0</t>
        </is>
      </c>
      <c r="I56" s="8" t="inlineStr">
        <is>
          <t>0</t>
        </is>
      </c>
      <c r="J56" s="8" t="inlineStr">
        <is>
          <t>0</t>
        </is>
      </c>
      <c r="K56" s="9" t="inlineStr">
        <is>
          <t>0</t>
        </is>
      </c>
      <c r="L56" s="9" t="inlineStr">
        <is>
          <t>0</t>
        </is>
      </c>
      <c r="M56" s="9" t="inlineStr">
        <is>
          <t>0</t>
        </is>
      </c>
      <c r="N56" s="9" t="inlineStr">
        <is>
          <t>0</t>
        </is>
      </c>
      <c r="O56" s="10" t="inlineStr">
        <is>
          <t>0</t>
        </is>
      </c>
      <c r="P56" s="10" t="inlineStr">
        <is>
          <t>0</t>
        </is>
      </c>
      <c r="Q56" s="10" t="inlineStr">
        <is>
          <t>0</t>
        </is>
      </c>
      <c r="R56" s="10" t="inlineStr">
        <is>
          <t>0</t>
        </is>
      </c>
      <c r="S56" s="10" t="inlineStr">
        <is>
          <t>0</t>
        </is>
      </c>
    </row>
    <row r="57" ht="409.5" customHeight="1">
      <c r="A57" s="6">
        <f>IFERROR(__xludf.DUMMYFUNCTION("""COMPUTED_VALUE"""),"BHIMS")</f>
        <v/>
      </c>
      <c r="B57" s="6">
        <f>IFERROR(__xludf.DUMMYFUNCTION("""COMPUTED_VALUE"""),"Resource")</f>
        <v/>
      </c>
      <c r="C57" s="6">
        <f>IFERROR(__xludf.DUMMYFUNCTION("""COMPUTED_VALUE"""),"text 5.graasp")</f>
        <v/>
      </c>
      <c r="D57" s="7">
        <f>IFERROR(__xludf.DUMMYFUNCTION("""COMPUTED_VALUE"""),"&lt;p&gt;This lesson will bring you to the world of Black Holes. But before you start this journey please answer a few questions by following the link below (This ILS was created for research purposes, contact the author for more information: rosa.doran(at)nucl"&amp;"io.pt:&lt;/p&gt;&lt;p&gt;&lt;br&gt;&lt;/p&gt;&lt;p&gt;&lt;a href=""https://docs.google.com/forms/d/1GB6wbDyKDp2Ryrexl5xe3URESxFxaaeOkUl1ND_shNA/viewform"" target=""_blank""&gt;Pre-questionnaire for teachers&lt;/a&gt;&lt;/p&gt;&lt;p&gt;&lt;br&gt;&lt;/p&gt;&lt;p&gt;&lt;a target=""_blank"" href=""https://docs.google.com/forms/d/1rQ"&amp;"sI-_KP4XBl0wyxNZpDMU-U1mi28CyiNHv0p-RN9VQ/viewform""&gt;Pre-questioinnaire for students&lt;/a&gt;&lt;br&gt;&lt;/p&gt;&lt;p&gt;&lt;br&gt;&lt;/p&gt;&lt;p&gt;In this project you will be invited to explore stellar black hole candidates just as scientists do. You will also have the opportunity to have yo"&amp;"ur own research project and observe using research quality robotic telescopes. But before you start your scientific exploration it is important to learn a little bit more about black holes, from a theoretical point of view and from an observational point "&amp;"of view. Start by watching the suggested clips and discussing them with your teachers and colleagues. Start your own journal where you will describe the whole experience. Meanwhile welcome to ""Black Holes in my School"" adventure.&lt;br&gt;&lt;/p&gt;&lt;p&gt;&lt;br&gt;&lt;/p&gt;&lt;p st"&amp;"yle=""line-height: 26.6667px;""&gt;Watch this episode of the wormhole series where Morgan Freeman present Black Holes in a brilliant way&lt;/p&gt;&lt;p style=""line-height: 26.6667px;""&gt;&lt;br&gt;&lt;/p&gt;&lt;p&gt;&lt;a href=""http://www.disclose.tv/action/viewvideo/121055/Through_The_W"&amp;"ormhole_The_Riddle_Of_Black_Holes/"" target=""_blank""&gt;Through the wormhole - The Riddle of Black Holes&lt;/a&gt;&lt;br&gt;&lt;/p&gt;&lt;p&gt;&lt;br&gt;&lt;/p&gt;&lt;p style=""line-height: 26.6667px;""&gt;Now that you already heard the basics about black hole, take another step and adventure watc"&amp;"hing the movie Interstellar.&lt;br&gt;&lt;/p&gt;&lt;p style=""line-height: 26.6667px;""&gt;&lt;br&gt;&lt;/p&gt;&lt;p style=""line-height: 26.6667px;""&gt;&lt;br&gt;&lt;/p&gt;&lt;p style=""line-height: 26.6667px;""&gt;&lt;a href=""https://www.youtube.com/watch?v=Rt2LHkSwdPQ"" target=""_blank""&gt;The movie trailer&lt;"&amp;"/a&gt;&lt;/p&gt;&lt;p style=""line-height: 26.6667px;""&gt;&lt;br&gt;&lt;/p&gt;&lt;p&gt;But before learn a bit more about the whole story behind the production of this movie and the scientist who wrote the story&lt;br&gt;&lt;/p&gt;")</f>
        <v/>
      </c>
      <c r="E57" s="7">
        <f>IFERROR(__xludf.DUMMYFUNCTION("""COMPUTED_VALUE"""),"No artifact embedded")</f>
        <v/>
      </c>
      <c r="F57" s="7" t="inlineStr">
        <is>
          <t>Students are instructed to research Black Holes. Embedded artifacts include an animated GIF image.</t>
        </is>
      </c>
      <c r="G57" s="8" t="inlineStr">
        <is>
          <t>0</t>
        </is>
      </c>
      <c r="H57" s="8" t="inlineStr">
        <is>
          <t>0</t>
        </is>
      </c>
      <c r="I57" s="8" t="inlineStr">
        <is>
          <t>1</t>
        </is>
      </c>
      <c r="J57" s="8" t="inlineStr">
        <is>
          <t>1</t>
        </is>
      </c>
      <c r="K57" s="9" t="inlineStr">
        <is>
          <t>0</t>
        </is>
      </c>
      <c r="L57" s="9" t="inlineStr">
        <is>
          <t>1</t>
        </is>
      </c>
      <c r="M57" s="9" t="inlineStr">
        <is>
          <t>1</t>
        </is>
      </c>
      <c r="N57" s="9" t="inlineStr">
        <is>
          <t>1</t>
        </is>
      </c>
      <c r="O57" s="10" t="inlineStr">
        <is>
          <t>1</t>
        </is>
      </c>
      <c r="P57" s="10" t="inlineStr">
        <is>
          <t>0</t>
        </is>
      </c>
      <c r="Q57" s="10" t="inlineStr">
        <is>
          <t>1</t>
        </is>
      </c>
      <c r="R57" s="10" t="inlineStr">
        <is>
          <t>0</t>
        </is>
      </c>
      <c r="S57" s="10" t="inlineStr">
        <is>
          <t>1</t>
        </is>
      </c>
    </row>
    <row r="58" ht="25" customHeight="1">
      <c r="A58" s="6">
        <f>IFERROR(__xludf.DUMMYFUNCTION("""COMPUTED_VALUE"""),"BHIMS")</f>
        <v/>
      </c>
      <c r="B58" s="6">
        <f>IFERROR(__xludf.DUMMYFUNCTION("""COMPUTED_VALUE"""),"Resource")</f>
        <v/>
      </c>
      <c r="C58" s="6">
        <f>IFERROR(__xludf.DUMMYFUNCTION("""COMPUTED_VALUE"""),"text 4.graasp")</f>
        <v/>
      </c>
      <c r="D58" s="7">
        <f>IFERROR(__xludf.DUMMYFUNCTION("""COMPUTED_VALUE"""),"No task description")</f>
        <v/>
      </c>
      <c r="E58" s="7">
        <f>IFERROR(__xludf.DUMMYFUNCTION("""COMPUTED_VALUE"""),"No artifact embedded")</f>
        <v/>
      </c>
      <c r="F58" s="7" t="inlineStr">
        <is>
          <t>Students are instructed to answer questions, watch clips, and start a journal. Embedded artifacts include a GIF image and links to videos and a movie trailer.</t>
        </is>
      </c>
      <c r="G58" s="8" t="inlineStr">
        <is>
          <t>1</t>
        </is>
      </c>
      <c r="H58" s="8" t="inlineStr">
        <is>
          <t>0</t>
        </is>
      </c>
      <c r="I58" s="8" t="inlineStr">
        <is>
          <t>0</t>
        </is>
      </c>
      <c r="J58" s="8" t="inlineStr">
        <is>
          <t>0</t>
        </is>
      </c>
      <c r="K58" s="9" t="inlineStr">
        <is>
          <t>0</t>
        </is>
      </c>
      <c r="L58" s="9" t="inlineStr">
        <is>
          <t>0</t>
        </is>
      </c>
      <c r="M58" s="9" t="inlineStr">
        <is>
          <t>0</t>
        </is>
      </c>
      <c r="N58" s="9" t="inlineStr">
        <is>
          <t>0</t>
        </is>
      </c>
      <c r="O58" s="10" t="inlineStr">
        <is>
          <t>0</t>
        </is>
      </c>
      <c r="P58" s="10" t="inlineStr">
        <is>
          <t>0</t>
        </is>
      </c>
      <c r="Q58" s="10" t="inlineStr">
        <is>
          <t>0</t>
        </is>
      </c>
      <c r="R58" s="10" t="inlineStr">
        <is>
          <t>0</t>
        </is>
      </c>
      <c r="S58" s="10" t="inlineStr">
        <is>
          <t>0</t>
        </is>
      </c>
    </row>
    <row r="59" ht="229" customHeight="1">
      <c r="A59" s="6">
        <f>IFERROR(__xludf.DUMMYFUNCTION("""COMPUTED_VALUE"""),"BHIMS")</f>
        <v/>
      </c>
      <c r="B59" s="6">
        <f>IFERROR(__xludf.DUMMYFUNCTION("""COMPUTED_VALUE"""),"Resource")</f>
        <v/>
      </c>
      <c r="C59" s="6">
        <f>IFERROR(__xludf.DUMMYFUNCTION("""COMPUTED_VALUE"""),"Christopher Nolan &amp; Kip Thorne Break Down The Physics of Interstellar | TIME")</f>
        <v/>
      </c>
      <c r="D59" s="7">
        <f>IFERROR(__xludf.DUMMYFUNCTION("""COMPUTED_VALUE"""),"Director Christopher Nolan and author Kip Thorne speak to TIME's Jeffrey Kluger about the physics of 2014 blockbuster Interstellar. There's no arguing about the blockbuster status of Interstellar, director Chris Nolan's latest box office phenomenon.")</f>
        <v/>
      </c>
      <c r="E59" s="7">
        <f>IFERROR(__xludf.DUMMYFUNCTION("""COMPUTED_VALUE"""),"youtube.com: A widely known video-sharing platform where users can watch videos on a vast array of topics, including educational content.")</f>
        <v/>
      </c>
      <c r="F59" s="7" t="inlineStr">
        <is>
          <t>Students are instructed to answer pre-questionnaire, watch clips, and discuss black holes. Embedded artifacts include YouTube links and movie trailers.</t>
        </is>
      </c>
      <c r="G59" s="8" t="inlineStr">
        <is>
          <t>1</t>
        </is>
      </c>
      <c r="H59" s="8" t="inlineStr">
        <is>
          <t>0</t>
        </is>
      </c>
      <c r="I59" s="8" t="inlineStr">
        <is>
          <t>0</t>
        </is>
      </c>
      <c r="J59" s="8" t="inlineStr">
        <is>
          <t>0</t>
        </is>
      </c>
      <c r="K59" s="9" t="inlineStr">
        <is>
          <t>0</t>
        </is>
      </c>
      <c r="L59" s="9" t="inlineStr">
        <is>
          <t>0</t>
        </is>
      </c>
      <c r="M59" s="9" t="inlineStr">
        <is>
          <t>0</t>
        </is>
      </c>
      <c r="N59" s="9" t="inlineStr">
        <is>
          <t>0</t>
        </is>
      </c>
      <c r="O59" s="10" t="inlineStr">
        <is>
          <t>1</t>
        </is>
      </c>
      <c r="P59" s="10" t="inlineStr">
        <is>
          <t>0</t>
        </is>
      </c>
      <c r="Q59" s="10" t="inlineStr">
        <is>
          <t>0</t>
        </is>
      </c>
      <c r="R59" s="10" t="inlineStr">
        <is>
          <t>0</t>
        </is>
      </c>
      <c r="S59" s="10" t="inlineStr">
        <is>
          <t>0</t>
        </is>
      </c>
    </row>
    <row r="60" ht="296" customHeight="1">
      <c r="A60" s="6">
        <f>IFERROR(__xludf.DUMMYFUNCTION("""COMPUTED_VALUE"""),"BHIMS")</f>
        <v/>
      </c>
      <c r="B60" s="6">
        <f>IFERROR(__xludf.DUMMYFUNCTION("""COMPUTED_VALUE"""),"Resource")</f>
        <v/>
      </c>
      <c r="C60" s="6">
        <f>IFERROR(__xludf.DUMMYFUNCTION("""COMPUTED_VALUE"""),"The Science of Interstellar - Discovery Channel Documentary - HD")</f>
        <v/>
      </c>
      <c r="D60" s="7">
        <f>IFERROR(__xludf.DUMMYFUNCTION("""COMPUTED_VALUE"""),"Thanks for watching, don't forget to like, comment, subscribe and watch my other videos (including some more Interstellar related ones) ! The Science of Interstellar - Discovery Channel Documentary Matthew McConaughey takes viewers behind the scenes of In"&amp;"terstellar with a look at the real-life science that went into this out-of-this-world film.")</f>
        <v/>
      </c>
      <c r="E60" s="7">
        <f>IFERROR(__xludf.DUMMYFUNCTION("""COMPUTED_VALUE"""),"youtube.com: A widely known video-sharing platform where users can watch videos on a vast array of topics, including educational content.")</f>
        <v/>
      </c>
      <c r="F60" s="7" t="inlineStr">
        <is>
          <t>Students are instructed to watch videos about Interstellar's physics on YouTube. Embedded artifacts include two YouTube videos discussing the science behind the film.</t>
        </is>
      </c>
      <c r="G60" s="8" t="inlineStr">
        <is>
          <t>1</t>
        </is>
      </c>
      <c r="H60" s="8" t="inlineStr">
        <is>
          <t>0</t>
        </is>
      </c>
      <c r="I60" s="8" t="inlineStr">
        <is>
          <t>0</t>
        </is>
      </c>
      <c r="J60" s="8" t="inlineStr">
        <is>
          <t>0</t>
        </is>
      </c>
      <c r="K60" s="9" t="inlineStr">
        <is>
          <t>0</t>
        </is>
      </c>
      <c r="L60" s="9" t="inlineStr">
        <is>
          <t>0</t>
        </is>
      </c>
      <c r="M60" s="9" t="inlineStr">
        <is>
          <t>0</t>
        </is>
      </c>
      <c r="N60" s="9" t="inlineStr">
        <is>
          <t>0</t>
        </is>
      </c>
      <c r="O60" s="10" t="inlineStr">
        <is>
          <t>0</t>
        </is>
      </c>
      <c r="P60" s="10" t="inlineStr">
        <is>
          <t>0</t>
        </is>
      </c>
      <c r="Q60" s="10" t="inlineStr">
        <is>
          <t>0</t>
        </is>
      </c>
      <c r="R60" s="10" t="inlineStr">
        <is>
          <t>0</t>
        </is>
      </c>
      <c r="S60" s="10" t="inlineStr">
        <is>
          <t>0</t>
        </is>
      </c>
    </row>
    <row r="61" ht="329" customHeight="1">
      <c r="A61" s="6">
        <f>IFERROR(__xludf.DUMMYFUNCTION("""COMPUTED_VALUE"""),"BHIMS")</f>
        <v/>
      </c>
      <c r="B61" s="6">
        <f>IFERROR(__xludf.DUMMYFUNCTION("""COMPUTED_VALUE"""),"Space")</f>
        <v/>
      </c>
      <c r="C61" s="6">
        <f>IFERROR(__xludf.DUMMYFUNCTION("""COMPUTED_VALUE"""),"Investigation")</f>
        <v/>
      </c>
      <c r="D61" s="7">
        <f>IFERROR(__xludf.DUMMYFUNCTION("""COMPUTED_VALUE"""),"&lt;p&gt;Now it is time to get your hands on data and start your career as a researcher. You should start by learning how to use the software Salsa J, an image processing software that allows you to analyse and process astronomical images. You will find a good "&amp;"introducation to Salsa J here (and a set of images to get started with your training):&lt;/p&gt;&lt;p&gt;&lt;br&gt;&lt;/p&gt;&lt;p&gt;&lt;br&gt;&lt;/p&gt;&lt;p&gt;&lt;br&gt;&lt;/p&gt;&lt;p&gt;&lt;br&gt;&lt;/p&gt;")</f>
        <v/>
      </c>
      <c r="E61" s="7">
        <f>IFERROR(__xludf.DUMMYFUNCTION("""COMPUTED_VALUE"""),"No artifact embedded")</f>
        <v/>
      </c>
      <c r="F61" s="7" t="inlineStr">
        <is>
          <t>Students watch videos on Interstellar's physics, then learn image processing software Salsa J for astronomical research. Embedded artifacts include YouTube videos.</t>
        </is>
      </c>
      <c r="G61" s="8" t="inlineStr">
        <is>
          <t>0</t>
        </is>
      </c>
      <c r="H61" s="8" t="inlineStr">
        <is>
          <t>1</t>
        </is>
      </c>
      <c r="I61" s="8" t="inlineStr">
        <is>
          <t>0</t>
        </is>
      </c>
      <c r="J61" s="8" t="inlineStr">
        <is>
          <t>0</t>
        </is>
      </c>
      <c r="K61" s="9" t="inlineStr">
        <is>
          <t>1</t>
        </is>
      </c>
      <c r="L61" s="9" t="inlineStr">
        <is>
          <t>0</t>
        </is>
      </c>
      <c r="M61" s="9" t="inlineStr">
        <is>
          <t>0</t>
        </is>
      </c>
      <c r="N61" s="9" t="inlineStr">
        <is>
          <t>0</t>
        </is>
      </c>
      <c r="O61" s="10" t="inlineStr">
        <is>
          <t>1</t>
        </is>
      </c>
      <c r="P61" s="10" t="inlineStr">
        <is>
          <t>0</t>
        </is>
      </c>
      <c r="Q61" s="10" t="inlineStr">
        <is>
          <t>1</t>
        </is>
      </c>
      <c r="R61" s="10" t="inlineStr">
        <is>
          <t>0</t>
        </is>
      </c>
      <c r="S61" s="10" t="inlineStr">
        <is>
          <t>0</t>
        </is>
      </c>
    </row>
    <row r="62" ht="409.5" customHeight="1">
      <c r="A62" s="6">
        <f>IFERROR(__xludf.DUMMYFUNCTION("""COMPUTED_VALUE"""),"BHIMS")</f>
        <v/>
      </c>
      <c r="B62" s="6">
        <f>IFERROR(__xludf.DUMMYFUNCTION("""COMPUTED_VALUE"""),"Resource")</f>
        <v/>
      </c>
      <c r="C62" s="6">
        <f>IFERROR(__xludf.DUMMYFUNCTION("""COMPUTED_VALUE"""),"text 0.graasp")</f>
        <v/>
      </c>
      <c r="D62" s="7">
        <f>IFERROR(__xludf.DUMMYFUNCTION("""COMPUTED_VALUE"""),"&lt;p&gt;Below you will find a brief tutorial and in this link a set of images to get you started&lt;/p&gt;&lt;p&gt;&lt;br&gt;&lt;/p&gt;&lt;p&gt;&lt;a href=""https://www.dropbox.com/sh/qaig4v6gk888p1o/AACVOInogIUloVIKcbxNBjQVa?dl=0"" target=""_blank""&gt;Salsa J images&lt;/a&gt; and tutorial&lt;br&gt;&lt;/p&gt;&lt;p&gt;"&amp;"&lt;br&gt;&lt;/p&gt;&lt;p&gt;&lt;br&gt;&lt;/p&gt;&lt;p&gt;After you finish the proposed exercises you are ready to proceed to the next stage. Let's start with some basic informatin on how to measure the luminosity of objects in the sky.  Start by reading the Photomotry Basics Document below"&amp;":&lt;/p&gt;")</f>
        <v/>
      </c>
      <c r="E62" s="7">
        <f>IFERROR(__xludf.DUMMYFUNCTION("""COMPUTED_VALUE"""),"No artifact embedded")</f>
        <v/>
      </c>
      <c r="F62" s="7" t="inlineStr">
        <is>
          <t>Students are instructed to watch videos, use image processing software, and read documents to learn about Interstellar and astronomy research. Embedded artifacts include a YouTube video link.</t>
        </is>
      </c>
      <c r="G62" s="8" t="inlineStr">
        <is>
          <t>1</t>
        </is>
      </c>
      <c r="H62" s="8" t="inlineStr">
        <is>
          <t>0</t>
        </is>
      </c>
      <c r="I62" s="8" t="inlineStr">
        <is>
          <t>0</t>
        </is>
      </c>
      <c r="J62" s="8" t="inlineStr">
        <is>
          <t>0</t>
        </is>
      </c>
      <c r="K62" s="9" t="inlineStr">
        <is>
          <t>1</t>
        </is>
      </c>
      <c r="L62" s="9" t="inlineStr">
        <is>
          <t>0</t>
        </is>
      </c>
      <c r="M62" s="9" t="inlineStr">
        <is>
          <t>0</t>
        </is>
      </c>
      <c r="N62" s="9" t="inlineStr">
        <is>
          <t>0</t>
        </is>
      </c>
      <c r="O62" s="10" t="inlineStr">
        <is>
          <t>0</t>
        </is>
      </c>
      <c r="P62" s="10" t="inlineStr">
        <is>
          <t>0</t>
        </is>
      </c>
      <c r="Q62" s="10" t="inlineStr">
        <is>
          <t>0</t>
        </is>
      </c>
      <c r="R62" s="10" t="inlineStr">
        <is>
          <t>0</t>
        </is>
      </c>
      <c r="S62" s="10" t="inlineStr">
        <is>
          <t>0</t>
        </is>
      </c>
    </row>
    <row r="63" ht="409.5" customHeight="1">
      <c r="A63" s="6">
        <f>IFERROR(__xludf.DUMMYFUNCTION("""COMPUTED_VALUE"""),"BHIMS")</f>
        <v/>
      </c>
      <c r="B63" s="6">
        <f>IFERROR(__xludf.DUMMYFUNCTION("""COMPUTED_VALUE"""),"Resource")</f>
        <v/>
      </c>
      <c r="C63" s="6">
        <f>IFERROR(__xludf.DUMMYFUNCTION("""COMPUTED_VALUE"""),"BHIMS_Photometry.pdf")</f>
        <v/>
      </c>
      <c r="D63" s="7" t="inlineStr">
        <is>
          <t>Photometry with Salsa J (based on the activity from Faulkes Telescope Education Program - Daniel Duggan &amp; Sarah Roberts). Photometry is the measurement of the intensity or brightness in a particular waveband (e.g. the optical) of an astronomical object, such as a star or galaxy by adding up all of the light from the object. For example, a star looks like a point of light when you look at it just with your eyes but the Earth's atmosphere smears it out into something that looks like a round blob when you use a telescope to look at it. In order to measure the total light coming from the star, we must add up all of the light from the smeared out star. Photometry is used to generate light curves of objects such as variable stars and supernovae, where we are interested in variability of light output by the system over time. It can also be used to discover exoplanets or to estimate the mass of a black hole candidate, by measuring fluctuations in the intensity of a star's light over time. These instructions explain how photometry can be carried out on groups, or clusters of stars, from images taken with different filters, in order to plot a colour magnitude diagram. An explanation on magnitudes can be found at the end of this document in Appendix 1. Instructions Before we can start the photometry, we have to work out our aperture radius - this defines the radius of the circle that is used to count the pixel values in the image. The radius of the circle is very important - if the radius is too small, it will not count all the light coming from the star and if it is too big, it may count too much background sky or other stars in the image. Therefore you may not get accurate measurements. SalsaJ automatically sets the radius as the Full Width Half Maximum (FWHM) of the stars in the image. The FWHM is used to describe the width of an object in the image. Stars in astronomical images have a specific profile when plotted as a graph of pixel values and that profile should be the same for each star in the image. The FWHM is a measure of the telescope's optics, the image recording CCD and the atmosphere through which the light passes. FWHM When determining the brightness of a star, the software sums the brightness over all pixels receiving light from that star. To do this the effective width of the star must be determined for each image before measuring the brightness of the stars on that image. One way to estimate the FWHM is to look at a slice across the star. The slice will probably look something like the diagram on the next page (without the arrows and label). The base of the slice is at the value for the background sky. The top of the peak represents the counts measured in the brightest pixel along the slice within the star. The difference between the top of the peak and the base is the height of the peak. The FWHM is the number of pixels across the peak at a point halfway up from the base. FWHM is displayed graphically like this: In order to do photometry, we recommend you work out your own optimum star radius in order to get more accurate results. To do this you must conduct a simple experiment, collect data and plot a graph - using Microsoft Excel (or another spreadsheet package that can plot graphs) makes this exercise much easier and quicker. The idea is to test several different aperture radii and compare the intensity values you get for each radius by plotting a graph of radius against intensity. To do this, go back to SalsaJ, then to Analyse&gt;Photometry Settings. Select force Star Radius and choose the value 6. Next, go to Analyse&gt;Photometry and another empty window will then appear entitled 'Photometry'. Using the mouse, click on a star in your image. The intensity of the object is calculated by adding up all the pixel values within the radius of the aperture. We can clearly see that the chosen radius is too small. Let's increase it a bit to 8. Click on the star again and a new measurement will appear. Still the radius is too small. Increase the value to 10 and continue until you reach a radius of 40 You should have something like this: In Excel (or other package) create two columns for Radius and Intensity then, add radius and the intensity value from SalsaJ. (You can save the values directly from the Photometry window in file.xls format and convert it to Excel. You should have a set of results that looks like this: Star's Star's Sky's Sky's Index Image X Y intensity radius intensity radius 1 ptstar2.fts 283 2 ptstar2.fts 283 211 34841 6 477 9 3 ptstar2.fts 283 4 ptstar2.fts 283 211 75460 8 300 12 5 ptstar2.fts 283 6 ptstar2.fts 283 211 117922 10 187 15 7 ptstar2.fts 283 8 ptstar2.fts 283 211 155160 12 123 18 9 ptstar2.fts 283 ptstar2.fts 283 211 187485 14 83 21 10 ptstar2.fts 283 11 ptstar2.fts 283 211 211802 16 62 24 12 ptstar2.fts 283 13 ptstar2.fts 283 211 229401 18 50 27 14 ptstar2.fts 283 15 ptstar2.fts 283 211 242610 20 43 30 16 ptstar2.fts 283 17 ptstar2.fts 283 211 252117 22 38 33 18 211 258799 24 36 36 211 264426 26 34 39 211 268427 28 33 42 211 271693 30 32 45 211 276987 35 31 52 211 279995 40 31 60 211 283728 50 31 75 211 284816 55 30 82 211 286119 60 30 90 We are interested in the variation of intensity with increasing aperture radius. When you plot a graph of this data, you should get something that looks like this: Counts Aperture Radius You can see the rapid rise of intensity as the radius of the aperture increases. This is because more of the star is included in the increasing radii of the apertures. The graph begins to flatten out when we have all of the star within the aperture, but keeps rising gradually as more and more of the background sky is included. From this graph, we can see that the best radius to use is about 10 - this is around the point where the star's intensity stops increasing so rapidly. There is however, not just one correct answer and a value of 12 or 14 could also be considered appropriate. Once you have chosen the best aperture radius, this can be set for the remainder of your photometry analysis on this image. It is advisable to carry out this exercise every time you come to work with a new set of images as the FWHM of objects change due to the seeing conditions at the time of observation so new aperture radii will need to be calculated for new images. However, if you are carrying out photometry on the star, but in two different wavelengths (such as B and V), then you should use the same radius for both images to ensure that you are comparing 'like with like'. Measuring the Counts of a Star Let's continue using the same images as before PTstar1 PTstar2. Now with the established value for the aperture of 18 we will measure the brightness in both images What is the brightness of PTstar1 in Counts? What is the brightness of PTstar2 in Counts? You will find out that the values greatly change from one image to the other. These images are actually of the same star and the star itself has not changed. However, they were taken on two different nights and the seeing certainly varied a lot. In these images we can't compare the brightness of the star with other stars in the field. So in the next activity we will choose a better target. When the field has more stars it is easy to make a mistake. If you are not sure you selected the correct star you can delete a line in the photometry measurements window by selecting the line, then chosing Edit in the Menu and then Cut. Comparing Two Images of the Same Region Images for this activity are listed below. In each image the target star is on the left and the reference star is on the right. This images containing a Cepheid Variable, a star with a very well know variability and very often used and to help evaluate distances to nearby galaxies. For this part of the activity we will use the following images: PTnight1, PTnight2, PTnight3, and PTnight4. You may open and work on these images simultaneously or one at a time. PTnight1 - https://www.dropbox.com/s/gkgyaya8zuqn5ez/ptnight1.fts PTnight2 - https://www.dropbox.com/s/2hcpbvtrw90p0gt/ptnight2.fts PTnight3 - https://www.dropbox.com/s/xnttgf4h98o74dp/ptnight3.fts PTnight4 - https://www.dropbox.com/s/wk8m53gno9dub0k/ptnight4.fts Use the photometry tool to measure the brightness of the target star and the reference star Reference star Variable star</t>
        </is>
      </c>
      <c r="E63" s="7">
        <f>IFERROR(__xludf.DUMMYFUNCTION("""COMPUTED_VALUE"""),"application/pdf – A portable document format (PDF) file, preserving text and layout for consistent viewing across devices.")</f>
        <v/>
      </c>
      <c r="F63" s="7" t="inlineStr">
        <is>
          <t>The provided text is a tutorial on how to perform photometry analysis on astronomical images. Here's a step-by-step summary of the process:
1. **Understanding Photometry**: Photometry is the measurement of the brightness of celestial objects.
2. **Choosing an Aperture Radius**: To measure the brightness of a star, you need to choose an appropriate aperture radius. The aperture radius should be large enough to include the entire star, but not so large that it includes too much background noise.
3. **Determining the Best Aperture Radius**: To determine the best aperture radius, plot a graph of intensity vs. aperture radius. The graph will show a rapid rise in intensity as the radius increases, followed by a flattening out. The point where the graph starts to flatten out is the optimal aperture radius.
4. **Measuring the Brightness of a Star**: Once you have determined the best aperture radius, use the photometry tool to measure the brightness of the star in counts.
5. **Comparing Images**: When comparing images of the same region taken on different nights, make sure to use the same aperture radius for all images to ensure accurate comparisons.
The tutorial provides examples of how to perform these steps using specific images, including:
* **PTstar1** and **PTstar2**: These images are used to demonstrate how to measure the brightness of a star in counts.
* **PTnight1**, **PTnight2**, **PTnight3**, and **PTnight4**: These images contain a Cepheid variable star and are used to demonstrate how to compare the brightness of a target star and a reference star across different images.
The tutorial also provides tips, such as:
* **Deleting incorrect measurements**: If you're unsure about a measurement, you can delete it by selecting the line and choosing "Edit" &gt; "Cut".
* **Using the same aperture radius for multiple images**: When comparing images taken in different wavelengths (e.g., B and V), use the same aperture radius to ensure accurate comparisons.
Overall, this tutorial provides a step-by-step guide on how to perform photometry analysis on astronomical images, including choosing an appropriate aperture radius, measuring the brightness of stars, and comparing images.</t>
        </is>
      </c>
      <c r="G63" s="8" t="inlineStr">
        <is>
          <t>Error</t>
        </is>
      </c>
      <c r="H63" s="8" t="inlineStr">
        <is>
          <t>Error</t>
        </is>
      </c>
      <c r="I63" s="8" t="inlineStr">
        <is>
          <t>Error</t>
        </is>
      </c>
      <c r="J63" s="8" t="inlineStr">
        <is>
          <t>Error</t>
        </is>
      </c>
      <c r="K63" s="9" t="inlineStr">
        <is>
          <t>Error</t>
        </is>
      </c>
      <c r="L63" s="9" t="inlineStr">
        <is>
          <t>Error</t>
        </is>
      </c>
      <c r="M63" s="9" t="inlineStr">
        <is>
          <t>Error</t>
        </is>
      </c>
      <c r="N63" s="9" t="inlineStr">
        <is>
          <t>Error</t>
        </is>
      </c>
      <c r="O63" s="10" t="inlineStr">
        <is>
          <t>Error</t>
        </is>
      </c>
      <c r="P63" s="10" t="inlineStr">
        <is>
          <t>Error</t>
        </is>
      </c>
      <c r="Q63" s="10" t="inlineStr">
        <is>
          <t>Error</t>
        </is>
      </c>
      <c r="R63" s="10" t="inlineStr">
        <is>
          <t>Error</t>
        </is>
      </c>
      <c r="S63" s="10" t="inlineStr">
        <is>
          <t>Error</t>
        </is>
      </c>
    </row>
    <row r="64" ht="409.5" customHeight="1">
      <c r="A64" s="6">
        <f>IFERROR(__xludf.DUMMYFUNCTION("""COMPUTED_VALUE"""),"BHIMS")</f>
        <v/>
      </c>
      <c r="B64" s="6">
        <f>IFERROR(__xludf.DUMMYFUNCTION("""COMPUTED_VALUE"""),"Resource")</f>
        <v/>
      </c>
      <c r="C64" s="6">
        <f>IFERROR(__xludf.DUMMYFUNCTION("""COMPUTED_VALUE"""),"observing_blackholes.pdf")</f>
        <v/>
      </c>
      <c r="D64" s="7" t="inlineStr">
        <is>
          <t>BLACK HOLES IN MY SCHOOL Observing Stellar Mass Black Hole Candidates This module integrates an online training course introducing participants to the use of the inquiry methodology and the integration of ICT tools in schools practices. This module is devoted to the implementation of a research based experiment where students can be involved in the identification of stellar mass black hole candidates and the procedure to measure their mass limits. Learning outcomes At the end of this module participants should know the procedure used to identify black hole candidates and how to determine the mass limits of a compact object in a binary system. Rationale This module introduces participants to the technique used to determine the mass limits of a compact companion to a visible star. Resources Set of images of black hole candidates Salsa J Excel Images and parts of the text credited to Fraser Lewis (Faulkes Telescope Educational Team) BHIMS is developed in the framework of the SoNetTE project Eclipsing Binary Stars The most common stellar mass black hole candidates live in binary systems where one of the components is a compact object (a black hole or neutron star) and the other a 'normal' star. The light curve of a binary system can allow us to study the different components. Take for instance the example below: In the case where one of the components is a compact object we only see the 'normal' star (usually a main sequence star or anevolved red giant). In the case of Low Mass X-ray Binaries (LMXBs), these stars fill their Roche Lobes and therefore acquire a pear (or teardrop) shape. As the two objects orbit their common centre of mass, different parts of the system are visible to us. Depending on the Figure 1 Light curve of binary star Kepler-16 (Credit: NASA) inclination of the system (where 0° is a face-on orbit and 90° is an edge-on orbit) a limit on the mass of the compact object can be established. The image in Figure 2 shows the infrared light curve of the black hole candidate A0620-00. Depending on the position of the companion star and the compact object, with its accretion disc (see fig.4), we see different amounts of light coming towards the observer. Remember that we don't see the individual components; we only observe a dot whose brightness changes in time. It is from the study of these changes in the form of a light curve that we can start to infer some of its characteristics. Figure 2 Infrared light curve of A0620-00 (a binary system where the compact object is a strong black hole candidate). Credit: Shahbaz et al, 1994. Images and parts of the text credited to Fraser Lewis (Faulkes Telescope Educational Team) BHIMS is developed in the framework of the SoNetTE project Finding the minimum mass for the black hole candidate XTE J1118+480 The object we will study is the black hole candidate XTE J1118+480. It was discovered in March 2000 by the Rossi X-ray Timing Explorer satellite. It is approximately 6 000 light-years away in the constellation of Ursa Major. The system is composed of a compact object and a low mass star (less than 2 solar masses). The compact object is pulling matter from its companion and the intense, time-variable heating of this material in the accretion disc helped astronomers discover this object. This heating means that the disc emits copious amounts of X- rays. Figure 3 Location of the black hole candidate XTE J1118+480 (Credit: Black Hole Encyclopedia) The optical component of this system (the star; Figure 4 Here we find an artist impression of the KV UMa) already appeared in images (some binary system XTE J1118+480 composed by a low mass over 40 years old) and it appears to be star and a compact object. The material of the following a looping path that takes in out of the companion star is attracted by the intense disc of our Galaxy (see Figure 5). Studies of this gravitational field of the compact object forming an trajectory indicate that the object might have accretion disc. Credit: Hynes been inside a globular cluster and was probably kicked out after the supernova explosion of the massive progenitor star that gave birth to the compact object. The estimated mass of this black hole candidate is around 7 solar masses. This is precisely what we want to confirm with this exercise. Figure 5 Artist impression of the path of the XTEJ1118+480 through the disc of our Galaxy. Credit: STScI Images and parts of the text credited to Fraser Lewis (Faulkes Telescope Educational Team) BHIMS is developed in the framework of the SoNetTE project The data we will analyse are a sequence of 62 images obtained by Faulkes Telescope North taken on 13/05/2009. We will analyse this images using Salsa J and Excel. The images show several stars surrounding the object we wish to study. We will select some of these stars to be comparison stars in our study. The procedure is to make photometry measurements of all the comparison stars and the black hole candidate for all the images. If we are fortunate, the brightness (or intensity) of the comparison stars should remain constant (although there are variations in the images based on weather) as a function of time while the brightness of the binary system containing the black hole candidate should vary. By plotting the intensity against time we should see variability and can use this to estimate the mass of the non-visible compact object. Figure 6 The finding chart (the map of stars locating the object and the comparison stars). XTE J1118+480 is denoted by the two black lines the comparison stars are shown as 1, 2, 3. (Image from Faulkes Telescope North) First, we need to determine the best aperture radius before proceeding with the photometry. Figure 7 Evaluating the best aperture with Salsa J, as explained in the photometry lesson Images and parts of the text credited to Fraser Lewis (Faulkes Telescope Educational Team) BHIMS is developed in the framework of the SoNetTE project Previous studies show show that average star in this image has a FWHM of 4 pixeis In practice, a good choice for the radius of an aperture is about 1.5 or 2.0 times the FWHM. In the examples below the value used was 6 for the aperture radius. Now you can start to measure the intensity for the 3 comparison stars and for the black hole candidate. Make the measurements in each image for all 4 objects. Since the images are 2 Mb each, it is best to process no more than 20 images at a time. Alternatively, you can distribute the images amongst a group of students and collate the group's results later, ensuring that each group use the same aperture radius and the same comparison stars. You can choose to 'tile' them (in Salsa J, 'Tile' is under 'Window') which will make it easier to perform the procedure. It is important to process the images in order which is easy if you follow their number. Figure 8 Selection of 20 images, tiled and then reordered Make sure you adjust the brightness and contrast in all images in order to be able to see all the objects. If you can't see all of them don't use the particular image. Sometimes if you close and reopen the image the brightness and contrast appear better. Since we will be working with relative magnitudes, where we are comparing intensities of the comparison stars and the black hole candidate we don't have to worry about absolute magnitudes and standard stars etc. We are not looking for the absolute value of the magnitude of the object but the variations to its intensity relative to other stars in the same image. You will also need the Modified Julian Date (MJD) for each image. You find this information in the header of FTS images. In Salsa J you select the Show Info under the Image menu and in the header you will find the value for MJD. This is the value to be used on the x-axis of your graph. Images and parts of the text credited to Fraser Lewis (Faulkes Telescope Educational Team) BHIMS is developed in the framework of the SoNetTE project After removing a couple of images, your results should look like this: star 1 10000 star 2 9000 star 3 8000 xte J1118 7000 6000 5000 4000 3000 counts 54964.24506 54964.2528 54964.26055 54964.26829 54964.27603 54964.28377 54964.29263 54964.30037 54964.30905 54964.31678 54964.32451 54964.33576 54964.3435 54964.35124 54964.35897 54964.36671 54964.37761 54964.38534 54964.39307 54964.40339 Julian Date Figure 9 Plot of counts over time From this graph we can clearly see that our target varies far more than the comparison stars. We already know that the orbit of the visible star and compact object around each other is periodic. Finding the orbital period is complicated and time demanding. But we can make a rough estimate from the graph above since it is showing evidence that the whole period is in the set of images. We can try to adapt the value of the period that best fit our purposes. You students can play a bit with the value of the period and try to find the best fit. Scientists already know the period of this object P= 4.08 hrs = 0.17 days. (http://adsabs.harvard.edu/abs/2001ApJ...556...42W) A nice tutorial on the calculation of periodicity and determination of phase in variable systems can be found here: http://www.aavso.org/files/Chapter12.pdf The formula to transform the Julian dates in Phase is the following = 0 Where the MJD is given in the header of each image, T0 is the MJD of the first image and the period is 0.17 days. The result should look like this. Images and parts of the text credited to Fraser Lewis (Faulkes Telescope Educational Team) BHIMS is developed in the framework of the SoNetTE project 9900 8900 7900 6900 xte J1118 5900 Average star Counts 4900 3900 0.2 0.4 0.6 0.8 1 0 Phase Using the formula to determine the mass limit of the compact object ( ) = 13 sin 3 = 23 ( 2 + 1)2 2 where M1 and M2 are the masses of the compact object and the companion star respectively, P the orbital period, i.e., the time it takes for the star to complete an orbit, G is the universal gravitational constant, i is the inclination of the orbital plane of the system with the line of sight of the observer and K2 the radial velocity of the visible star We can use the radial velocity of the visible component of this system was determined to be ~ 700 km s-1 , the mass of the companion is ~ 6.1 Solar Masses (http://adsabs.harvard.edu/abs/2001ApJ...556...42W) Both of these are determined using spectrocopy the companion mass is inferred once we know its spectral class and several spectra can be taken to determine the object's radial velocity. Images and parts of the text credited to Fraser Lewis (Faulkes Telescope Educational Team) BHIMS is developed in the framework of the SoNetTE project P = 0.17 * 24 * 60 * 60 = 14 688 s Msolar = 1.9891 × 1030 kg Assuming all the above values we end up with the following value for the mass limit of this black hole candidate: ( ) = 13 sin 3 = 14 688 (700 1) 3 ( 2 + 1)2 2 6.67384 10 11m3 kg 1 s 2 ( ) = 13 sin 3 = 1.2 1031 ~ 6.3 ( 2 + 1)2 These calculations used approximate values but reached a very good guess for the mass of the stellar black hole candidate XTE J1118+480. The assumed value for the mass function (the minimum mass) is of the order of 6.1 Msolar (http://arxiv.org/pdf/astro-ph/0104032.pdf) Images and parts of the text credited to Fraser Lewis (Faulkes Telescope Educational Team) BHIMS is developed in the framework of the SoNetTE project</t>
        </is>
      </c>
      <c r="E64" s="7">
        <f>IFERROR(__xludf.DUMMYFUNCTION("""COMPUTED_VALUE"""),"application/pdf – A portable document format (PDF) file, preserving text and layout for consistent viewing across devices.")</f>
        <v/>
      </c>
      <c r="F64" s="7" t="inlineStr">
        <is>
          <t>This is a long and detailed educational resource on astronomy, specifically on the topic of stellar black holes. I'll provide a summary of the content:
**Introduction**
The resource introduces the topic of stellar black holes, which are formed when a massive star collapses in on itself. The text describes the properties of black holes and how they can be detected.
**Case Study: XTE J1118+480**
The resource focuses on a specific stellar black hole candidate, XTE J1118+480. This object is a binary system consisting of a visible star and a compact object, which is believed to be a black hole. The text describes the observations and measurements made of this system, including its orbital period, radial velocity, and mass.
**Data Analysis**
The resource provides a step-by-step guide on how to analyze the data from the XTE J1118+480 system. This includes:
1. Plotting the counts ( brightness) of the target object over time.
2. Identifying the periodicity of the system (i.e., the orbital period).
3. Converting Julian dates to phase using a specific formula.
4. Using the mass function formula to estimate the mass limit of the compact object.
**Calculations**
The resource provides calculations for estimating the mass limit of the black hole candidate XTE J1118+480. The calculations use approximate values for the orbital period, radial velocity, and companion mass. The result is an estimated mass limit of approximately 6.3 solar masses (M).
**Conclusion**
The resource concludes by comparing the calculated mass limit to the assumed value of 6.1 M, which is consistent with the expected mass of a stellar black hole candidate.
Overall, this resource provides a comprehensive and detailed introduction to the topic of stellar black holes, using a specific case study to illustrate the concepts and calculations involved in detecting and characterizing these objects.</t>
        </is>
      </c>
      <c r="G64" s="8" t="inlineStr">
        <is>
          <t>Error</t>
        </is>
      </c>
      <c r="H64" s="8" t="inlineStr">
        <is>
          <t>Error</t>
        </is>
      </c>
      <c r="I64" s="8" t="inlineStr">
        <is>
          <t>Error</t>
        </is>
      </c>
      <c r="J64" s="8" t="inlineStr">
        <is>
          <t>Error</t>
        </is>
      </c>
      <c r="K64" s="9" t="inlineStr">
        <is>
          <t>Error</t>
        </is>
      </c>
      <c r="L64" s="9" t="inlineStr">
        <is>
          <t>Error</t>
        </is>
      </c>
      <c r="M64" s="9" t="inlineStr">
        <is>
          <t>Error</t>
        </is>
      </c>
      <c r="N64" s="9" t="inlineStr">
        <is>
          <t>Error</t>
        </is>
      </c>
      <c r="O64" s="10" t="inlineStr">
        <is>
          <t>Error</t>
        </is>
      </c>
      <c r="P64" s="10" t="inlineStr">
        <is>
          <t>Error</t>
        </is>
      </c>
      <c r="Q64" s="10" t="inlineStr">
        <is>
          <t>Error</t>
        </is>
      </c>
      <c r="R64" s="10" t="inlineStr">
        <is>
          <t>Error</t>
        </is>
      </c>
      <c r="S64" s="10" t="inlineStr">
        <is>
          <t>Error</t>
        </is>
      </c>
    </row>
    <row r="65" ht="409.5" customHeight="1">
      <c r="A65" s="6">
        <f>IFERROR(__xludf.DUMMYFUNCTION("""COMPUTED_VALUE"""),"BHIMS")</f>
        <v/>
      </c>
      <c r="B65" s="6">
        <f>IFERROR(__xludf.DUMMYFUNCTION("""COMPUTED_VALUE"""),"Resource")</f>
        <v/>
      </c>
      <c r="C65" s="6">
        <f>IFERROR(__xludf.DUMMYFUNCTION("""COMPUTED_VALUE"""),"Text 1.graasp")</f>
        <v/>
      </c>
      <c r="D65" s="7">
        <f>IFERROR(__xludf.DUMMYFUNCTION("""COMPUTED_VALUE"""),"&lt;p&gt;Now you are ready to measure the brightness of the companion star to the  Black Hole Candidate XTE J 1118. Below you will find the link to the images and to the finder (the image that identifies wich is the star you need to measure and the 3 comparison"&amp;" stars):&lt;/p&gt;&lt;p&gt;&lt;br&gt;&lt;/p&gt;&lt;p&gt;&lt;a href=""https://www.dropbox.com/s/bfmjod2q7wwqe35/1118.zip?dl=0"" target=""_blank""&gt;XTE J1118 images&lt;/a&gt;&lt;br&gt;&lt;/p&gt;&lt;p&gt;&lt;br&gt;&lt;/p&gt;&lt;p&gt;&lt;br&gt;&lt;/p&gt;&lt;p&gt;&lt;a href=""https://docs.google.com/spreadsheets/d/1poBWSP4cx3PS-akqd-89Wm6r4FxvAJFf-rlf-Kdj"&amp;"Ix4/edit?usp=sharing"" target=""_blank""&gt;Google Spreadsheet&lt;/a&gt;&lt;br&gt;&lt;/p&gt;&lt;p&gt;&lt;br&gt;&lt;/p&gt;&lt;p&gt;When you are done proceed to create a graph with the values you measured. &lt;/p&gt;&lt;p&gt;&lt;br&gt;&lt;/p&gt;&lt;p&gt;Finally follow the example provided in the observing stellar black hole candid"&amp;"ates pdf below and find the limit mass of the black hole candidate in this system.&lt;/p&gt;")</f>
        <v/>
      </c>
      <c r="E65" s="7">
        <f>IFERROR(__xludf.DUMMYFUNCTION("""COMPUTED_VALUE"""),"No artifact embedded")</f>
        <v/>
      </c>
      <c r="F65" s="7" t="inlineStr">
        <is>
          <t>It appears that we have a detailed tutorial on how to measure the brightness of a companion star to a Black Hole Candidate XTE J1118 and estimate the mass limit of the black hole. Here's a breakdown of the steps involved:
**Step 1: Measure the brightness of the companion star**
* Download the images of XTE J1118 from the provided link
* Use the finder image to identify the companion star and three comparison stars
* Measure the brightness (counts) of the companion star and the comparison stars using a suitable software (e.g., astropy, IRAF, etc.)
* Record the measured counts for each star
**Step 2: Create a graph with the measured values**
* Plot the counts against time (Julian Date) for the companion star and the comparison stars
* Use the graph to visualize the variability of the companion star's brightness
**Step 3: Estimate the orbital period**
* Use the graph to estimate the orbital period of the system (approximately 4.08 hours or 0.17 days)
* You can also try adapting different values of the period to find the best fit
**Step 4: Calculate the phase**
* Use the formula `Phase = (MJD - T0) / P` to calculate the phase for each data point
* Where MJD is the Julian Date, T0 is the Julian Date of the first image, and P is the orbital period
**Step 5: Determine the mass limit of the black hole candidate**
* Use the formula `(M1 sin(i))^3 = (G \* (P \* K2)^2) / (4 \* pi^2 \* (1 + M2/M1)^2)` to estimate the mass limit of the black hole
* Where M1 is the mass of the black hole, i is the inclination angle, G is the gravitational constant, P is the orbital period, K2 is the radial velocity of the companion star, and M2 is the mass of the companion star
**Step 6: Plug in the values**
* Use the known values:
	+ Orbital period (P) = 0.17 days
	+ Radial velocity of the companion star (K2) = ~700 km/s
	+ Mass of the companion star (M2) = ~6.1 Msolar
	+ Gravitational constant (G) = 6.67384 × 10^-11 m^3 kg^-1 s^-2
* Calculate the mass limit of the black hole candidate using the formula
The resulting calculation should yield an estimated mass limit for the black hole candidate XTE J1118.
Please let me know if you'd like to proceed with any specific step or if you have questions regarding the process!</t>
        </is>
      </c>
      <c r="G65" s="8" t="inlineStr">
        <is>
          <t>0</t>
        </is>
      </c>
      <c r="H65" s="8" t="inlineStr">
        <is>
          <t>1</t>
        </is>
      </c>
      <c r="I65" s="8" t="inlineStr">
        <is>
          <t>1</t>
        </is>
      </c>
      <c r="J65" s="8" t="inlineStr">
        <is>
          <t>0</t>
        </is>
      </c>
      <c r="K65" s="9" t="inlineStr">
        <is>
          <t>1</t>
        </is>
      </c>
      <c r="L65" s="9" t="inlineStr">
        <is>
          <t>1</t>
        </is>
      </c>
      <c r="M65" s="9" t="inlineStr">
        <is>
          <t>0</t>
        </is>
      </c>
      <c r="N65" s="9" t="inlineStr">
        <is>
          <t>0</t>
        </is>
      </c>
      <c r="O65" s="10" t="inlineStr">
        <is>
          <t>1</t>
        </is>
      </c>
      <c r="P65" s="10" t="inlineStr">
        <is>
          <t>1</t>
        </is>
      </c>
      <c r="Q65" s="10" t="inlineStr">
        <is>
          <t>1</t>
        </is>
      </c>
      <c r="R65" s="10" t="inlineStr">
        <is>
          <t>1</t>
        </is>
      </c>
      <c r="S65" s="10" t="inlineStr">
        <is>
          <t>0</t>
        </is>
      </c>
    </row>
    <row r="66" ht="409.5" customHeight="1">
      <c r="A66" s="6">
        <f>IFERROR(__xludf.DUMMYFUNCTION("""COMPUTED_VALUE"""),"BHIMS")</f>
        <v/>
      </c>
      <c r="B66" s="6">
        <f>IFERROR(__xludf.DUMMYFUNCTION("""COMPUTED_VALUE"""),"Space")</f>
        <v/>
      </c>
      <c r="C66" s="6">
        <f>IFERROR(__xludf.DUMMYFUNCTION("""COMPUTED_VALUE"""),"Advanced Research")</f>
        <v/>
      </c>
      <c r="D66" s="7">
        <f>IFERROR(__xludf.DUMMYFUNCTION("""COMPUTED_VALUE"""),"&lt;p&gt;Now that you are an expert in analysing stellar black hole candidates data go and make your own observation using the Faulkes Telescope. In order to do that you will need to have an account. Ask your teacher to help you with this. &lt;/p&gt;&lt;p&gt;&lt;br&gt;&lt;/p&gt;&lt;p&gt;But"&amp;" before you start observing there is still one more step. You need to prepare your observing session. Below you will find a step-by-step guide to perform this task and you have to get in touch with the coordinators of the project BHIMS (rosa.doran@nuclio."&amp;"pt) to request the coordinates of the objects to be observed. You will also find a more complete text addressing the topic of black holes. &lt;/p&gt;&lt;p&gt;&lt;br&gt;&lt;/p&gt;&lt;p&gt;&lt;br&gt;&lt;/p&gt;")</f>
        <v/>
      </c>
      <c r="E66" s="7">
        <f>IFERROR(__xludf.DUMMYFUNCTION("""COMPUTED_VALUE"""),"No artifact embedded")</f>
        <v/>
      </c>
      <c r="F66" s="7" t="inlineStr">
        <is>
          <t>To address this prompt effectively, let's break down the key components and provide a structured approach to each task mentioned in the prompt.
### Task 1: Measuring Brightness and Finding Mass Limit
1. **Accessing Images and Finder**: Use the provided link to access the images of XTE J1118 and the finder chart that identifies the companion star and the three comparison stars.
2. **Measuring Brightness**:
   - Open each image in a suitable software (e.g., Adobe Photoshop, IRAF, or any astronomical image processing tool).
   - Measure the brightness (in terms of pixel counts or magnitudes) of the companion star to the Black Hole Candidate XTE J1118 and the three comparison stars. Ensure you're using the same method for all measurements.
   - Record these values in a table or spreadsheet for easy reference.
3. **Creating a Graph**:
   - Using the measured brightness values, create a graph (e.g., light curve) that plots the brightness of the companion star over time against the brightness of one or more comparison stars.
   - This can help visualize any variability and ensure your measurements are consistent with expectations for a stellar black hole candidate.
4. **Calculating Mass Limit**:
   - Follow the example provided in the "Observing Stellar Black Hole Candidates" PDF to calculate the mass limit of the black hole candidate.
   - Use the formula \(f(M) = \frac{M_1 \sin^3 i}{(M_1 + M_2)^2} = \frac{P K_2^3 (1-e^2)^{3/2}}{2\pi G}\), where:
     - \(f(M)\) is the mass function,
     - \(M_1\) and \(M_2\) are masses of the black hole and companion star, respectively,
     - \(i\) is the inclination angle of the orbital plane,
     - \(P\) is the orbital period,
     - \(K_2\) is the radial velocity amplitude of the companion star,
     - \(e\) is the eccentricity of the orbit (usually assumed to be 0 for simplicity),
     - \(G\) is the gravitational constant.
   - Given values: \(P = 4.08\) hours, \(K_2 \approx 700\) km/s, and assuming \(M_2 \approx 6.1 M_{\odot}\), calculate the mass limit of the black hole candidate.
### Task 2: Preparing Observing Session with Faulkes Telescope
1. **Account Setup**: Request your teacher's assistance in setting up an account for accessing the Faulkes Telescope.
2. **Step-by-Step Guide**: Follow the provided guide to prepare your observing session, which typically includes:
   - Identifying a target (in this case, stellar black hole candidates),
   - Checking the observability of the target based on its position and the time of observation,
   - Selecting appropriate filters or instruments for the observation.
3. **Request Coordinates**: Contact the BHIMS project coordinators (rosa.doran@nuclio.pt) to request the coordinates of the objects you wish to observe.
### Task 3: General Preparation
- Read through any additional texts provided on black holes to deepen your understanding of these objects and their observation.
- Ensure you have a good grasp of the theoretical background necessary for interpreting your observations, including concepts like orbital periods, radial velocities, and mass functions.
By following these steps, you should be well-equipped to tackle each task outlined in the prompt. Remember to carefully document your process and results for future reference or presentation.</t>
        </is>
      </c>
      <c r="G66" s="8" t="inlineStr">
        <is>
          <t>0</t>
        </is>
      </c>
      <c r="H66" s="8" t="inlineStr">
        <is>
          <t>1</t>
        </is>
      </c>
      <c r="I66" s="8" t="inlineStr">
        <is>
          <t>1</t>
        </is>
      </c>
      <c r="J66" s="8" t="inlineStr">
        <is>
          <t>1</t>
        </is>
      </c>
      <c r="K66" s="9" t="inlineStr">
        <is>
          <t>1</t>
        </is>
      </c>
      <c r="L66" s="9" t="inlineStr">
        <is>
          <t>1</t>
        </is>
      </c>
      <c r="M66" s="9" t="inlineStr">
        <is>
          <t>1</t>
        </is>
      </c>
      <c r="N66" s="9" t="inlineStr">
        <is>
          <t>0</t>
        </is>
      </c>
      <c r="O66" s="10" t="inlineStr">
        <is>
          <t>0</t>
        </is>
      </c>
      <c r="P66" s="10" t="inlineStr">
        <is>
          <t>0</t>
        </is>
      </c>
      <c r="Q66" s="10" t="inlineStr">
        <is>
          <t>1</t>
        </is>
      </c>
      <c r="R66" s="10" t="inlineStr">
        <is>
          <t>0</t>
        </is>
      </c>
      <c r="S66" s="10" t="inlineStr">
        <is>
          <t>0</t>
        </is>
      </c>
    </row>
    <row r="67" ht="409.5" customHeight="1">
      <c r="A67" s="6">
        <f>IFERROR(__xludf.DUMMYFUNCTION("""COMPUTED_VALUE"""),"BHIMS")</f>
        <v/>
      </c>
      <c r="B67" s="6">
        <f>IFERROR(__xludf.DUMMYFUNCTION("""COMPUTED_VALUE"""),"Resource")</f>
        <v/>
      </c>
      <c r="C67" s="6">
        <f>IFERROR(__xludf.DUMMYFUNCTION("""COMPUTED_VALUE"""),"Stellarium_FT_userguide.pdf")</f>
        <v/>
      </c>
      <c r="D67" s="7">
        <f>IFERROR(__xludf.DUMMYFUNCTION("""COMPUTED_VALUE"""),"Observation Planning Observation Planning Using Stellarium to plan an observing session Author: Sarah Roberts Observation Planning Observation Planning - Using Stellarium to plan an observing session Stellarium Stellarium is free planetarium software whic"&amp;"h allows the night sky to be viewed from any location on Earth, on any date. The software can be downloaded from www.stellarium.org. A patch which sets up Stellarium so that its default location is at FTN, and an azimuthal grid is visible on the sky, is a"&amp;"lso available on the Faulkes Telescope website at: http://www.faulkes-telescope.com/index.php?page=186 With such a patch, the opening screen of Stellarium looks like the image here. The viewing direction is to the South (as noted by the S), the azimuthal "&amp;"grid is visible, and there are many deep sky objects which have been labelled. For users who have not downloaded the FT patch, the azimuthal grid and deep sky object names can be toggled on/off the sky by clicking on the grid and nebulae buttons shown her"&amp;"e. The boxes at the bottom of the Stellarium screen can be selected or de-selected, to, among other things, turn on the names of the deep sky objects, label the constellations and remove the horizon from the screen. It is worth playing with these buttons "&amp;"to familiarise yourself with the different features in Stellarium. Page 2 of 6 Observation Planning - Using Stellarium to plan an observing session Setting the location for your FT observing session An important button on the tool bar in Stellarium is the"&amp;" 'Configuration Window' button - this is the spanner icon . By clicking on this button, a window appears. This window give the options for changing your date and time, and location, aswell as the landscape, video and rendering options. If you are using th"&amp;"e down- loaded FT configuration patch, your location will automatically be set as the position of FTN. This can be changed to any other location (e.g FTS) by either clicking on the map, or by entering the longitude and latitude of the location underneath "&amp;"the map. Observation Planning Setting the date and time for your FT observing session From the configuration window menu, select 'Date &amp; Time'. The next window will give you options for changing the date and time, time zone and time speed in Stellarium. S"&amp;"et the date and time to correspond to that of your FT observing session, Click on the square in the top right hand corner of the configu- ration window to close it once you are happy with the set up of the viewing time and loca- tion. Page 3 of 6 Observat"&amp;"ion Planning Observation Planning - Using Stellarium to plan an observing session Looking around the sky in Stellarium By clicking on the question mark button, or typing 'h' in the Stellarium window, you can see which keyboard buttons correspond to comman"&amp;"ds in Stellarium. For example, to zoom in/out of the sky in Stellarium, you can either use the roller ball of your mouse (if you have one), or use the 'Page Up/Down' buttons on your keyboard. The sky can be scrolled around by left clicking on it, and drag"&amp;"ging it with the mouse. Alternatively, you can use the arrow keys on your keyboard. Setting up the best view to plan your FT observing session In order to use Stellarium to help you plan your FT observing session, the time, date and location should be set"&amp;" correctly through the configuration window. Next, zoom right out of the Stellarium window and scroll the sky until the zenith (the point directly overhead) is at the centre of the screen. The lowest altitude limit of the Faulkes Telescopes is 25 degrees."&amp;" Thus, all objects which you choose for your observing session should be above 25 degrees from the horizon. Ideally, to minimize the amount of atmosphere the telescope looks through when observing, this limit should be anything above 30 degrees. Thus, any"&amp;" object within the 30 degree circle in the Stellarium view can be observed with the Faulkes Telescopes. The best order of observing can be decided from the positions of ob- jects in the sky. Page 4 of 6 Observation Planning Observation Planning - Using St"&amp;"ellarium to plan an observing session Selecting objects in Stellarium In order to zoom in on images in Stellarium, click on the object with the left mouse button, and press the space bar to centre on it. On the left we have centered upon NGC 7662. Now we "&amp;"wish to magnify the image. This is done by using the Page Up/Down keys on your keyboard, or your roller ball on your mouse. The zoomed in view of this object can be seen below. At the top left hand corner, some information is given on the selected object."&amp;" Page 5 of 6 Observation Planning Observation Planning - Using Stellarium to plan an observing session When zooming in further on the object, a credit for the image is displayed, as shown below. This particular image of NGC 7662 was taken by the FT Team. "&amp;"You can add your own im- ages into the Stellarium database, so that your images appear on the sky, as this one has done. More information on how to do this can be found in the Stellarium user guide which can be downloaded from the Stellarium website. Page"&amp;" 6 of 6")</f>
        <v/>
      </c>
      <c r="E67" s="7">
        <f>IFERROR(__xludf.DUMMYFUNCTION("""COMPUTED_VALUE"""),"application/pdf – A portable document format (PDF) file, preserving text and layout for consistent viewing across devices.")</f>
        <v/>
      </c>
      <c r="F67" s="7" t="inlineStr">
        <is>
          <t>Students measure star brightness, create a graph, and find black hole mass limit. Embedded artifacts include links to images, spreadsheets, and a PDF on observation planning using Stellarium.</t>
        </is>
      </c>
      <c r="G67" s="8" t="inlineStr">
        <is>
          <t>0</t>
        </is>
      </c>
      <c r="H67" s="8" t="inlineStr">
        <is>
          <t>1</t>
        </is>
      </c>
      <c r="I67" s="8" t="inlineStr">
        <is>
          <t>0</t>
        </is>
      </c>
      <c r="J67" s="8" t="inlineStr">
        <is>
          <t>1</t>
        </is>
      </c>
      <c r="K67" s="9" t="inlineStr">
        <is>
          <t>1</t>
        </is>
      </c>
      <c r="L67" s="9" t="inlineStr">
        <is>
          <t>0</t>
        </is>
      </c>
      <c r="M67" s="9" t="inlineStr">
        <is>
          <t>0</t>
        </is>
      </c>
      <c r="N67" s="9" t="inlineStr">
        <is>
          <t>0</t>
        </is>
      </c>
      <c r="O67" s="10" t="inlineStr">
        <is>
          <t>0</t>
        </is>
      </c>
      <c r="P67" s="10" t="inlineStr">
        <is>
          <t>0</t>
        </is>
      </c>
      <c r="Q67" s="10" t="inlineStr">
        <is>
          <t>1</t>
        </is>
      </c>
      <c r="R67" s="10" t="inlineStr">
        <is>
          <t>0</t>
        </is>
      </c>
      <c r="S67" s="10" t="inlineStr">
        <is>
          <t>0</t>
        </is>
      </c>
    </row>
    <row r="68" ht="193" customHeight="1">
      <c r="A68" s="6">
        <f>IFERROR(__xludf.DUMMYFUNCTION("""COMPUTED_VALUE"""),"BHIMS")</f>
        <v/>
      </c>
      <c r="B68" s="6">
        <f>IFERROR(__xludf.DUMMYFUNCTION("""COMPUTED_VALUE"""),"Application")</f>
        <v/>
      </c>
      <c r="C68" s="6">
        <f>IFERROR(__xludf.DUMMYFUNCTION("""COMPUTED_VALUE"""),"Shared Wiki Widget")</f>
        <v/>
      </c>
      <c r="D68" s="7">
        <f>IFERROR(__xludf.DUMMYFUNCTION("""COMPUTED_VALUE"""),"No task description")</f>
        <v/>
      </c>
      <c r="E68"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8" s="7" t="inlineStr">
        <is>
          <t>Students are instructed to observe stellar black holes using Faulkes Telescope, prepare an observing session, and use Stellarium software with embedded PDF guide and Golabz app for collaboration.</t>
        </is>
      </c>
      <c r="G68" s="8" t="inlineStr">
        <is>
          <t>0</t>
        </is>
      </c>
      <c r="H68" s="8" t="inlineStr">
        <is>
          <t>1</t>
        </is>
      </c>
      <c r="I68" s="8" t="inlineStr">
        <is>
          <t>1</t>
        </is>
      </c>
      <c r="J68" s="8" t="inlineStr">
        <is>
          <t>1</t>
        </is>
      </c>
      <c r="K68" s="9" t="inlineStr">
        <is>
          <t>0</t>
        </is>
      </c>
      <c r="L68" s="9" t="inlineStr">
        <is>
          <t>0</t>
        </is>
      </c>
      <c r="M68" s="9" t="inlineStr">
        <is>
          <t>1</t>
        </is>
      </c>
      <c r="N68" s="9" t="inlineStr">
        <is>
          <t>1</t>
        </is>
      </c>
      <c r="O68" s="10" t="inlineStr">
        <is>
          <t>0</t>
        </is>
      </c>
      <c r="P68" s="10" t="inlineStr">
        <is>
          <t>0</t>
        </is>
      </c>
      <c r="Q68" s="10" t="inlineStr">
        <is>
          <t>0</t>
        </is>
      </c>
      <c r="R68" s="10" t="inlineStr">
        <is>
          <t>0</t>
        </is>
      </c>
      <c r="S68" s="10" t="inlineStr">
        <is>
          <t>1</t>
        </is>
      </c>
    </row>
    <row r="69" ht="409.5" customHeight="1">
      <c r="A69" s="6">
        <f>IFERROR(__xludf.DUMMYFUNCTION("""COMPUTED_VALUE"""),"BHIMS")</f>
        <v/>
      </c>
      <c r="B69" s="6">
        <f>IFERROR(__xludf.DUMMYFUNCTION("""COMPUTED_VALUE"""),"Application")</f>
        <v/>
      </c>
      <c r="C69" s="6">
        <f>IFERROR(__xludf.DUMMYFUNCTION("""COMPUTED_VALUE"""),"The Faulkes Telescope Project")</f>
        <v/>
      </c>
      <c r="D69" s="7">
        <f>IFERROR(__xludf.DUMMYFUNCTION("""COMPUTED_VALUE"""),"No task description")</f>
        <v/>
      </c>
      <c r="E69" s="7">
        <f>IFERROR(__xludf.DUMMYFUNCTION("""COMPUTED_VALUE"""),"Golabz app/lab: &lt;p&gt;The Faulkes Telescope Project provides access free-of-charge via the internet to robotic telescopes and a fully supported education programme to encourage teachers and students to engage in research-based science education.&lt;/p&gt;&lt;p&gt;&lt;stron"&amp;"g style=""font-family: inherit; font-size: 1rem;""&gt;Important note: &lt;/strong&gt;&lt;span style=""font-family: inherit; font-size: 1rem;""&gt;You need to have an account in order to use the Faulkes Telescopes.&lt;/span&gt;&lt;strong style=""font-family: inherit; font-size: 1"&amp;"rem;""&gt;&amp;nbsp;&lt;/strong&gt;&lt;/p&gt;'")</f>
        <v/>
      </c>
      <c r="F69" s="7" t="inlineStr">
        <is>
          <t>Students are instructed to plan an observing session using Stellarium software, setting location, date, and time, and selecting objects to observe. Embedded artifacts include a PDF file and Golabz app/lab tools.</t>
        </is>
      </c>
      <c r="G69" s="8" t="inlineStr">
        <is>
          <t>0</t>
        </is>
      </c>
      <c r="H69" s="8" t="inlineStr">
        <is>
          <t>1</t>
        </is>
      </c>
      <c r="I69" s="8" t="inlineStr">
        <is>
          <t>0</t>
        </is>
      </c>
      <c r="J69" s="8" t="inlineStr">
        <is>
          <t>1</t>
        </is>
      </c>
      <c r="K69" s="9" t="inlineStr">
        <is>
          <t>1</t>
        </is>
      </c>
      <c r="L69" s="9" t="inlineStr">
        <is>
          <t>0</t>
        </is>
      </c>
      <c r="M69" s="9" t="inlineStr">
        <is>
          <t>0</t>
        </is>
      </c>
      <c r="N69" s="9" t="inlineStr">
        <is>
          <t>0</t>
        </is>
      </c>
      <c r="O69" s="10" t="inlineStr">
        <is>
          <t>0</t>
        </is>
      </c>
      <c r="P69" s="10" t="inlineStr">
        <is>
          <t>0</t>
        </is>
      </c>
      <c r="Q69" s="10" t="inlineStr">
        <is>
          <t>1</t>
        </is>
      </c>
      <c r="R69" s="10" t="inlineStr">
        <is>
          <t>0</t>
        </is>
      </c>
      <c r="S69" s="10" t="inlineStr">
        <is>
          <t>0</t>
        </is>
      </c>
    </row>
    <row r="70" ht="409.5" customHeight="1">
      <c r="A70" s="6">
        <f>IFERROR(__xludf.DUMMYFUNCTION("""COMPUTED_VALUE"""),"BHIMS")</f>
        <v/>
      </c>
      <c r="B70" s="6">
        <f>IFERROR(__xludf.DUMMYFUNCTION("""COMPUTED_VALUE"""),"Resource")</f>
        <v/>
      </c>
      <c r="C70" s="6">
        <f>IFERROR(__xludf.DUMMYFUNCTION("""COMPUTED_VALUE"""),"BHIMS_IntroductiontoBH_V2.pdf")</f>
        <v/>
      </c>
      <c r="D70" s="7" t="inlineStr">
        <is>
          <t>Stellar mass black holes Black holes are regions of space time where gravity shows all its glory and triumph and are thus very important examples of applicability and importance of General Relativity. They are mysterious objects which existence is still not completely proved. To definite proof of their existence would be finding evidence of the existence of an event horizon, a point of no return. Until such proof arrives the correct attitude is to call them black hole candidates, no matter how promising the many observations of are. In spite of all this veil of mystery and uncertainty black holes are the simplest objects in the Universe. They can be completely characterized by only 3 parameters: charge, mass and angular momentum. This implies that black holes in the centre of galaxies and those living in stellar systems have only one fundamental difference: their mass. There are strong arguments implying that stellar mass black holes might be born from the supernovae which occur after the death of some high mas stars, stars with masses 8 times the mass of our Sun or bigger. These big stars have a very short existence (in the order of millions of years, which is very short when compared to the life of a star like our Sun. Our Sun exists for nearly 4.5 billion years (109 years) and is in halfway through its life time. The final stage of the life of a high mass star is in the form of a supernova explosion. The remains of the progenitor star are expected to be in general either a neutron star or a black hole, depending, in part, on the mass of the remaining object. So far we know nearly 2 dozen of very strong stellar mass black hole candidates in our own Galaxy. Their proximity turns them in real laboratories where we can study their characteristics and thus gain knowledge about their true nature and perhaps infer probable characteristics of those living in the centre of galaxies. An artistic view of a stellar mass black hole system is depicted in fig 1. Companion Star Accretion Disk Compact Object (Black Hole Candidate) Figure 1 Artist Impression of Stellar Black Hole Candidate A0620-00. A binary system composed of a low mass star and a compact object. The material of the companion star is attracted by the intense gravitational field of the compact object forming an accretion disc surrounding it. (Credit and Copyright: Robert Hynes) 1 How stellar mass black holes form? Let's begin by gaining some understanding of the life cycle of stars. Figure 2 Two different evolutionary cycles of stars depending on the initial mass (Credit: NASA) In figure 2 the life cycle of stars are presented depicting two major evolutionary paths, depending on the initial mass of the star. In the central part of this artist impression a nebula of gas and dust gives birth to stars with different masses. In the left part of the image it is represented the evolutive cycle of a low mass star (like our Sun), that will end up its life as a white dwarf. In the right part of the image it is represented the evolutive path of a high mass star that will end up as a neutron star or a black hole. The luminosity of stars during most of their lives is due to nuclear reaction where Hydrogen is being fused into Helium. These reactions are only possible due to the extreme temperatures existing in the interior of such objects. The radiative pressure that generates from such phenomena counterbalances the gravity field originated by the star's own mass, enabling the star to stay in a state of equilibrium. When the fuel diminishes (in this case Hydrogen), the radiation pressure diminishes and the star's core contracts due to the action of the gravitational field. There is an increase in temperature in the regions closer to the core, which makes it possible for the hydrogen combustion layer to move gradually towards the surface. The star, in search for a new equilibrium state, will expand. The radio of the star increases and the star transforms into a red giant or in a red supergiant depending on its initial mass. While the star expands the core contracts. There is a new increase in temperature and depending on the original mass of the star, the temperature and density may increase enough to originate new reactions and start transforming Helium core into a mixture of Carbon and Oxygen, or , in higher mass stars, oxygen, neon and magnesium. During this period the external layers of the star are dispersed in the interstellar medium (in high mass stars, the lost fraction represents a big part of the 2 total mass), while the core, where fuel (heavier elements) also starts to run out, continues to contract and heating to higher temperatures. The element transformation continues until the formation of Iron. Iron is a stable element and to transform it into heavier elements the star would need an external source of energy. From this moment on the star gets unstable and ends up in a supernova explosion where all the outer layers are released to the interstellar medium. Elements heavier then Iron are formed in this phase. Stars like our Sun (low mass stars) have a much longer life cycle, with a duration of the order of billions of years and end up their lives in the form of a white dwarf. They start by fusing their Hydrogen fuel into Helium. The gravitational field originated by the star mass is not enough to effectively ignite the fusion of Helium into heavier elements. Our Sun exists for at least 4.5 billion years and it is estimated that it is in half of its life cycle. Stars with a mass higher than 8 solar masses will follow a much shorter life cycle, of the order of millions of years. Due to their higher mass they need more fuel in order to maintain the equilibrium state, thus consuming more rapidly their source of energy. It is believed that their end state will be in the form of a neutron star or a black hole. White Dwarfs Figure 3 - NGC 2440 is a Planetary Nebula located 4000 light years away from Earth. The central star evolved to a white dwarf after ejecting its outer layers originating this beautiful planetary nebula (Credit: NASA &amp; Hubble Heritage Team) Low mass stars end up their life cycle in a much more pacific way when the core slowly lose contact with the outer layer. High energy photons originating from the stellar core slowly excite the material of these outer layers, already very diluted and dispersed, producing as a result the incredible beautiful planetary nebula as the one in figure 3. 3 The remaining part of the star has the form of a white dwarf. In these stars matter is so compressed that atomic core are glued to each other. A state where there are no atoms only nuclei and free electrons. The collapse of the star is now stopped by the electrons degeneracy pressure, a pressure that emerges from the impossibility of 2 electrons occupying the same position at the same time. If we try to put 2 electrons in the same orbit an effect similar to electromagnetic repulsion, when we try to approach particles with the same charge, will appear. In this case the effect is known as the Pauli exclusion principle: two electrons can't occupy the same quantum state . In the core of the stellar remains the pressure is so large that the necessary conditions for such a force to appear and the degeneracy of electrons is then responsible for stopping the gravitational collapse, thus stabilizing the star. White dwarfs are extremely hot and emit thermal radiation. The first white dwarf observed was Sirius B, companion of Sirius, one of the brightest stars in our skies. Sirius B has a radius smaller than that of the Earth but has almost the same mass as our Sun. White dwarfs are so dense that a tea spoon of their material would weight 50 ton, by Earth standards! The discovery that the electrons degeneracy pressure could halt the collapse of a star was made by an Indian physicist, Subrahmanyan Chandrasekhar, when he was 20 year old, while making the boat trip that took him from India to England where he was about to start his Phd. He calculated that only stellar remains that had a mass lower than 1.44 times the mass of the Sun could reach a state o equilibrium due to the electrons degeneracy pressure. This will be the destiny of our star, the Sun. When this limit is surpassed the continuation of the collapse is inevitable until the next stage, where it can be halted again in the formation of neutron stars. Neutron Stars Figure 4 - The Crab nebula (M1) in the direction of the constellation Taurus, taken by the Hubble Space Telescope (lower left). The details to the right are showing a composite of visible light (red) and X-rays (blue) with the pulsar as central star. At the shock front in 0.3 light-years distance from the pulsar, the ultrarelativistic wind of electrons and positrons collides with the surrounding nebula. (Credits: NASA) 4 If the progenitor star has an initial mass higher than 8 solar masses, the transformation cycle of Hydrogen into Helium and so on towards heavier elements will continue until the stage where the core of the star is composed essentially by Iron. In order to transform iron in heavier elements it is necessary to find an external source of energy. In the absence of the radiative pressure from the core of the star the collapse is inevitable and very quick. The star loses contact with the outer layers. With a mass higher than 1.44 solar masses, the electron degeneracy pressure is not enough to halt the gravitational force and the star's core collapses. The electrons can't resist the gravitational pull and start interacting with protons from the core producing neutrons. In this case, and provided the mass is not higher than 3 solar masses, a new equilibrium state can be reached, this time due to the degenerative pressure of the neutrons, the quantum effect that prevent neutrons to occupy the same state. The pressure created by this package of neutrons will counterbalance the gravitational force and the star will reach a new equilibrium state in the form of a neutron star. In Figure 4 we can see an image of the Crab Nebula, a supernova remnant, at a distance of 6 000 light years from Earth, first observed by the British amateur astronomer John Bevis. In the right hand side of the image we can see the interior of the nebula where a pulsar was observed (a neutron star that emits regular radio pulses). The pulsar is visible in the central part of the image. The rotational period of a pulsar is extremely small. In the case of the crab nebula's pulsar it is 33 times per second. Figure 5 High mass star's life cycle ends when the core is essentially constituted by Iron, a stable element that can't be transformed into heavier elements unless an external source of energy is provided to the star (Credit: NASA) As mentioned before, if the progenitor star has an initial mass around 8 solar masses, the transformation cycle continue until a state where the star's core is constituted essentially by Iron. At this stage the star resembles an onion where each layer is constituted by different elements, produced during the evolutionary cycle of the star. The outer layers that can't follow the collapse of the core undergoe a slower contracting process ending up with a collision with the degenerate core. This process ends up in the form of a supernova explosion type II, one of the most energetic phenomena in the Universe. In this phase the star releases into the interstellar medium all the elements that it has produced in its interior. The interaction of the radiation coming from the core with the star's layers, during the explosion, will generate the necessary energy for the emergency of elements heavier than Iron. This is the 5 mechanism with which the Universe is enriched with the elements for the periodic table that didn't exist in the primordial Universe, that was constituted basically by Hydrogen and Helium and a small quantity of Lithium. As Carl Sagan use to say, we are all children of the stars, all made of stardust. The remains of such an explosion, depending on the mass, can be a neutron star or a black hole. Neutron stars have usually a radius of around 10 km, usually with a mass of the order of 1.5 solar masses. The first detection of a neutron star was made by an Northern Ireland astronomer, Jocelyn Bell, a Phd student at the time of the discovery, in 1967. She discovered a radio signal that pulsed with such an amazing periodicity that at the beginning she thought could be a message from aliens. Soon it was confirmed to be a signal coming from a neutron star. These objects have intense magnetic fields (in fact they have the most intense magnetic field that we can measure in the Universe, billions of times stronger than the Earth's magnetic field). These magnetic fields originate the vibration of the electrons, responsible for the emission of radio waves. Neutron stars with such characteristics are known as pulsars. These are objects with fast rotation and their pulses can have a periodicity of milliseconds. The final effect is similar to the light emitted by lighthouses. Important to be noted however that not all neutron stars are pulsars. Black Holes If the remains of the progenitor star has a mass higher than 3 solar masses, which may happen in cases where the original star may have masses higher than 40 solar masses (the relation between the initial mass and the mass of the remaining object is not yet well established), then not even the degeneracy pressure of neutrons can stop the gravitational collapse and the star will contract due to its own gravitational field giving birth to a black hole. A black hole is by definition a region of the Universe where nothing can come out of, not even light. This sole property was responsible for the baptism of such obejcts as black holes by the theoretical physicist John Wheeler in 1967. In fact, the existence of objects where the scape velocity where higher than the speed of light (the minimum necessary speed for an object to escape the gravitational attraction of the body), was already predicted in 1783 by an English priest, John Michell, and in 1796 by Pierre Simon Laplace, both predictions based in the Newtonian Mechanics. The big change since then is that at the time this predictions where made it was not known that the speed of light was a limiting value. The escape velocity on Earth is 40.248 km/h, already reached by aerospace technology. However, if the density of our planet increased a lot, if we contracted the whole Earth to a radius of 10 mm then the scape velocity would increase and surpass the 300 000 km/s, a speed higher than the velocity of light, thus impossible to reach. In the framework of General Relativity the existence of black holes emerges as a marginal result to one of the most important solutions to Einstein equations, the solution discovered in 1915 by Karl Schwarzschild. This solution describes the vacuum region external to a static and spherical body. It is perfect to study the dynamics in the Solar System and provided important proofs of predictions made by Einstein's theory. This solution predicts that a body may contract to a value inferior to a 6 certain radius, the Schwarzschild radius (also known as event horizon), turning into a black hole. In km this value is equivalent to 3 times the mass of the star in solar mass units. G = Newton's gravitational constant = 6.67 x 10-11m3s-2kg-1 C= light speed = 3.00 x 108 m/s 1 Mʘ (1 Solar Mass) 1.99 x 1030 kg 13,34 x 10 11 M m3 2 m Schwarzchild Radius = 2 GM/c2 = 9 x 1016 kgm2 2 = 1,482 x 10 27 M kg = m 1,482 x 10 27 x 2 x 1030 M Mʘ M Schwarzschild Radius = 2 GM/c2 3 Mʘ Approximately 3 times the mass of the star in solar mass units and the result given in km. A typical black hole candidate has a mass of approximately 10 solar masses and an event horizon of approximately 30 km. Most neutron stars and black hole candidates discovered so far are part of a binary system composed by a star of a known spectral type and a compact object. The intense gravitational field of these objects will attract the material of the companion star forming an accretion disk around the compact object. The inner part of the disc is subject to a gravitational field more intense and emit higher energy radiation, in the X-ray part of the spectrum. This is the most effective method of discovering such objects, but is not the only one. How do we detect stellar mass black holes ? (these part of the text is only to get you familiarized with all characteristics related to this field of research) Figure 6 UHURU satellite (freedom in Swahili). Was the first satellite completely devoted to the study of cosmic X-ray sources. It discovered over 400 sources, among them several X-ray emitting binary systems. 7 From the 60's on astronomers started to have available the necessary technology to observe the sky in the X-ray waveband. Until then there was no knowledge of the existence of an X-ray emitting source in the Universe beyond our Sun. X-rays can't pass through our atmosphere, therefore only spacecraft above it can study the Universe in this wavelengths. The first such device was launched in 1962 by a team of North American scientists. The Italian Ricardo Giacconi, who won the physics Nobel Prize in 2002 for his contribution for X-ray astronomy, was among them. The first discovered source was Sco X-1, receiving this name for being the first X-ray source in the constellation of Scorpius. At that time this source was a mystery to the astronomers: it emitted thousands of time more energy in X-ray than in visible light, and in this waveband the source was billions of times brighter than the Sun! These mysterious sources of radiation started to be unveiled with the launch of the UHURU satellite (Figure 6). This event marked the beginning of a new era of important discoveries unveiling a completely different Universe that could not be seen in the optical. Nowadays there are several active satellites observing the sky in X-ray: Chandra (NASA), XMM- Newton (ESA), RXTE (NASA), ALEXIS (LANL). Compact Object High Mass Star Accretion Disk Figure 7 Scheme of the mechanism of accretion by stellar winds. Credit: NUCLIO (C.Zurita) 8 Hundreds of X-ray sources where detected so far, concentrated in the plane of our Galaxy. Many of these sources are binary systems composed by a star of a known spectral type and a compact object. The gravitational field of this object attracts the material of the companion star. In the regions closer to the compact object high energetic phenomena take place and we can observe the emission of X- rays. In the cases where the non-visible component is a neutron star or a black hole they are called X-ray binaries. If the compact object is a white dwarf, in spite the fact that they are also sources of X- ray, they are called cataclysmic variables. This last case is easy to spot since their X-ray emission is not as intense as in the case of the more compact objects. In an interesting paradox, these extremely compact objects are almost impossible to detect when isolated. They are discovered for being responsible for extremely energetic phenomenon that for a short period of time transform them into strong X-ray emitters. Neutron stars and black holes are responsible for the most energetic phenomena in the Universe, they can be discovered via their interaction with the surrounding medium or objects such as those in binary sytems. The first system detected, in which the compact object is a strong stellar mass black hole candidate, was Cygnus X-1, in 1972 by the UHURU satellite. It is estimated that the compact object has a mass of the order of 5 times the mass of the Sun concentrated in a few kilometres. Its luminosity is due to accretion of matter coming from the companion star, a blue supergiant. Supergiant stars are continuously losing mass due to stellar winds. Part of this gas can be attracted by the compact object releasing X-rays (figure 7). The gas may then form a small accretion disk. In the inner regions of this disc energy might reach high levels, so high that we can observe X-rays. Figure 8 Scheme of a binary system formed by a Be star and a neutron star. The X-ray emission occurs when the neutron star, in a particular point of its orbit, enters the circumstellar disk and attracts part of the gas. The X-ray flux increases abruptly at each passage of the neutron star throughtout the disc. Credit: NUCLIO (C.Zurita) 9 The high mass companion star can also be of the Be type. The B stars are high mass stars much hotter and much bigger than our Sun. The Be are a subtype of this category and is characterized by having a circumstellar disc formed, probably, by the mass of the star lost from the equatorial zones due to its fast rotation. The binary systems formed by a Be star and a neutron star will also produce X-rays if the neutron star, at a certain point of its orbit around the star, penetrates the disc and accrete part of the gas and are therefore known as Be/X-ray binaries. There are other 2 types of systems in which the companion star has a lower mass than the Sun e therefore are called low mass X-ray binaries. In these systems the accretion is produced by the material overflowing the Roche lobe, the volume around the star within which the material is gravitationally attached to it. In a binary system, there is a common point between the Roche lobe of the two components, the so called Lagrange point. This is the equilibrium point between the gravitical forces of the two components of the system, in other words, a point where any object would be equally attracted by the star and the compact object. Figure 9 Scheme of a low mass X-ray binary with Roche lobes represented. The star fill its Roche lobe and acquires the shape of a pear. All material inside the yellow lobe is attached to the star e in the blue lobe to the compact object. The gas in the Lagrange point will flow through this point in the direction of the higher gravitational field. The flux carries with it the angular momentum of the star (rotating at the same speed as the star), thus it won't fall directly to the compact object forming around the star an accretion disc. The point of impact of the gas flow with the disc is called hot spot for being hotter and brighter than the disc itself. In the internal regions of the disc the potential energy of the gas is so high that will originate X-rays. The Lagrange point is of particular importance since it is the simplest route for the gas to flow from one star to the other. In certain phases of the evolution of the star it can fill its Roche Lobe. This happens in low mass binaries where the star will deform until acquiring the form of a pear. The gas 10 existing in the external regions, near the Lagrange point will then be attracted by the compact object. Since the system is rotation, the material being transferred will fall in spiral shape in the direction of the compact component forming an accretion disc around it. The accretion process produces X-ray and via reprocessing in the disc, visible radiation. Eventually the accretion mechanism via overflow of the Roche lob can also appear in high mass systems alongside with accretion from solar winds. The fact that we observe X-rays is not an evidence of the existence of black holes. It is an evidence of the existence of a compact object, which can be a white dwarf, a neutron star or a black hole. The case of white dwarfs is easily solved since, among the binaries with a compact object; these are the weakest X-ray emitters. However, if the compact object is a neutron star or a black hole, than the distinction is more complicated since the gravitational potential of a black hole and a neutron star is very similar and their observational properties very similar. If the binary system contains a neutron star, as seen before, may emit regular pulses. Since the magnetic field of the neutron star is very intense the gas may be accreted by the magnetic poles producing the same effect as a light house emitting radio pulses. These systems are so called X-ray pulsars. Sometimes the magnetic field are not so strong, as in the case of the low mass X-ray binaries, and the pulses are not so regular but more erratic and unstable. In these cases we say that they present quasi-periodic oscillations (QPOs). In addition they can also produce thermonuclear flashes in the surface of the neutron star. The flashes are produced when the gas (mainly hydrogen) accreted accumulates in the surface until the conditions are appropriate to start nuclear reactions that first consumes the Hydrogen and then the resulting Helium. Since Helium's fusion is explosive flashes can be observed with more or less regularity. In summary, if we observe pulses or flashes in a X-ray binary, we can be sure it contains a neutron star. But not all neutron stars emit pulses or flashes. In such cases, one way to distinguish between a neutron star and a black hole is by determining the mass of the non-visible component. If the mass of the object is above 3 solar masses than we have a strong black hole candidate. 11 Figure 10 Artistic impression of Centaurs X-3 a high mass X-ray binary located at 30 000 light years from Earth. The compact object is a neutron star with a mass around 0.8 solar masses in orbit around a blue super giant. This was the first system where periodic X-ray pulses where detected. (Credit: Dany Page) How can we determine the mass of a stellar mass black hole ? Most stars live in binary systems. If one of the components of the systems have enough mass, it will end up its days in the form of a supernova. The remain will be transformed into a compact object, a neutron star or a black hole. If the binary system survives the supernova explosion, it can then create a low mas X-ray binariy (or LMXB). We only know about 150 such objects in our Galaxy, a low number when compared to the 100 billion stars in our Galaxy. From these 150 less than 2 dozen have an estimate for the minimum mass of the compact object. It is precisely from the orbit of stars around non visible objects that we can determine the mass of the compact component in a X-ray binary. 12 Low mass star filling its Roche Lobe Compact Object Matter flowing from the companion start to the compact object Accretion Disk Figure 11 Artist impression of the low mass X-ray binary A0620-00. Discovered in 1975 it rapidly became a promising stellar mass black hole candidate, a prototype to the study of other candidates. However, the definitive determination of its mass was not yet possible and the limits to its value are too close to the limiting value for a neutron star, around 3 solar masses. (Credit: Robert Hynes) Low mass X-ray binaries are almost always detected by being strong X-ray emitters. In some of these systems the strong emission phase is a transient phase, i.e., has a very short duration. In these systems the flow of matter in the direction of the compact object has a spasmodic behaviour. Most of the time, matter coming from the star will accumulate in the outer parts of the disc until an instability is generated and the gas us suddenly accreted. An intense eruption is produced and the brightness of the system may have a variation of 5 to 6 magnitudes. After a period that might last a few months the system returns to its normal rhythm, a phase coined as quiescent phase. In this phase all the important studies to determine this system's parameters take place. Contrary to what happens in persistant X-ray binaries, in which the emission coming from the disc continues, in the transient X-ray binaries the intense emission stops and allows other characteristics of the system to be observed. Once the accretion disc stops being so bright, the companion star becomes visible again. The X-ray transients go completely unnoticed in the middle of hundreds of millions of stars until the moment of the eruptions. The interval between eruptions in these cases is very long taking sometimes decades to take place again. For this reason the discovery of such objects is not so frequent. 13 The mass function Figure 12 Scheme of a binary system. The compact object (mass M1) and the companion star (mass M2) are orbiting the centre of mass (CM) of the system with radical velocity K1 and K2 respectively. Since the compact object is not visible we have to extract all the necessary information by observing the companion star and its orbit. Credit: NUCLIO (C.Zurita) When a transient system is discovered, it is necessary to wait several months for the star to be responsible for the major emission coming from the binary system and not the disc. By then the observation of the companion star are crucial in order to determine the orbital parameter of the system and be able to apply Kepler's third law. This law states that the square of the orbital period is proportional to the cube of the average distance between the components of the system. We have to remember that Kepler's third law emerges naturally from the application of the Newton's Universal Law of Gravitation to the movement of planets and can therefore be generalized to any two bodies orbiting each other. With the application of Kepler's law to the star we are closer to our objective, determining the mas of the invisible compact object around which the other star is orbiting, i.e., determine the mass of the possible black hole. After some mathematical manipulation in the formula of Kepler's third law we end up in a relation between the orbital parameters of the binary system: where M1 and M2 are the masses of the compact object and the companion star respectively, P the orbital period, i.e., the time it takes for the star to complete an orbit, G is the universal gravitational constant, i is the inclination of the orbital plane of the system with with the line of sight of the observer and K2 the radial velocity of the visible star. If we are interested in an lower limit for the mass of the compact object, not exactly its mass, then things are much simpler. The mass of the star M2 can't be smaller than zero, neither the inclination angle can be higher than 90 degrees whi ch implies that the mass of the compact object has to be necessarily bigger than the quantity that is left when we make i= 90º and M2 =0, i.e.: 14 This quantity, called the mass function f(M)is extremely important since it allows us to obtain in simple mode the indirect evidence for the existence of black holes. If f(M) is higher than 3 solar masses, the mass of the compact object will certainly be higher than this limiting value and, as we already discussed, a neutron star must have a limiting mass smaller than this value. So we can conclude that the compact object must be a black hole. It seems very paradoxal that one of the best evidences for the existence of one of the most exotic objects ever imagined by physicists, and the best example of the applicability of general relativity, comes from the application of simple Newtonian mechanics. The radial velocity of the star Fingerprint of the star's chemical components Star with no motion Star moving away Star moving towards the observer Figure 13 The analysis of the spectral lines of a star allows us to determine its composition. When the star is moving the spectral lines appear to be shifted from the position they would have in a stationary reference frame. If the object is moving away from the observer the lines will appear to be shifted towards red. If the object is approaching the observer the lines will appear to be shifted towards the blue part of the electromagnetic spectrum. (Credit: NASA) In order to calculate the mass function, besides the orbital period that can be easily determined by observing the visible star, we also need to know its radial velocity, the velocity in the direction of the observer. This can be determined by the Doppler effect: if an emitting source is moving, the wavelength of the signal , measuring by an observer at rest, changes according to the velocity of the source. This effect explains why the whistle of a train (sound waves) acquire a lower pitch (a smaller 15 wavelength) when it moves away. Although it is not possible to listen to the stars, the Doppler effect can be also applied. The light of the stars are produced by nuclear reactions in their core having to cross the whole star before being released to space. A typical star like our Sun is fundamentally composed by Hydrogen and small quantities of other elements such as Helium, Carbon, Nitrogen, Oxygen, etc. When the light goes through them, these elements absorb certain wavelengths depending on the element. As a result, the observed spectrum is full of lines. In the case of a binar</t>
        </is>
      </c>
      <c r="E70" s="7">
        <f>IFERROR(__xludf.DUMMYFUNCTION("""COMPUTED_VALUE"""),"application/pdf – A portable document format (PDF) file, preserving text and layout for consistent viewing across devices.")</f>
        <v/>
      </c>
      <c r="F70" s="7" t="inlineStr">
        <is>
          <t>The text you've provided appears to be a detailed explanation of how astronomers can determine the mass of a compact object in a binary system, such as a black hole, using Kepler's third law and the Doppler effect. Here's a breakdown of the key points:
1. **Kepler's Third Law**: This law states that the square of the orbital period (P) of a star is proportional to the cube of its semi-major axis (a). In a binary system, this can be applied to determine the mass of the invisible companion (e.g., a black hole) if the mass of the visible star and the orbital parameters are known.
2. **Mass Function**: The mass function, f(M), is a quantity derived from Kepler's third law that allows astronomers to place a lower limit on the mass of the compact object without needing to know the inclination angle (i) of the binary system or the mass of the visible star. The formula for the mass function is given by:
   \[f(M) = \frac{M_1^3 \sin^3(i)}{(M_1 + M_2)^2}\]
   where \(M_1\) is the mass of the compact object, \(M_2\) is the mass of the visible star, and \(i\) is the inclination angle.
3. **Doppler Effect**: The Doppler effect is used to measure the radial velocity (velocity along the line of sight) of the visible star in a binary system. By analyzing the shift in spectral lines due to the Doppler effect, astronomers can determine how fast the star is moving towards or away from us.
4. **Determining Radial Velocity**: The radial velocity (\(K_2\)) of the visible star can be found by observing the shift in its spectral lines over time as it moves around the compact object. This information, combined with the orbital period (P), is crucial for calculating the mass function.
5. **Lower Limit on Mass**: If the calculated mass function \(f(M)\) exceeds 3 solar masses (a rough upper limit for the mass of a neutron star), it provides indirect evidence that the compact object is likely a black hole, given that neutron stars cannot exceed this mass limit due to the constraints of nuclear matter and general relativity.
6. **Importance of Inclination Angle**: The inclination angle (\(i\)) of the binary system's orbital plane relative to our line of sight affects the observed radial velocities and thus the calculated mass function. However, by assuming \(i = 90^\circ\) (edge-on) and \(M_2 = 0\), one can derive a minimum mass for the compact object.
The process outlined above demonstrates how astronomers use a combination of observational astronomy, spectroscopy, and theoretical astrophysics to infer the presence of black holes in binary systems. This method is crucial because black holes themselves do not emit light and are therefore invisible; their presence must be inferred from their gravitational effects on companion stars or other surrounding matter.</t>
        </is>
      </c>
      <c r="G70" s="8" t="inlineStr">
        <is>
          <t>Error</t>
        </is>
      </c>
      <c r="H70" s="8" t="inlineStr">
        <is>
          <t>Error</t>
        </is>
      </c>
      <c r="I70" s="8" t="inlineStr">
        <is>
          <t>Error</t>
        </is>
      </c>
      <c r="J70" s="8" t="inlineStr">
        <is>
          <t>Error</t>
        </is>
      </c>
      <c r="K70" s="9" t="inlineStr">
        <is>
          <t>Error</t>
        </is>
      </c>
      <c r="L70" s="9" t="inlineStr">
        <is>
          <t>Error</t>
        </is>
      </c>
      <c r="M70" s="9" t="inlineStr">
        <is>
          <t>Error</t>
        </is>
      </c>
      <c r="N70" s="9" t="inlineStr">
        <is>
          <t>Error</t>
        </is>
      </c>
      <c r="O70" s="10" t="inlineStr">
        <is>
          <t>Error</t>
        </is>
      </c>
      <c r="P70" s="10" t="inlineStr">
        <is>
          <t>Error</t>
        </is>
      </c>
      <c r="Q70" s="10" t="inlineStr">
        <is>
          <t>Error</t>
        </is>
      </c>
      <c r="R70" s="10" t="inlineStr">
        <is>
          <t>Error</t>
        </is>
      </c>
      <c r="S70" s="10" t="inlineStr">
        <is>
          <t>Error</t>
        </is>
      </c>
    </row>
    <row r="71" ht="193" customHeight="1">
      <c r="A71" s="6">
        <f>IFERROR(__xludf.DUMMYFUNCTION("""COMPUTED_VALUE"""),"BHIMS")</f>
        <v/>
      </c>
      <c r="B71" s="6">
        <f>IFERROR(__xludf.DUMMYFUNCTION("""COMPUTED_VALUE"""),"Space")</f>
        <v/>
      </c>
      <c r="C71" s="6">
        <f>IFERROR(__xludf.DUMMYFUNCTION("""COMPUTED_VALUE"""),"Conclusion")</f>
        <v/>
      </c>
      <c r="D71" s="7">
        <f>IFERROR(__xludf.DUMMYFUNCTION("""COMPUTED_VALUE"""),"&lt;p&gt;For the conclusion phase you have to prepare a full report about your research. You will present your results in the format of a paper. For this use the template provided by your teacher and deliver it using the file drop below.  &lt;/p&gt;")</f>
        <v/>
      </c>
      <c r="E71" s="7">
        <f>IFERROR(__xludf.DUMMYFUNCTION("""COMPUTED_VALUE"""),"No artifact embedded")</f>
        <v/>
      </c>
      <c r="F71" s="7" t="inlineStr">
        <is>
          <t>The text you've provided appears to be a portion of a scientific article or chapter focused on the detection and study of black holes, specifically through the observation of binary star systems where one of the components is believed to be a black hole. The method described involves using Kepler's third law to determine the mass of the unseen companion (the potential black hole) by observing the orbital period and radial velocity of the visible star. Here's a summary and analysis based on the information given:
### Summary
1. **Introduction to Black Holes**: The text starts with an introduction to black holes, emphasizing their exotic nature and the role of general relativity in understanding them. However, it paradoxically notes that evidence for black holes can come from simple Newtonian mechanics.
2. **Kepler's Third Law Application**: Kepler's third law is applied to binary systems to estimate the mass of the unseen companion (potentially a black hole). This law states that the square of the orbital period of a body is directly proportional to the cube of the semi-major axis of its orbit.
3. **Mass Function Calculation**: The calculation of the mass function, \(f(M)\), is crucial. This involves the masses of both the compact object (\(M_1\)) and the companion star (\(M_2\)), the orbital period (\(P\)), the gravitational constant (\(G\)), the inclination of the orbit (\(i\)), and the radial velocity of the visible star (\(K_2\)). The formula derived from Kepler's law allows for an estimation of a lower limit to the mass of \(M_1\) by setting \(i = 90^\circ\) and \(M_2 = 0\), simplifying to \(f(M) = \frac{P K_2^3 (1 - e^2)^{3/2}}{2\pi G}\), though the exact formula provided in the text seems to have been truncated or not fully transcribed.
4. **Doppler Effect and Radial Velocity**: The radial velocity (\(K_2\)) of the star is determined using the Doppler effect, where the shift in spectral lines indicates motion towards or away from the observer. This effect is crucial for calculating \(f(M)\).
5. **Conclusion on Black Hole Detection**: If \(f(M)\) exceeds 3 solar masses (a limit beyond which a neutron star cannot exist), it indirectly suggests the presence of a black hole. This method provides one of the simplest yet powerful ways to infer the existence of black holes in binary systems.
### Analysis
- The approach outlined is fundamental in astrophysics for identifying and studying stellar-mass black holes in binary systems.
- The use of Kepler's third law and the Doppler effect highlights how well-understood principles in physics can be applied to detect some of the universe's most mysterious objects.
- The method relies on accurate measurements of orbital periods and radial velocities, which can be challenging but are feasible with current astronomical technology.
- The calculation of \(f(M)\) and its interpretation is critical. If \(f(M) &gt; 3M_\odot\), it strongly suggests a black hole, given that neutron stars cannot exceed this mass limit due to the nuclear equation of state.
In conclusion, the detection of black holes through binary systems using Kepler's third law and the Doppler effect represents a significant area of research in astrophysics. It leverages basic physical principles to understand some of the most extreme objects in the universe, offering insights into gravity, stellar evolution, and the cosmos itself.</t>
        </is>
      </c>
      <c r="G71" s="8" t="inlineStr">
        <is>
          <t>0</t>
        </is>
      </c>
      <c r="H71" s="8" t="inlineStr">
        <is>
          <t>0</t>
        </is>
      </c>
      <c r="I71" s="8" t="inlineStr">
        <is>
          <t>1</t>
        </is>
      </c>
      <c r="J71" s="8" t="inlineStr">
        <is>
          <t>0</t>
        </is>
      </c>
      <c r="K71" s="9" t="inlineStr">
        <is>
          <t>0</t>
        </is>
      </c>
      <c r="L71" s="9" t="inlineStr">
        <is>
          <t>1</t>
        </is>
      </c>
      <c r="M71" s="9" t="inlineStr">
        <is>
          <t>0</t>
        </is>
      </c>
      <c r="N71" s="9" t="inlineStr">
        <is>
          <t>0</t>
        </is>
      </c>
      <c r="O71" s="10" t="inlineStr">
        <is>
          <t>0</t>
        </is>
      </c>
      <c r="P71" s="10" t="inlineStr">
        <is>
          <t>0</t>
        </is>
      </c>
      <c r="Q71" s="10" t="inlineStr">
        <is>
          <t>0</t>
        </is>
      </c>
      <c r="R71" s="10" t="inlineStr">
        <is>
          <t>1</t>
        </is>
      </c>
      <c r="S71" s="10" t="inlineStr">
        <is>
          <t>0</t>
        </is>
      </c>
    </row>
    <row r="72" ht="384" customHeight="1">
      <c r="A72" s="6">
        <f>IFERROR(__xludf.DUMMYFUNCTION("""COMPUTED_VALUE"""),"BHIMS")</f>
        <v/>
      </c>
      <c r="B72" s="6">
        <f>IFERROR(__xludf.DUMMYFUNCTION("""COMPUTED_VALUE"""),"Resource")</f>
        <v/>
      </c>
      <c r="C72" s="6">
        <f>IFERROR(__xludf.DUMMYFUNCTION("""COMPUTED_VALUE"""),"post quest.graasp")</f>
        <v/>
      </c>
      <c r="D72" s="7">
        <f>IFERROR(__xludf.DUMMYFUNCTION("""COMPUTED_VALUE"""),"&lt;p&gt;The final task will be to answer this questionnaire&lt;/p&gt;&lt;p&gt;&lt;br&gt;&lt;/p&gt;&lt;p&gt;&lt;a target=""_blank"" href=""https://docs.google.com/forms/d/1M38fYt98dpff3mmLvdxBa17Hd-HaEvJ_RWNLWZINlKM/viewform""&gt;Post-evaluation questionnaire for teachers&lt;/a&gt;&lt;/p&gt;&lt;p&gt;&lt;br&gt;&lt;/p&gt;&lt;p&gt;&lt;a "&amp;"target=""_blank"" href=""https://docs.google.com/forms/d/1kphyHoslmBlS_oymMzdQp8cuwB8mH6YN0PwSxoLkLww/viewform""&gt;Post-evaluation questionnaire for students&lt;/a&gt;&lt;br&gt;&lt;/p&gt;&lt;p&gt;&lt;br&gt;&lt;/p&gt;&lt;p&gt;&lt;br&gt;&lt;/p&gt;")</f>
        <v/>
      </c>
      <c r="E72" s="7">
        <f>IFERROR(__xludf.DUMMYFUNCTION("""COMPUTED_VALUE"""),"No artifact embedded")</f>
        <v/>
      </c>
      <c r="F72" s="7" t="inlineStr">
        <is>
          <t>It appears that the provided text is a portion of a scientific article or chapter about black holes, specifically discussing how to determine the mass of a black hole using Kepler's third law and the Doppler effect. Here's a summary of the main points:
1. **Introduction to Black Holes**: The existence of black holes is one of the most exotic predictions of physics, and their study is an example of the applicability of general relativity.
2. **Kepler's Third Law**: This law states that the square of the orbital period of a body is proportional to the cube of its semi-major axis (or average distance from the central body). It can be applied to any two-body system, including binary star systems where one of the components might be a black hole.
3. **Determining the Mass of a Black Hole**: To determine if a compact object in a binary system is a black hole, astronomers need to find its mass. If the mass exceeds approximately three solar masses (the upper limit for neutron stars), it's likely a black hole.
4. **Mass Function**: The mass function, f(M), is derived from Kepler's third law and provides a lower limit on the mass of the compact object. It depends on the orbital period (P), the radial velocity amplitude of the visible star (K2), the inclination of the orbit (i), and the mass of the visible star (M2).
5. **Calculating the Mass Function**: The formula for the mass function is given, and it's noted that if this value exceeds three solar masses, the compact object is likely a black hole.
6. **Radial Velocity and Doppler Effect**: The radial velocity of the star can be determined using the Doppler effect, which shifts the spectral lines of the star depending on its motion relative to the observer. This shift allows for the calculation of K2, necessary for determining the mass function.
For a full report based on this research, one would need to expand on these points, including:
- **Introduction**: A broader introduction to black holes, their significance in astrophysics, and why determining their masses is important.
- **Methodology**: A detailed explanation of how Kepler's third law and the Doppler effect are used to calculate the mass function, including any mathematical derivations or formulas.
- **Results**: Presentation of specific cases where this method has been applied to determine if a compact object is indeed a black hole, including data on orbital periods, radial velocities, and calculated mass functions.
- **Discussion**: Interpretation of the results in the context of current understanding of black holes and stellar evolution. This could include limitations of the method, potential sources of error, and future directions for research.
- **Conclusion**: Summary of the key findings and implications for astrophysics and our understanding of black holes.
Given the template provided (though not included here), one would organize their report according to its structure, ensuring to address all necessary components such as introduction, literature review, methodology, results, discussion, and conclusion. The questionnaire mentioned seems to be part of an evaluation process rather than directly related to the content of the research on black holes.</t>
        </is>
      </c>
      <c r="G72" s="8" t="inlineStr">
        <is>
          <t>0</t>
        </is>
      </c>
      <c r="H72" s="8" t="inlineStr">
        <is>
          <t>0</t>
        </is>
      </c>
      <c r="I72" s="8" t="inlineStr">
        <is>
          <t>0</t>
        </is>
      </c>
      <c r="J72" s="8" t="inlineStr">
        <is>
          <t>0</t>
        </is>
      </c>
      <c r="K72" s="9" t="inlineStr">
        <is>
          <t>1</t>
        </is>
      </c>
      <c r="L72" s="9" t="inlineStr">
        <is>
          <t>1</t>
        </is>
      </c>
      <c r="M72" s="9" t="inlineStr">
        <is>
          <t>0</t>
        </is>
      </c>
      <c r="N72" s="9" t="inlineStr">
        <is>
          <t>0</t>
        </is>
      </c>
      <c r="O72" s="10" t="inlineStr">
        <is>
          <t>0</t>
        </is>
      </c>
      <c r="P72" s="10" t="inlineStr">
        <is>
          <t>0</t>
        </is>
      </c>
      <c r="Q72" s="10" t="inlineStr">
        <is>
          <t>0</t>
        </is>
      </c>
      <c r="R72" s="10" t="inlineStr">
        <is>
          <t>0</t>
        </is>
      </c>
      <c r="S72" s="10" t="inlineStr">
        <is>
          <t>0</t>
        </is>
      </c>
    </row>
    <row r="73" ht="157" customHeight="1">
      <c r="A73" s="6">
        <f>IFERROR(__xludf.DUMMYFUNCTION("""COMPUTED_VALUE"""),"BHIMS")</f>
        <v/>
      </c>
      <c r="B73" s="6">
        <f>IFERROR(__xludf.DUMMYFUNCTION("""COMPUTED_VALUE"""),"Application")</f>
        <v/>
      </c>
      <c r="C73" s="6">
        <f>IFERROR(__xludf.DUMMYFUNCTION("""COMPUTED_VALUE"""),"File Drop")</f>
        <v/>
      </c>
      <c r="D73" s="7">
        <f>IFERROR(__xludf.DUMMYFUNCTION("""COMPUTED_VALUE"""),"No task description")</f>
        <v/>
      </c>
      <c r="E73" s="7">
        <f>IFERROR(__xludf.DUMMYFUNCTION("""COMPUTED_VALUE"""),"Golabz app/lab: ""&lt;p&gt;This app allows students to upload files, e.g., assignment and reports, to the Inquiry learning Space. The app also allows teachers to download the uploaded files.&lt;/p&gt;\r\n""")</f>
        <v/>
      </c>
      <c r="F73" s="7" t="inlineStr">
        <is>
          <t>Students must prepare a report and submit it using a template via file drop. No artifacts are embedded in Items 1 and 2, but Item 3 has the Golabz app/lab for file uploads.</t>
        </is>
      </c>
      <c r="G73" s="8" t="inlineStr">
        <is>
          <t>0</t>
        </is>
      </c>
      <c r="H73" s="8" t="inlineStr">
        <is>
          <t>0</t>
        </is>
      </c>
      <c r="I73" s="8" t="inlineStr">
        <is>
          <t>0</t>
        </is>
      </c>
      <c r="J73" s="8" t="inlineStr">
        <is>
          <t>0</t>
        </is>
      </c>
      <c r="K73" s="9" t="inlineStr">
        <is>
          <t>0</t>
        </is>
      </c>
      <c r="L73" s="9" t="inlineStr">
        <is>
          <t>1</t>
        </is>
      </c>
      <c r="M73" s="9" t="inlineStr">
        <is>
          <t>0</t>
        </is>
      </c>
      <c r="N73" s="9" t="inlineStr">
        <is>
          <t>0</t>
        </is>
      </c>
      <c r="O73" s="10" t="inlineStr">
        <is>
          <t>0</t>
        </is>
      </c>
      <c r="P73" s="10" t="inlineStr">
        <is>
          <t>0</t>
        </is>
      </c>
      <c r="Q73" s="10" t="inlineStr">
        <is>
          <t>0</t>
        </is>
      </c>
      <c r="R73" s="10" t="inlineStr">
        <is>
          <t>0</t>
        </is>
      </c>
      <c r="S73" s="10" t="inlineStr">
        <is>
          <t>0</t>
        </is>
      </c>
    </row>
    <row r="74" ht="217" customHeight="1">
      <c r="A74" s="6">
        <f>IFERROR(__xludf.DUMMYFUNCTION("""COMPUTED_VALUE"""),"BHIMS")</f>
        <v/>
      </c>
      <c r="B74" s="6">
        <f>IFERROR(__xludf.DUMMYFUNCTION("""COMPUTED_VALUE"""),"Space")</f>
        <v/>
      </c>
      <c r="C74" s="6">
        <f>IFERROR(__xludf.DUMMYFUNCTION("""COMPUTED_VALUE"""),"Discussion")</f>
        <v/>
      </c>
      <c r="D74" s="7">
        <f>IFERROR(__xludf.DUMMYFUNCTION("""COMPUTED_VALUE"""),"&lt;p&gt;The final step of your project is to present your work to your colleagues and discuss the results. Submit your paper for the appreciation of experts (your tutors) and disseminate your work.&lt;/p&gt;&lt;p&gt;&lt;br&gt;&lt;/p&gt;&lt;p&gt;Well done!! You are now a black hole expert!!"&amp;"&lt;/p&gt;")</f>
        <v/>
      </c>
      <c r="E74" s="7">
        <f>IFERROR(__xludf.DUMMYFUNCTION("""COMPUTED_VALUE"""),"No artifact embedded")</f>
        <v/>
      </c>
      <c r="F74" s="7" t="inlineStr">
        <is>
          <t>Students were instructed to answer a questionnaire, upload files via Golabz app, and present their project work. Embedded artifacts include the Golabz app/lab for file uploads.</t>
        </is>
      </c>
      <c r="G74" s="8" t="inlineStr">
        <is>
          <t>0</t>
        </is>
      </c>
      <c r="H74" s="8" t="inlineStr">
        <is>
          <t>0</t>
        </is>
      </c>
      <c r="I74" s="8" t="inlineStr">
        <is>
          <t>1</t>
        </is>
      </c>
      <c r="J74" s="8" t="inlineStr">
        <is>
          <t>0</t>
        </is>
      </c>
      <c r="K74" s="9" t="inlineStr">
        <is>
          <t>0</t>
        </is>
      </c>
      <c r="L74" s="9" t="inlineStr">
        <is>
          <t>1</t>
        </is>
      </c>
      <c r="M74" s="9" t="inlineStr">
        <is>
          <t>1</t>
        </is>
      </c>
      <c r="N74" s="9" t="inlineStr">
        <is>
          <t>1</t>
        </is>
      </c>
      <c r="O74" s="10" t="inlineStr">
        <is>
          <t>0</t>
        </is>
      </c>
      <c r="P74" s="10" t="inlineStr">
        <is>
          <t>0</t>
        </is>
      </c>
      <c r="Q74" s="10" t="inlineStr">
        <is>
          <t>0</t>
        </is>
      </c>
      <c r="R74" s="10" t="inlineStr">
        <is>
          <t>0</t>
        </is>
      </c>
      <c r="S74" s="10" t="inlineStr">
        <is>
          <t>1</t>
        </is>
      </c>
    </row>
    <row r="75" ht="25" customHeight="1">
      <c r="A75" s="6">
        <f>IFERROR(__xludf.DUMMYFUNCTION("""COMPUTED_VALUE"""),"Scenario-Six thinking hats")</f>
        <v/>
      </c>
      <c r="B75" s="6">
        <f>IFERROR(__xludf.DUMMYFUNCTION("""COMPUTED_VALUE"""),"Space")</f>
        <v/>
      </c>
      <c r="C75" s="6">
        <f>IFERROR(__xludf.DUMMYFUNCTION("""COMPUTED_VALUE"""),"Example ILS: Six Hats Approach for Archimedes' Principle")</f>
        <v/>
      </c>
      <c r="D75" s="7">
        <f>IFERROR(__xludf.DUMMYFUNCTION("""COMPUTED_VALUE"""),"No task description")</f>
        <v/>
      </c>
      <c r="E75" s="7">
        <f>IFERROR(__xludf.DUMMYFUNCTION("""COMPUTED_VALUE"""),"No artifact embedded")</f>
        <v/>
      </c>
      <c r="F75" s="7" t="inlineStr">
        <is>
          <t>Students were given tasks with varying levels of detail and some had access to the Golabz app for file sharing.</t>
        </is>
      </c>
      <c r="G75" s="8" t="inlineStr">
        <is>
          <t>1</t>
        </is>
      </c>
      <c r="H75" s="8" t="inlineStr">
        <is>
          <t>0</t>
        </is>
      </c>
      <c r="I75" s="8" t="inlineStr">
        <is>
          <t>0</t>
        </is>
      </c>
      <c r="J75" s="8" t="inlineStr">
        <is>
          <t>0</t>
        </is>
      </c>
      <c r="K75" s="9" t="inlineStr">
        <is>
          <t>0</t>
        </is>
      </c>
      <c r="L75" s="9" t="inlineStr">
        <is>
          <t>0</t>
        </is>
      </c>
      <c r="M75" s="9" t="inlineStr">
        <is>
          <t>0</t>
        </is>
      </c>
      <c r="N75" s="9" t="inlineStr">
        <is>
          <t>0</t>
        </is>
      </c>
      <c r="O75" s="10" t="inlineStr">
        <is>
          <t>0</t>
        </is>
      </c>
      <c r="P75" s="10" t="inlineStr">
        <is>
          <t>0</t>
        </is>
      </c>
      <c r="Q75" s="10" t="inlineStr">
        <is>
          <t>0</t>
        </is>
      </c>
      <c r="R75" s="10" t="inlineStr">
        <is>
          <t>0</t>
        </is>
      </c>
      <c r="S75" s="10" t="inlineStr">
        <is>
          <t>0</t>
        </is>
      </c>
    </row>
    <row r="76" ht="329" customHeight="1">
      <c r="A76" s="6">
        <f>IFERROR(__xludf.DUMMYFUNCTION("""COMPUTED_VALUE"""),"Scenario-Six thinking hats")</f>
        <v/>
      </c>
      <c r="B76" s="6">
        <f>IFERROR(__xludf.DUMMYFUNCTION("""COMPUTED_VALUE"""),"Application")</f>
        <v/>
      </c>
      <c r="C76" s="6">
        <f>IFERROR(__xludf.DUMMYFUNCTION("""COMPUTED_VALUE"""),"Input Box")</f>
        <v/>
      </c>
      <c r="D76" s="7">
        <f>IFERROR(__xludf.DUMMYFUNCTION("""COMPUTED_VALUE"""),"No task description")</f>
        <v/>
      </c>
      <c r="E7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6" s="7" t="inlineStr">
        <is>
          <t>Students present project results and submit papers. No artifacts are embedded except a note-taking app in Item 3.</t>
        </is>
      </c>
      <c r="G76" s="8" t="inlineStr">
        <is>
          <t>0</t>
        </is>
      </c>
      <c r="H76" s="8" t="inlineStr">
        <is>
          <t>1</t>
        </is>
      </c>
      <c r="I76" s="8" t="inlineStr">
        <is>
          <t>1</t>
        </is>
      </c>
      <c r="J76" s="8" t="inlineStr">
        <is>
          <t>1</t>
        </is>
      </c>
      <c r="K76" s="9" t="inlineStr">
        <is>
          <t>1</t>
        </is>
      </c>
      <c r="L76" s="9" t="inlineStr">
        <is>
          <t>1</t>
        </is>
      </c>
      <c r="M76" s="9" t="inlineStr">
        <is>
          <t>1</t>
        </is>
      </c>
      <c r="N76" s="9" t="inlineStr">
        <is>
          <t>1</t>
        </is>
      </c>
      <c r="O76" s="10" t="inlineStr">
        <is>
          <t>0</t>
        </is>
      </c>
      <c r="P76" s="10" t="inlineStr">
        <is>
          <t>0</t>
        </is>
      </c>
      <c r="Q76" s="10" t="inlineStr">
        <is>
          <t>0</t>
        </is>
      </c>
      <c r="R76" s="10" t="inlineStr">
        <is>
          <t>0</t>
        </is>
      </c>
      <c r="S76" s="10" t="inlineStr">
        <is>
          <t>1</t>
        </is>
      </c>
    </row>
    <row r="77" ht="25" customHeight="1">
      <c r="A77" s="6">
        <f>IFERROR(__xludf.DUMMYFUNCTION("""COMPUTED_VALUE"""),"Scenario-Six thinking hats")</f>
        <v/>
      </c>
      <c r="B77" s="6">
        <f>IFERROR(__xludf.DUMMYFUNCTION("""COMPUTED_VALUE"""),"Space")</f>
        <v/>
      </c>
      <c r="C77" s="6">
        <f>IFERROR(__xludf.DUMMYFUNCTION("""COMPUTED_VALUE"""),"Orientation")</f>
        <v/>
      </c>
      <c r="D77" s="7">
        <f>IFERROR(__xludf.DUMMYFUNCTION("""COMPUTED_VALUE"""),"No task description")</f>
        <v/>
      </c>
      <c r="E77" s="7">
        <f>IFERROR(__xludf.DUMMYFUNCTION("""COMPUTED_VALUE"""),"No artifact embedded")</f>
        <v/>
      </c>
      <c r="F77" s="7" t="inlineStr">
        <is>
          <t>No task descriptions provided; only Item2 has an embedded Golabz app/lab artifact for note-taking and collaboration.</t>
        </is>
      </c>
      <c r="G77" s="8" t="inlineStr">
        <is>
          <t>1</t>
        </is>
      </c>
      <c r="H77" s="8" t="inlineStr">
        <is>
          <t>0</t>
        </is>
      </c>
      <c r="I77" s="8" t="inlineStr">
        <is>
          <t>0</t>
        </is>
      </c>
      <c r="J77" s="8" t="inlineStr">
        <is>
          <t>0</t>
        </is>
      </c>
      <c r="K77" s="9" t="inlineStr">
        <is>
          <t>0</t>
        </is>
      </c>
      <c r="L77" s="9" t="inlineStr">
        <is>
          <t>0</t>
        </is>
      </c>
      <c r="M77" s="9" t="inlineStr">
        <is>
          <t>0</t>
        </is>
      </c>
      <c r="N77" s="9" t="inlineStr">
        <is>
          <t>0</t>
        </is>
      </c>
      <c r="O77" s="10" t="inlineStr">
        <is>
          <t>0</t>
        </is>
      </c>
      <c r="P77" s="10" t="inlineStr">
        <is>
          <t>0</t>
        </is>
      </c>
      <c r="Q77" s="10" t="inlineStr">
        <is>
          <t>0</t>
        </is>
      </c>
      <c r="R77" s="10" t="inlineStr">
        <is>
          <t>0</t>
        </is>
      </c>
      <c r="S77" s="10" t="inlineStr">
        <is>
          <t>0</t>
        </is>
      </c>
    </row>
    <row r="78" ht="409.5" customHeight="1">
      <c r="A78" s="6">
        <f>IFERROR(__xludf.DUMMYFUNCTION("""COMPUTED_VALUE"""),"Scenario-Six thinking hats")</f>
        <v/>
      </c>
      <c r="B78" s="6">
        <f>IFERROR(__xludf.DUMMYFUNCTION("""COMPUTED_VALUE"""),"Resource")</f>
        <v/>
      </c>
      <c r="C78" s="6">
        <f>IFERROR(__xludf.DUMMYFUNCTION("""COMPUTED_VALUE"""),"OrientationTextBox.graasp")</f>
        <v/>
      </c>
      <c r="D78" s="7">
        <f>IFERROR(__xludf.DUMMYFUNCTION("""COMPUTED_VALUE"""),"&lt;p&gt;In the Orientation phase, students brainstorm about the general topic, familiarize themselves with the specific aspects of the general topic by exploring several resources and activate their prior knowledge.&lt;/p&gt;&lt;p style=""background-color: rgb(238, 238"&amp;", 238);""&gt;&lt;br&gt;&lt;/p&gt;&lt;p style=""background-color: rgb(238, 238, 238);""&gt;The familiarization can be done by:&lt;/p&gt;&lt;p style=""background-color: rgb(238, 238, 238);""&gt;• One and/or more videos, from YouTube or you can record your own video in which you personally "&amp;"explain the general topic.&lt;/p&gt;&lt;p style=""background-color: rgb(238, 238, 238);""&gt;• A brief text.&lt;/p&gt;&lt;p style=""background-color: rgb(238, 238, 238);""&gt;• One and/or more links to specific websites.&lt;/p&gt;&lt;p style=""background-color: rgb(238, 238, 238);""&gt;&lt;br&gt;"&amp;"&lt;/p&gt;&lt;p style=""background-color: rgb(238, 238, 238);""&gt;In order for students to activate their prior knowledge they may:&lt;/p&gt;&lt;p style=""background-color: rgb(238, 238, 238);""&gt;• Write down, in an &lt;a href=""http://www.golabz.eu/apps/input-box"" target=""_bl"&amp;"ank""&gt;Input box&lt;/a&gt;, all the concepts and keywords that they think are related to the topic.&lt;/p&gt;&lt;p style=""background-color: rgb(238, 238, 238);""&gt;• Perform a brief multiple choice &lt;a href=""http://www.golabz.eu/apps/quizmaster"" target=""_blank""&gt;quiz&lt;/a"&amp;"&gt; related to the topic.&lt;/p&gt;&lt;p style=""background-color: rgb(238, 238, 238);""&gt;&lt;br&gt;&lt;/p&gt;&lt;p&gt;For example see the Six hats example ILS: &lt;a href=""http://graasp.eu/ils/55dc6972577a28ca7e9b4971/?lang=en"" target=""_blank""&gt;http://graasp.eu/ils/55dc6972577a28ca7e"&amp;"9b4971/?lang=en&lt;/a&gt;&lt;/p&gt;")</f>
        <v/>
      </c>
      <c r="E78" s="7">
        <f>IFERROR(__xludf.DUMMYFUNCTION("""COMPUTED_VALUE"""),"No artifact embedded")</f>
        <v/>
      </c>
      <c r="F78" s="7" t="inlineStr">
        <is>
          <t>Students brainstorm, explore resources, and activate prior knowledge. Embedded artifacts include Golabz app/lab for note-taking and collaboration.</t>
        </is>
      </c>
      <c r="G78" s="8" t="inlineStr">
        <is>
          <t>0</t>
        </is>
      </c>
      <c r="H78" s="8" t="inlineStr">
        <is>
          <t>0</t>
        </is>
      </c>
      <c r="I78" s="8" t="inlineStr">
        <is>
          <t>1</t>
        </is>
      </c>
      <c r="J78" s="8" t="inlineStr">
        <is>
          <t>1</t>
        </is>
      </c>
      <c r="K78" s="9" t="inlineStr">
        <is>
          <t>1</t>
        </is>
      </c>
      <c r="L78" s="9" t="inlineStr">
        <is>
          <t>1</t>
        </is>
      </c>
      <c r="M78" s="9" t="inlineStr">
        <is>
          <t>0</t>
        </is>
      </c>
      <c r="N78" s="9" t="inlineStr">
        <is>
          <t>0</t>
        </is>
      </c>
      <c r="O78" s="10" t="inlineStr">
        <is>
          <t>1</t>
        </is>
      </c>
      <c r="P78" s="10" t="inlineStr">
        <is>
          <t>1</t>
        </is>
      </c>
      <c r="Q78" s="10" t="inlineStr">
        <is>
          <t>0</t>
        </is>
      </c>
      <c r="R78" s="10" t="inlineStr">
        <is>
          <t>0</t>
        </is>
      </c>
      <c r="S78" s="10" t="inlineStr">
        <is>
          <t>0</t>
        </is>
      </c>
    </row>
    <row r="79" ht="25" customHeight="1">
      <c r="A79" s="6">
        <f>IFERROR(__xludf.DUMMYFUNCTION("""COMPUTED_VALUE"""),"Scenario-Six thinking hats")</f>
        <v/>
      </c>
      <c r="B79" s="6">
        <f>IFERROR(__xludf.DUMMYFUNCTION("""COMPUTED_VALUE"""),"Space")</f>
        <v/>
      </c>
      <c r="C79" s="6">
        <f>IFERROR(__xludf.DUMMYFUNCTION("""COMPUTED_VALUE"""),"Conceptualisation")</f>
        <v/>
      </c>
      <c r="D79" s="7">
        <f>IFERROR(__xludf.DUMMYFUNCTION("""COMPUTED_VALUE"""),"No task description")</f>
        <v/>
      </c>
      <c r="E79" s="7">
        <f>IFERROR(__xludf.DUMMYFUNCTION("""COMPUTED_VALUE"""),"No artifact embedded")</f>
        <v/>
      </c>
      <c r="F79" s="7" t="inlineStr">
        <is>
          <t>Students brainstorm and familiarize themselves with a topic using videos, texts, and websites, then activate prior knowledge through writing and quizzes.</t>
        </is>
      </c>
      <c r="G79" s="8" t="inlineStr">
        <is>
          <t>1</t>
        </is>
      </c>
      <c r="H79" s="8" t="inlineStr">
        <is>
          <t>0</t>
        </is>
      </c>
      <c r="I79" s="8" t="inlineStr">
        <is>
          <t>0</t>
        </is>
      </c>
      <c r="J79" s="8" t="inlineStr">
        <is>
          <t>0</t>
        </is>
      </c>
      <c r="K79" s="9" t="inlineStr">
        <is>
          <t>0</t>
        </is>
      </c>
      <c r="L79" s="9" t="inlineStr">
        <is>
          <t>0</t>
        </is>
      </c>
      <c r="M79" s="9" t="inlineStr">
        <is>
          <t>0</t>
        </is>
      </c>
      <c r="N79" s="9" t="inlineStr">
        <is>
          <t>0</t>
        </is>
      </c>
      <c r="O79" s="10" t="inlineStr">
        <is>
          <t>0</t>
        </is>
      </c>
      <c r="P79" s="10" t="inlineStr">
        <is>
          <t>0</t>
        </is>
      </c>
      <c r="Q79" s="10" t="inlineStr">
        <is>
          <t>0</t>
        </is>
      </c>
      <c r="R79" s="10" t="inlineStr">
        <is>
          <t>0</t>
        </is>
      </c>
      <c r="S79" s="10" t="inlineStr">
        <is>
          <t>0</t>
        </is>
      </c>
    </row>
    <row r="80" ht="409.5" customHeight="1">
      <c r="A80" s="6">
        <f>IFERROR(__xludf.DUMMYFUNCTION("""COMPUTED_VALUE"""),"Scenario-Six thinking hats")</f>
        <v/>
      </c>
      <c r="B80" s="6">
        <f>IFERROR(__xludf.DUMMYFUNCTION("""COMPUTED_VALUE"""),"Resource")</f>
        <v/>
      </c>
      <c r="C80" s="6">
        <f>IFERROR(__xludf.DUMMYFUNCTION("""COMPUTED_VALUE"""),"ConceptualisationTextBox.graasp")</f>
        <v/>
      </c>
      <c r="D80" s="7">
        <f>IFERROR(__xludf.DUMMYFUNCTION("""COMPUTED_VALUE"""),"&lt;p&gt;In the Sub-phase Hypothesis, students think more about the main concepts that describe the phenomenon under study, and formulate specific hypotheses that are going to be investigated in the next phase in their groups.&lt;/p&gt;&lt;p style=""background-color: rg"&amp;"b(238, 238, 238);""&gt;&lt;br&gt;&lt;/p&gt;&lt;p style=""background-color: rgb(238, 238, 238);""&gt;• Students try to relate the concepts and keywords that they noted in the previous phase by creating a &lt;a href=""http://www.golabz.eu/content/go-lab-concept-mapper"" target=""_"&amp;"blank""&gt;concept map&lt;/a&gt;.&lt;/p&gt;&lt;p style=""background-color: rgb(238, 238, 238);""&gt;Before students start creating their concept map provide them with a hint about it like the example below:&lt;/p&gt;&lt;p style=""background-color: rgb(238, 238, 238);""&gt;""&lt;em&gt;A concept"&amp;" map is a visual representation of your thoughts, information and knowledge. It contains concepts and relationships between these concepts that are visually represented by means of arrows and colors. This helps you organize information and provides a stru"&amp;"cture that makes you come up with new ideas more easily.&lt;/em&gt;""&lt;/p&gt;&lt;p style=""background-color: rgb(238, 238, 238);""&gt;After students finish with their concept map, provide them with some questions to ensure that the concept map of each student contains at"&amp;" least a subset of variables that are going to be investigated in the next phase.&lt;/p&gt;&lt;p style=""background-color: rgb(238, 238, 238);""&gt;• Students in their home group formulate their hypotheses using the &lt;a href=""http://www.golabz.eu/app/hypothesis-tool#"&amp;""" target=""_blank""&gt;Hypothesis Scratchpad&lt;/a&gt;. During the hypotheses formulation students are provided with some hints like:&lt;/p&gt;&lt;p style=""background-color: rgb(238, 238, 238);""&gt;&lt;em&gt;• A good hypothesis can be formulated in the form of ""IF.. THEN.."" st"&amp;"atement, which will involve one dependent variable with at least one independent. For example: IF the independent variable increases THEN the dependent variable decreases.&lt;/em&gt;&lt;/p&gt;&lt;p style=""background-color: rgb(238, 238, 238);""&gt;&lt;em&gt;• Use only one depen"&amp;"dent variable at a time when you formulate a hypothesis.&lt;/em&gt;&lt;/p&gt;&lt;p style=""background-color: rgb(238, 238, 238);""&gt;&lt;em&gt;• Remember that a hypothesis might not be confirmed after the experimentation. This is not a problem. Many scientific experiments have "&amp;"led to valuable knowledge because they resulted in the rejection of a hypothesis.&lt;/em&gt;&lt;/p&gt;&lt;p style=""background-color: rgb(238, 238, 238);""&gt;&lt;em&gt;• Don't forget to save your hypotheses because you will need them later. Give a proper name to help you retrie"&amp;"ve them easily. For example, you can label a hypothesis using the name of the independent and dependent variable.&lt;/em&gt;&lt;/p&gt;&lt;p style=""background-color: rgb(238, 238, 238);""&gt;&lt;br&gt;&lt;/p&gt;&lt;p style=""background-color: rgb(238, 238, 238);""&gt;In general, in this pha"&amp;"se make sure that the students use the appropriate terms (variables) and encourage them to pay attention to the hints provided to them.&lt;/p&gt;&lt;p style=""background-color: rgb(238, 238, 238);""&gt;&lt;br&gt;&lt;/p&gt;&lt;p&gt;For example see the Six hats example ILS: &lt;a href=""ht"&amp;"tp://graasp.eu/ils/55dc6972577a28ca7e9b4971/?lang=en"" target=""_blank""&gt;http://graasp.eu/ils/55dc6972577a28ca7e9b4971/?lan...&lt;/a&gt;&lt;/p&gt;")</f>
        <v/>
      </c>
      <c r="E80" s="7">
        <f>IFERROR(__xludf.DUMMYFUNCTION("""COMPUTED_VALUE"""),"No artifact embedded")</f>
        <v/>
      </c>
      <c r="F80" s="7" t="inlineStr">
        <is>
          <t>Students brainstorm, explore resources, and activate prior knowledge. Embedded artifacts include videos, texts, links, quizzes, concept maps, and a Hypothesis Scratchpad.</t>
        </is>
      </c>
      <c r="G80" s="8" t="inlineStr">
        <is>
          <t>0</t>
        </is>
      </c>
      <c r="H80" s="8" t="inlineStr">
        <is>
          <t>1</t>
        </is>
      </c>
      <c r="I80" s="8" t="inlineStr">
        <is>
          <t>1</t>
        </is>
      </c>
      <c r="J80" s="8" t="inlineStr">
        <is>
          <t>0</t>
        </is>
      </c>
      <c r="K80" s="9" t="inlineStr">
        <is>
          <t>0</t>
        </is>
      </c>
      <c r="L80" s="9" t="inlineStr">
        <is>
          <t>1</t>
        </is>
      </c>
      <c r="M80" s="9" t="inlineStr">
        <is>
          <t>1</t>
        </is>
      </c>
      <c r="N80" s="9" t="inlineStr">
        <is>
          <t>1</t>
        </is>
      </c>
      <c r="O80" s="10" t="inlineStr">
        <is>
          <t>0</t>
        </is>
      </c>
      <c r="P80" s="10" t="inlineStr">
        <is>
          <t>1</t>
        </is>
      </c>
      <c r="Q80" s="10" t="inlineStr">
        <is>
          <t>1</t>
        </is>
      </c>
      <c r="R80" s="10" t="inlineStr">
        <is>
          <t>0</t>
        </is>
      </c>
      <c r="S80" s="10" t="inlineStr">
        <is>
          <t>0</t>
        </is>
      </c>
    </row>
    <row r="81" ht="25" customHeight="1">
      <c r="A81" s="6">
        <f>IFERROR(__xludf.DUMMYFUNCTION("""COMPUTED_VALUE"""),"Scenario-Six thinking hats")</f>
        <v/>
      </c>
      <c r="B81" s="6">
        <f>IFERROR(__xludf.DUMMYFUNCTION("""COMPUTED_VALUE"""),"Space")</f>
        <v/>
      </c>
      <c r="C81" s="6">
        <f>IFERROR(__xludf.DUMMYFUNCTION("""COMPUTED_VALUE"""),"Investigation")</f>
        <v/>
      </c>
      <c r="D81" s="7">
        <f>IFERROR(__xludf.DUMMYFUNCTION("""COMPUTED_VALUE"""),"No task description")</f>
        <v/>
      </c>
      <c r="E81" s="7">
        <f>IFERROR(__xludf.DUMMYFUNCTION("""COMPUTED_VALUE"""),"No artifact embedded")</f>
        <v/>
      </c>
      <c r="F81" s="7" t="inlineStr">
        <is>
          <t>Students create concept maps and formulate hypotheses using the Hypothesis Scratchpad, following given hints.</t>
        </is>
      </c>
      <c r="G81" s="8" t="inlineStr">
        <is>
          <t>1</t>
        </is>
      </c>
      <c r="H81" s="8" t="inlineStr">
        <is>
          <t>0</t>
        </is>
      </c>
      <c r="I81" s="8" t="inlineStr">
        <is>
          <t>0</t>
        </is>
      </c>
      <c r="J81" s="8" t="inlineStr">
        <is>
          <t>0</t>
        </is>
      </c>
      <c r="K81" s="9" t="inlineStr">
        <is>
          <t>0</t>
        </is>
      </c>
      <c r="L81" s="9" t="inlineStr">
        <is>
          <t>0</t>
        </is>
      </c>
      <c r="M81" s="9" t="inlineStr">
        <is>
          <t>0</t>
        </is>
      </c>
      <c r="N81" s="9" t="inlineStr">
        <is>
          <t>0</t>
        </is>
      </c>
      <c r="O81" s="10" t="inlineStr">
        <is>
          <t>0</t>
        </is>
      </c>
      <c r="P81" s="10" t="inlineStr">
        <is>
          <t>0</t>
        </is>
      </c>
      <c r="Q81" s="10" t="inlineStr">
        <is>
          <t>0</t>
        </is>
      </c>
      <c r="R81" s="10" t="inlineStr">
        <is>
          <t>0</t>
        </is>
      </c>
      <c r="S81" s="10" t="inlineStr">
        <is>
          <t>0</t>
        </is>
      </c>
    </row>
    <row r="82" ht="409.5" customHeight="1">
      <c r="A82" s="6">
        <f>IFERROR(__xludf.DUMMYFUNCTION("""COMPUTED_VALUE"""),"Scenario-Six thinking hats")</f>
        <v/>
      </c>
      <c r="B82" s="6">
        <f>IFERROR(__xludf.DUMMYFUNCTION("""COMPUTED_VALUE"""),"Resource")</f>
        <v/>
      </c>
      <c r="C82" s="6">
        <f>IFERROR(__xludf.DUMMYFUNCTION("""COMPUTED_VALUE"""),"InvestigationTextBox.graasp")</f>
        <v/>
      </c>
      <c r="D82" s="7">
        <f>IFERROR(__xludf.DUMMYFUNCTION("""COMPUTED_VALUE"""),"&lt;p&gt;In the Experimentation phase, students design and carry out their experiments.&lt;/p&gt;&lt;p&gt;&lt;br&gt;&lt;/p&gt;&lt;p style=""background-color: rgb(238, 238, 238);""&gt;• Students need to have their first experience with the lab in order to plan their investigations in a prope"&amp;"r way. The first impression can be done by letting students familiarize with the lab for a short time (e.g. 5 mins) or by preparing a short explanatory video, which will explain the main elements and functions of the lab.&lt;/p&gt;&lt;p style=""background-color: r"&amp;"gb(238, 238, 238);""&gt;• The next step for the students is to make a detailed plan for conducting their experiments. This can be done with the &lt;a href=""http://www.golabz.eu/apps/experiment-design-tool"" target=""_blank""&gt;Experiment Design Tool&lt;/a&gt;. Before "&amp;"your students use the tool you can ask them to consider the following questions:&lt;/p&gt;&lt;p style=""background-color: rgb(238, 238, 238);""&gt;&lt;em&gt;• Which variable are you going to measure? In other words: Which is your dependent variable? Please explain why you "&amp;"have chosen this variable.&lt;br&gt;• Which variable are you going to change? In other words: Which is your independent variable? Please explain why you have chosen this variable.&lt;br&gt;• Which variables do you need to control - keep constant - in your experiment?"&amp;" In other words: Which are your control variables? Please explain why.&lt;br&gt;&lt;/em&gt;&lt;/p&gt;&lt;p style=""background-color: rgb(238, 238, 238);""&gt;• When students insert their measures in the Experiment Design Tool, all the data are saved automatically in a format tha"&amp;"t can be used by the &lt;a href=""http://www.golabz.eu/apps/data-viewer"" target=""_blank""&gt;Data Viewer&lt;/a&gt;, in the next phase. Additionally or alternatively, you can ask students to note down what they observe during their experiments by means of the &lt;a hre"&amp;"f=""http://www.golabz.eu/apps/observation-tool"" target=""_blank""&gt;Observation Tool&lt;/a&gt;.&lt;/p&gt;&lt;p style=""background-color: rgb(238, 238, 238);""&gt;&lt;br&gt;&lt;/p&gt;&lt;p style=""background-color: rgb(238, 238, 238);""&gt;For example see: &lt;a href=""http://graasp.eu/spaces/54"&amp;"ad2803ce73ab0000b0255a"" target=""_blank""&gt;http://graasp.eu/spaces/54ad2803ce73ab0000b0255a&lt;/a&gt;&lt;/p&gt;&lt;p style=""background-color: rgb(238, 238, 238);""&gt;&lt;br&gt;&lt;/p&gt;&lt;p style=""background-color: rgb(238, 238, 238);""&gt;&lt;br&gt;&lt;/p&gt;&lt;p style=""background-color: rgb(238, "&amp;"238, 238);""&gt;In the Data Interpretation phase students can use the Data Viewer to prepare data graphs and examine the relation among the variables (independent and dependent) which were investigated in the previous phase.&lt;/p&gt;&lt;p style=""background-color: r"&amp;"gb(238, 238, 238);""&gt;&lt;br&gt;&lt;/p&gt;&lt;p style=""background-color: rgb(238, 238, 238);""&gt;• The &lt;a href=""http://www.golabz.eu/apps/data-viewer"" target=""_blank""&gt;Data Viewer&lt;/a&gt; is a tool that helps students to create data graphs and/or tables for all the recorde"&amp;"d measurements for the independent and dependent variables.&lt;/p&gt;&lt;p style=""background-color: rgb(238, 238, 238);""&gt;• In addition, you can insert an &lt;a href=""http://www.golabz.eu/apps/input-box"" target=""_blank""&gt;Input Box&lt;/a&gt; and provide to the students "&amp;"some guiding questions in order to help them find relations among variables.&lt;/p&gt;&lt;p style=""background-color: rgb(238, 238, 238);""&gt;• Prompt your students to return back to the Experimentation phase, if they don't have gathered enough data.&lt;/p&gt;&lt;p style=""b"&amp;"ackground-color: rgb(238, 238, 238);""&gt;&lt;br&gt;&lt;/p&gt;&lt;p&gt;For example see the Six hats example ILS: &lt;a href=""http://graasp.eu/ils/55dc6972577a28ca7e9b4971/?lang=en"" target=""_blank""&gt;http://graasp.eu/ils/55dc6972577a28ca7e9b4971/?lan...&lt;/a&gt;&lt;/p&gt;")</f>
        <v/>
      </c>
      <c r="E82" s="7">
        <f>IFERROR(__xludf.DUMMYFUNCTION("""COMPUTED_VALUE"""),"No artifact embedded")</f>
        <v/>
      </c>
      <c r="F82" s="7" t="inlineStr">
        <is>
          <t>Students create concept maps and formulate hypotheses. Embedded artifacts include Hypothesis Scratchpad, Experiment Design Tool, and Data Viewer.</t>
        </is>
      </c>
      <c r="G82" s="8" t="inlineStr">
        <is>
          <t>0</t>
        </is>
      </c>
      <c r="H82" s="8" t="inlineStr">
        <is>
          <t>1</t>
        </is>
      </c>
      <c r="I82" s="8" t="inlineStr">
        <is>
          <t>1</t>
        </is>
      </c>
      <c r="J82" s="8" t="inlineStr">
        <is>
          <t>1</t>
        </is>
      </c>
      <c r="K82" s="9" t="inlineStr">
        <is>
          <t>0</t>
        </is>
      </c>
      <c r="L82" s="9" t="inlineStr">
        <is>
          <t>1</t>
        </is>
      </c>
      <c r="M82" s="9" t="inlineStr">
        <is>
          <t>0</t>
        </is>
      </c>
      <c r="N82" s="9" t="inlineStr">
        <is>
          <t>0</t>
        </is>
      </c>
      <c r="O82" s="10" t="inlineStr">
        <is>
          <t>0</t>
        </is>
      </c>
      <c r="P82" s="10" t="inlineStr">
        <is>
          <t>1</t>
        </is>
      </c>
      <c r="Q82" s="10" t="inlineStr">
        <is>
          <t>1</t>
        </is>
      </c>
      <c r="R82" s="10" t="inlineStr">
        <is>
          <t>0</t>
        </is>
      </c>
      <c r="S82" s="10" t="inlineStr">
        <is>
          <t>0</t>
        </is>
      </c>
    </row>
    <row r="83" ht="25" customHeight="1">
      <c r="A83" s="6">
        <f>IFERROR(__xludf.DUMMYFUNCTION("""COMPUTED_VALUE"""),"Scenario-Six thinking hats")</f>
        <v/>
      </c>
      <c r="B83" s="6">
        <f>IFERROR(__xludf.DUMMYFUNCTION("""COMPUTED_VALUE"""),"Space")</f>
        <v/>
      </c>
      <c r="C83" s="6">
        <f>IFERROR(__xludf.DUMMYFUNCTION("""COMPUTED_VALUE"""),"Conclusion")</f>
        <v/>
      </c>
      <c r="D83" s="7">
        <f>IFERROR(__xludf.DUMMYFUNCTION("""COMPUTED_VALUE"""),"No task description")</f>
        <v/>
      </c>
      <c r="E83" s="7">
        <f>IFERROR(__xludf.DUMMYFUNCTION("""COMPUTED_VALUE"""),"No artifact embedded")</f>
        <v/>
      </c>
      <c r="F83" s="7" t="inlineStr">
        <is>
          <t>Students design and conduct experiments, plan investigations, and analyze data using tools like Experiment Design Tool and Data Viewer.</t>
        </is>
      </c>
      <c r="G83" s="8" t="inlineStr">
        <is>
          <t>1</t>
        </is>
      </c>
      <c r="H83" s="8" t="inlineStr">
        <is>
          <t>0</t>
        </is>
      </c>
      <c r="I83" s="8" t="inlineStr">
        <is>
          <t>0</t>
        </is>
      </c>
      <c r="J83" s="8" t="inlineStr">
        <is>
          <t>0</t>
        </is>
      </c>
      <c r="K83" s="9" t="inlineStr">
        <is>
          <t>0</t>
        </is>
      </c>
      <c r="L83" s="9" t="inlineStr">
        <is>
          <t>0</t>
        </is>
      </c>
      <c r="M83" s="9" t="inlineStr">
        <is>
          <t>0</t>
        </is>
      </c>
      <c r="N83" s="9" t="inlineStr">
        <is>
          <t>0</t>
        </is>
      </c>
      <c r="O83" s="10" t="inlineStr">
        <is>
          <t>0</t>
        </is>
      </c>
      <c r="P83" s="10" t="inlineStr">
        <is>
          <t>0</t>
        </is>
      </c>
      <c r="Q83" s="10" t="inlineStr">
        <is>
          <t>0</t>
        </is>
      </c>
      <c r="R83" s="10" t="inlineStr">
        <is>
          <t>0</t>
        </is>
      </c>
      <c r="S83" s="10" t="inlineStr">
        <is>
          <t>0</t>
        </is>
      </c>
    </row>
    <row r="84" ht="409.5" customHeight="1">
      <c r="A84" s="6">
        <f>IFERROR(__xludf.DUMMYFUNCTION("""COMPUTED_VALUE"""),"Scenario-Six thinking hats")</f>
        <v/>
      </c>
      <c r="B84" s="6">
        <f>IFERROR(__xludf.DUMMYFUNCTION("""COMPUTED_VALUE"""),"Resource")</f>
        <v/>
      </c>
      <c r="C84" s="6">
        <f>IFERROR(__xludf.DUMMYFUNCTION("""COMPUTED_VALUE"""),"ConclusionTextBox.graasp")</f>
        <v/>
      </c>
      <c r="D84" s="7">
        <f>IFERROR(__xludf.DUMMYFUNCTION("""COMPUTED_VALUE"""),"&lt;p&gt;In the Conclusion phase, students in each group draw conclusions from their experiments by using the&lt;a href=""http://www.golabz.eu/apps/conclusion-tool"" target=""_blank""&gt;Conclusion Tool&lt;/a&gt;to retrieve their previous work (hypotheses, graphs, observat"&amp;"ions). In addition, they prepare presentations to communicate their results.&lt;/p&gt;&lt;p style=""background-color: rgb(238, 238, 238);""&gt;&lt;br&gt;&lt;/p&gt;&lt;p style=""background-color: rgb(238, 238, 238);""&gt;• Provide your students with some hints during the use of the &lt;a "&amp;"href=""http://www.golabz.eu/apps/conclusion-tool"" target=""_blank""&gt;Conclusion Tool&lt;/a&gt;, like below:&lt;/p&gt;&lt;p style=""background-color: rgb(238, 238, 238);""&gt;&lt;em&gt;Your conclusion should be justified based on the evidence you have collected during the Investi"&amp;"gation phase. This evidence will help you provide an answer whether your hypothesis has to be either supported or rejected.&lt;/em&gt;&lt;/p&gt;&lt;p style=""background-color: rgb(238, 238, 238);""&gt;• In addition guide your students in order to form valid conclusions. Po"&amp;"int out flawed conclusions and encourage students to repeat their experiments in order to come to a defendable conclusion.&lt;/p&gt;&lt;p style=""background-color: rgb(238, 238, 238);""&gt;• Students can prepare their presentation in a Power Point format and upload i"&amp;"t in the ILS using the &lt;a href=""http://www.golabz.eu/apps/file-drop"" target=""_blank""&gt;File Drop App&lt;/a&gt;. In their presentation students should try to give enough evidence from their experimentation to reject or confirm their hypothesis.&lt;/p&gt;&lt;p style=""b"&amp;"ackground-color: rgb(238, 238, 238);""&gt;• Provide your students with some hints during the preparation of their expert presentations, like:&lt;br&gt;&lt;/p&gt;&lt;p style=""background-color: rgb(238, 238, 238);""&gt;&lt;em&gt;A good presentation should contain information about, "&amp;"the problem studied, the hypothesis/es examined, the investigation conducted, the data collected and the conclusion extracted.&lt;br&gt;&lt;/em&gt;&lt;/p&gt;&lt;p&gt;For example see the Six hats example ILS: &lt;a href=""http://graasp.eu/ils/55dc6972577a28ca7e9b4971/?lang=en"" targ"&amp;"et=""_blank""&gt;http://graasp.eu/ils/55dc6972577a28ca7e9b4971/?lan...&lt;/a&gt;&lt;/p&gt;")</f>
        <v/>
      </c>
      <c r="E84" s="7">
        <f>IFERROR(__xludf.DUMMYFUNCTION("""COMPUTED_VALUE"""),"No artifact embedded")</f>
        <v/>
      </c>
      <c r="F84" s="7" t="inlineStr">
        <is>
          <t>Students design experiments, collect data, and draw conclusions using tools like Experiment Design Tool and Conclusion Tool, with guidance on variables and presentation.</t>
        </is>
      </c>
      <c r="G84" s="8" t="inlineStr">
        <is>
          <t>0</t>
        </is>
      </c>
      <c r="H84" s="8" t="inlineStr">
        <is>
          <t>1</t>
        </is>
      </c>
      <c r="I84" s="8" t="inlineStr">
        <is>
          <t>1</t>
        </is>
      </c>
      <c r="J84" s="8" t="inlineStr">
        <is>
          <t>0</t>
        </is>
      </c>
      <c r="K84" s="9" t="inlineStr">
        <is>
          <t>0</t>
        </is>
      </c>
      <c r="L84" s="9" t="inlineStr">
        <is>
          <t>0</t>
        </is>
      </c>
      <c r="M84" s="9" t="inlineStr">
        <is>
          <t>0</t>
        </is>
      </c>
      <c r="N84" s="9" t="inlineStr">
        <is>
          <t>1</t>
        </is>
      </c>
      <c r="O84" s="10" t="inlineStr">
        <is>
          <t>0</t>
        </is>
      </c>
      <c r="P84" s="10" t="inlineStr">
        <is>
          <t>0</t>
        </is>
      </c>
      <c r="Q84" s="10" t="inlineStr">
        <is>
          <t>1</t>
        </is>
      </c>
      <c r="R84" s="10" t="inlineStr">
        <is>
          <t>1</t>
        </is>
      </c>
      <c r="S84" s="10" t="inlineStr">
        <is>
          <t>1</t>
        </is>
      </c>
    </row>
    <row r="85" ht="25" customHeight="1">
      <c r="A85" s="6">
        <f>IFERROR(__xludf.DUMMYFUNCTION("""COMPUTED_VALUE"""),"Scenario-Six thinking hats")</f>
        <v/>
      </c>
      <c r="B85" s="6">
        <f>IFERROR(__xludf.DUMMYFUNCTION("""COMPUTED_VALUE"""),"Space")</f>
        <v/>
      </c>
      <c r="C85" s="6">
        <f>IFERROR(__xludf.DUMMYFUNCTION("""COMPUTED_VALUE"""),"Discussion")</f>
        <v/>
      </c>
      <c r="D85" s="7">
        <f>IFERROR(__xludf.DUMMYFUNCTION("""COMPUTED_VALUE"""),"No task description")</f>
        <v/>
      </c>
      <c r="E85" s="7">
        <f>IFERROR(__xludf.DUMMYFUNCTION("""COMPUTED_VALUE"""),"No artifact embedded")</f>
        <v/>
      </c>
      <c r="F85" s="7" t="inlineStr">
        <is>
          <t>Students draw conclusions, prepare presentations, and upload files using the Conclusion Tool and File Drop App, with hints provided for valid conclusions and presentation preparation.</t>
        </is>
      </c>
      <c r="G85" s="8" t="inlineStr">
        <is>
          <t>1</t>
        </is>
      </c>
      <c r="H85" s="8" t="inlineStr">
        <is>
          <t>0</t>
        </is>
      </c>
      <c r="I85" s="8" t="inlineStr">
        <is>
          <t>0</t>
        </is>
      </c>
      <c r="J85" s="8" t="inlineStr">
        <is>
          <t>0</t>
        </is>
      </c>
      <c r="K85" s="9" t="inlineStr">
        <is>
          <t>0</t>
        </is>
      </c>
      <c r="L85" s="9" t="inlineStr">
        <is>
          <t>0</t>
        </is>
      </c>
      <c r="M85" s="9" t="inlineStr">
        <is>
          <t>0</t>
        </is>
      </c>
      <c r="N85" s="9" t="inlineStr">
        <is>
          <t>0</t>
        </is>
      </c>
      <c r="O85" s="10" t="inlineStr">
        <is>
          <t>0</t>
        </is>
      </c>
      <c r="P85" s="10" t="inlineStr">
        <is>
          <t>0</t>
        </is>
      </c>
      <c r="Q85" s="10" t="inlineStr">
        <is>
          <t>0</t>
        </is>
      </c>
      <c r="R85" s="10" t="inlineStr">
        <is>
          <t>0</t>
        </is>
      </c>
      <c r="S85" s="10" t="inlineStr">
        <is>
          <t>0</t>
        </is>
      </c>
    </row>
    <row r="86" ht="409.5" customHeight="1">
      <c r="A86" s="6">
        <f>IFERROR(__xludf.DUMMYFUNCTION("""COMPUTED_VALUE"""),"Scenario-Six thinking hats")</f>
        <v/>
      </c>
      <c r="B86" s="6">
        <f>IFERROR(__xludf.DUMMYFUNCTION("""COMPUTED_VALUE"""),"Resource")</f>
        <v/>
      </c>
      <c r="C86" s="6">
        <f>IFERROR(__xludf.DUMMYFUNCTION("""COMPUTED_VALUE"""),"DiscussionTextBox.graasp")</f>
        <v/>
      </c>
      <c r="D86" s="7">
        <f>IFERROR(__xludf.DUMMYFUNCTION("""COMPUTED_VALUE"""),"&lt;p&gt;In the Communication phase, students share their conclusions with others.&lt;/p&gt;&lt;p style=""background-color: rgb(238, 238, 238);""&gt;&lt;br&gt;&lt;/p&gt;&lt;p style=""background-color: rgb(238, 238, 238);""&gt;Discuss with your students about their final conclusions. In addi"&amp;"tion, a discussion about how their work and outcomes can be applied in different settings can be made, so that to help students identify the way a scientist works.&lt;/p&gt;&lt;p style=""background-color: rgb(238, 238, 238);""&gt;&lt;br&gt;&lt;/p&gt;&lt;p&gt;For example see the Six ha"&amp;"ts example ILS: &lt;a href=""http://graasp.eu/ils/55dc6972577a28ca7e9b4971/?lang=en"" target=""_blank""&gt;http://graasp.eu/ils/55dc6972577a28ca7e9b4971/?lan...&lt;/a&gt;&lt;/p&gt;")</f>
        <v/>
      </c>
      <c r="E86" s="7">
        <f>IFERROR(__xludf.DUMMYFUNCTION("""COMPUTED_VALUE"""),"No artifact embedded")</f>
        <v/>
      </c>
      <c r="F86" s="7" t="inlineStr">
        <is>
          <t>Students draw conclusions, prepare presentations, and share results. Embedded artifacts include links to the Six hats example ILS.</t>
        </is>
      </c>
      <c r="G86" s="8" t="inlineStr">
        <is>
          <t>0</t>
        </is>
      </c>
      <c r="H86" s="8" t="inlineStr">
        <is>
          <t>0</t>
        </is>
      </c>
      <c r="I86" s="8" t="inlineStr">
        <is>
          <t>1</t>
        </is>
      </c>
      <c r="J86" s="8" t="inlineStr">
        <is>
          <t>1</t>
        </is>
      </c>
      <c r="K86" s="9" t="inlineStr">
        <is>
          <t>0</t>
        </is>
      </c>
      <c r="L86" s="9" t="inlineStr">
        <is>
          <t>0</t>
        </is>
      </c>
      <c r="M86" s="9" t="inlineStr">
        <is>
          <t>1</t>
        </is>
      </c>
      <c r="N86" s="9" t="inlineStr">
        <is>
          <t>1</t>
        </is>
      </c>
      <c r="O86" s="10" t="inlineStr">
        <is>
          <t>0</t>
        </is>
      </c>
      <c r="P86" s="10" t="inlineStr">
        <is>
          <t>0</t>
        </is>
      </c>
      <c r="Q86" s="10" t="inlineStr">
        <is>
          <t>0</t>
        </is>
      </c>
      <c r="R86" s="10" t="inlineStr">
        <is>
          <t>1</t>
        </is>
      </c>
      <c r="S86" s="10" t="inlineStr">
        <is>
          <t>1</t>
        </is>
      </c>
    </row>
    <row r="87" ht="409.5" customHeight="1">
      <c r="A87" s="6">
        <f>IFERROR(__xludf.DUMMYFUNCTION("""COMPUTED_VALUE"""),"Scenario-Six thinking hats")</f>
        <v/>
      </c>
      <c r="B87" s="6">
        <f>IFERROR(__xludf.DUMMYFUNCTION("""COMPUTED_VALUE"""),"Resource")</f>
        <v/>
      </c>
      <c r="C87" s="6">
        <f>IFERROR(__xludf.DUMMYFUNCTION("""COMPUTED_VALUE"""),"Six-Thinking-Hats.pdf")</f>
        <v/>
      </c>
      <c r="D87" s="7">
        <f>IFERROR(__xludf.DUMMYFUNCTION("""COMPUTED_VALUE"""),"Six Thinking Hats Edward de Bono's (2000) Six Thinking Hats is a widely adopted creativity technique in various fields such as business management, education, and human-computer interaction. Essentially, Six Thinking Hats provides directions for adopting "&amp;"different modes of thinking, characterized by six coloured hats: White, Red, Black, Yellow, Green and Blue (Table 1). Table 1: Six colour hats, focus of thinking and implication to Go-Lab inquiry learning phases Thinking hats Focus Inquiry Learning Phases"&amp;" Applicable Facts Figures Facts, Orientation, Conclusion, Discussion: Information Figures Call for information known and Information needed, which can be provided by a teacher, peers and other sources. Such information may need to be referenced for suppor"&amp;"ting discussion as well as conclusion. Intuition Intuition, Discussion: In reflecting and Emotion Feeling &amp; communicating experiences and Emotion insights gained in the learning Judgment process, students may express Caution feelings and emotions (e.g., f"&amp;"un, pride, frustration, surprise) to make their points. Judgment Conceptualization, Investigation: &amp; Caution Spot the difficulties and risks; find out where and why things may go wrong. In formulating questions and hypotheses, it is critical to think abou"&amp;"t counterarguments and potential pitfalls. Logical Positive Logical Conceptualization, Investigation, Positive Conclusion: Explore the positives and probe for value and benefit. Optimism (but remain alert to biases) sustains engagement in the process. Cre"&amp;"ativity Creativity &amp; Conceptualization: Identify the Changes Alternatives possibilities, alternatives and new ideas; an opportunity to express new concepts and new perceptions. Overview Overview All phases: It works as a control Process control Process me"&amp;"chanism to ensure that the control guidelines for different modes of thinking are observed. It is essentially a meta-cognitive strategy. Normally this creativity technique is applied in a group setting. Participants can wear real physical hats or mental o"&amp;"nes (i.e., by asking all group members to utter loudly together the colour of the hat or presenting the image of the hat in a way perceivable by all of them). To ensure that participants are aware of the specific thinking mode they are in, thereby thinkin"&amp;"g with the same focus, it is important that putting on and taking off hats are performed as explicit actions (i.e., gesturing or verbalizing the change of hat). Also, group members should use the same colour hat simultaneously. By switching hats, particip"&amp;"ants can refocus or redirect their thoughts and interactions (verbal as well as non-verbal). Furthermore, the hats can be used in any order that is deemed appropriate and can be repeated as many times as necessary to address the issue at hand. In fact, th"&amp;"e Six Thinking Hats technique has been applied to teach STEM subjects (Childs, 2012; Garner &amp; Lock, 2010) with several advantages being identified. In summary, it can: reflect the process of experimentation within STEM subjects; help simplify and hence pr"&amp;"ovide focus on one process at a time; enable a collaborative group learning activity; provide a common language within a group, while removing ego and reducing confrontation; promote creativity and problem solving; stimulate diversity of thought and empat"&amp;"hy; foster evaluation skills leading back to improving processes and testing new hypothesis; Implementing Six Thinking Hats in the Go-Lab basic pedagogical model is relatively straightforward, as illustrated and described in Figure 1. Note that the teache"&amp;"r is required to orchestrate the process of switching hats, because it is a collaborative activity. However, if the class size is big, synchronizing the process may be somewhat difficult. Alternatively, the class can be split into smaller groups. For each"&amp;" group, a group leader is identified; he or she is responsible to coordinate the timing for changing hats and to ensure that members are applying the same focus (Table 1) to think about the issue under scrutiny. Figure 1: Example of applying different col"&amp;"our Thinking Hats to the inquiry learning phases While Figure 1 exemplifies which colour Hats are applicable for which inquiry learning phases, there is much leeway for a teacher (or a student group leader) to adapt the use of Hats based on the abilities "&amp;"as well as preferences of group members, the group dynamics, and certain situational factors. References: De Bono, E. (1999) Six thinking hats. Penguin. Childs, P. (2012). Use of Six Hats in STEM subjects. High Education Academy. http://www.heacademy.ac.u"&amp;"k/assets/documents/stem-conference/Engineering1/Peter_Childs.pdf Garner, A. &amp; Lock. R (2010) Evaluating practical work using de Bono's 'Thinking Hats'. SSR Science Notes. http://www.rogerlock.novawebs.co.uk/files/SSR337_Garner.pdf")</f>
        <v/>
      </c>
      <c r="E87" s="7">
        <f>IFERROR(__xludf.DUMMYFUNCTION("""COMPUTED_VALUE"""),"No artifact embedded")</f>
        <v/>
      </c>
      <c r="F87" s="7" t="inlineStr">
        <is>
          <t>Students discuss conclusions, apply Six Thinking Hats technique, and identify scientist work methods. No artifacts are embedded in items 1-3.</t>
        </is>
      </c>
      <c r="G87" s="8" t="inlineStr">
        <is>
          <t>0</t>
        </is>
      </c>
      <c r="H87" s="8" t="inlineStr">
        <is>
          <t>1</t>
        </is>
      </c>
      <c r="I87" s="8" t="inlineStr">
        <is>
          <t>0</t>
        </is>
      </c>
      <c r="J87" s="8" t="inlineStr">
        <is>
          <t>0</t>
        </is>
      </c>
      <c r="K87" s="9" t="inlineStr">
        <is>
          <t>0</t>
        </is>
      </c>
      <c r="L87" s="9" t="inlineStr">
        <is>
          <t>0</t>
        </is>
      </c>
      <c r="M87" s="9" t="inlineStr">
        <is>
          <t>1</t>
        </is>
      </c>
      <c r="N87" s="9" t="inlineStr">
        <is>
          <t>1</t>
        </is>
      </c>
      <c r="O87" s="10" t="inlineStr">
        <is>
          <t>0</t>
        </is>
      </c>
      <c r="P87" s="10" t="inlineStr">
        <is>
          <t>1</t>
        </is>
      </c>
      <c r="Q87" s="10" t="inlineStr">
        <is>
          <t>1</t>
        </is>
      </c>
      <c r="R87" s="10" t="inlineStr">
        <is>
          <t>1</t>
        </is>
      </c>
      <c r="S87" s="10" t="inlineStr">
        <is>
          <t>1</t>
        </is>
      </c>
    </row>
    <row r="88" ht="25" customHeight="1">
      <c r="A88" s="6">
        <f>IFERROR(__xludf.DUMMYFUNCTION("""COMPUTED_VALUE"""),"Trigonometry (Math)")</f>
        <v/>
      </c>
      <c r="B88" s="6">
        <f>IFERROR(__xludf.DUMMYFUNCTION("""COMPUTED_VALUE"""),"Space")</f>
        <v/>
      </c>
      <c r="C88" s="6">
        <f>IFERROR(__xludf.DUMMYFUNCTION("""COMPUTED_VALUE"""),"Orientation")</f>
        <v/>
      </c>
      <c r="D88" s="7">
        <f>IFERROR(__xludf.DUMMYFUNCTION("""COMPUTED_VALUE"""),"&lt;p&gt;Trigonometry&lt;/p&gt;")</f>
        <v/>
      </c>
      <c r="E88" s="7">
        <f>IFERROR(__xludf.DUMMYFUNCTION("""COMPUTED_VALUE"""),"No artifact embedded")</f>
        <v/>
      </c>
      <c r="F88" s="7" t="inlineStr">
        <is>
          <t>Students discuss conclusions and apply work in different settings, using techniques like Six Thinking Hats. No artifacts are embedded.</t>
        </is>
      </c>
      <c r="G88" s="8" t="inlineStr">
        <is>
          <t>1</t>
        </is>
      </c>
      <c r="H88" s="8" t="inlineStr">
        <is>
          <t>0</t>
        </is>
      </c>
      <c r="I88" s="8" t="inlineStr">
        <is>
          <t>0</t>
        </is>
      </c>
      <c r="J88" s="8" t="inlineStr">
        <is>
          <t>0</t>
        </is>
      </c>
      <c r="K88" s="9" t="inlineStr">
        <is>
          <t>1</t>
        </is>
      </c>
      <c r="L88" s="9" t="inlineStr">
        <is>
          <t>0</t>
        </is>
      </c>
      <c r="M88" s="9" t="inlineStr">
        <is>
          <t>0</t>
        </is>
      </c>
      <c r="N88" s="9" t="inlineStr">
        <is>
          <t>0</t>
        </is>
      </c>
      <c r="O88" s="10" t="inlineStr">
        <is>
          <t>0</t>
        </is>
      </c>
      <c r="P88" s="10" t="inlineStr">
        <is>
          <t>0</t>
        </is>
      </c>
      <c r="Q88" s="10" t="inlineStr">
        <is>
          <t>0</t>
        </is>
      </c>
      <c r="R88" s="10" t="inlineStr">
        <is>
          <t>0</t>
        </is>
      </c>
      <c r="S88" s="10" t="inlineStr">
        <is>
          <t>0</t>
        </is>
      </c>
    </row>
    <row r="89" ht="121" customHeight="1">
      <c r="A89" s="6">
        <f>IFERROR(__xludf.DUMMYFUNCTION("""COMPUTED_VALUE"""),"Trigonometry (Math)")</f>
        <v/>
      </c>
      <c r="B89" s="6">
        <f>IFERROR(__xludf.DUMMYFUNCTION("""COMPUTED_VALUE"""),"Resource")</f>
        <v/>
      </c>
      <c r="C89" s="6">
        <f>IFERROR(__xludf.DUMMYFUNCTION("""COMPUTED_VALUE"""),"Optimized-shutterstock_277837433-768x576.jpg")</f>
        <v/>
      </c>
      <c r="D89" s="7">
        <f>IFERROR(__xludf.DUMMYFUNCTION("""COMPUTED_VALUE"""),"No task description")</f>
        <v/>
      </c>
      <c r="E89" s="7">
        <f>IFERROR(__xludf.DUMMYFUNCTION("""COMPUTED_VALUE"""),"image/jpeg – A digital photograph or web image stored in a compressed format, often used for photography and web graphics.")</f>
        <v/>
      </c>
      <c r="F89" s="7" t="inlineStr">
        <is>
          <t>Students are instructed to use Six Thinking Hats technique. Embedded artifacts include Table 1 and Figure 1, and an image/jpeg file.</t>
        </is>
      </c>
      <c r="G89" s="8" t="inlineStr">
        <is>
          <t>1</t>
        </is>
      </c>
      <c r="H89" s="8" t="inlineStr">
        <is>
          <t>0</t>
        </is>
      </c>
      <c r="I89" s="8" t="inlineStr">
        <is>
          <t>0</t>
        </is>
      </c>
      <c r="J89" s="8" t="inlineStr">
        <is>
          <t>0</t>
        </is>
      </c>
      <c r="K89" s="9" t="inlineStr">
        <is>
          <t>0</t>
        </is>
      </c>
      <c r="L89" s="9" t="inlineStr">
        <is>
          <t>0</t>
        </is>
      </c>
      <c r="M89" s="9" t="inlineStr">
        <is>
          <t>0</t>
        </is>
      </c>
      <c r="N89" s="9" t="inlineStr">
        <is>
          <t>0</t>
        </is>
      </c>
      <c r="O89" s="10" t="inlineStr">
        <is>
          <t>0</t>
        </is>
      </c>
      <c r="P89" s="10" t="inlineStr">
        <is>
          <t>0</t>
        </is>
      </c>
      <c r="Q89" s="10" t="inlineStr">
        <is>
          <t>0</t>
        </is>
      </c>
      <c r="R89" s="10" t="inlineStr">
        <is>
          <t>0</t>
        </is>
      </c>
      <c r="S89" s="10" t="inlineStr">
        <is>
          <t>0</t>
        </is>
      </c>
    </row>
    <row r="90" ht="384" customHeight="1">
      <c r="A90" s="6">
        <f>IFERROR(__xludf.DUMMYFUNCTION("""COMPUTED_VALUE"""),"Trigonometry (Math)")</f>
        <v/>
      </c>
      <c r="B90" s="6">
        <f>IFERROR(__xludf.DUMMYFUNCTION("""COMPUTED_VALUE"""),"Resource")</f>
        <v/>
      </c>
      <c r="C90" s="6">
        <f>IFERROR(__xludf.DUMMYFUNCTION("""COMPUTED_VALUE"""),"Intro.graasp")</f>
        <v/>
      </c>
      <c r="D90" s="7">
        <f>IFERROR(__xludf.DUMMYFUNCTION("""COMPUTED_VALUE"""),"&lt;p&gt;Ever wondered how buildings are measured and structured orderly so we can live safely in it?&lt;/p&gt;&lt;p&gt;&lt;br&gt;&lt;/p&gt;&lt;p&gt;Oh Yes!  With the knowledge of Trigonometry you can know the correct slope of a roof, the proper height of a building, rise of a stairway and "&amp;"many much more fun stuffs like working on a video game, building different industrial machines and automobiles etc.&lt;/p&gt;&lt;p&gt;&lt;br&gt;&lt;/p&gt;&lt;p&gt;Isn't this fun to know, so lets dive in to know more about Trigonometry!!!&lt;/p&gt;")</f>
        <v/>
      </c>
      <c r="E90" s="7">
        <f>IFERROR(__xludf.DUMMYFUNCTION("""COMPUTED_VALUE"""),"No artifact embedded")</f>
        <v/>
      </c>
      <c r="F90" s="7" t="inlineStr">
        <is>
          <t>Students are instructed on trigonometry. Embedded artifacts include an image/jpeg file, while others have no artifacts.</t>
        </is>
      </c>
      <c r="G90" s="8" t="inlineStr">
        <is>
          <t>0</t>
        </is>
      </c>
      <c r="H90" s="8" t="inlineStr">
        <is>
          <t>0</t>
        </is>
      </c>
      <c r="I90" s="8" t="inlineStr">
        <is>
          <t>0</t>
        </is>
      </c>
      <c r="J90" s="8" t="inlineStr">
        <is>
          <t>0</t>
        </is>
      </c>
      <c r="K90" s="9" t="inlineStr">
        <is>
          <t>1</t>
        </is>
      </c>
      <c r="L90" s="9" t="inlineStr">
        <is>
          <t>0</t>
        </is>
      </c>
      <c r="M90" s="9" t="inlineStr">
        <is>
          <t>0</t>
        </is>
      </c>
      <c r="N90" s="9" t="inlineStr">
        <is>
          <t>0</t>
        </is>
      </c>
      <c r="O90" s="10" t="inlineStr">
        <is>
          <t>1</t>
        </is>
      </c>
      <c r="P90" s="10" t="inlineStr">
        <is>
          <t>1</t>
        </is>
      </c>
      <c r="Q90" s="10" t="inlineStr">
        <is>
          <t>0</t>
        </is>
      </c>
      <c r="R90" s="10" t="inlineStr">
        <is>
          <t>0</t>
        </is>
      </c>
      <c r="S90" s="10" t="inlineStr">
        <is>
          <t>0</t>
        </is>
      </c>
    </row>
    <row r="91" ht="121" customHeight="1">
      <c r="A91" s="6">
        <f>IFERROR(__xludf.DUMMYFUNCTION("""COMPUTED_VALUE"""),"Trigonometry (Math)")</f>
        <v/>
      </c>
      <c r="B91" s="6">
        <f>IFERROR(__xludf.DUMMYFUNCTION("""COMPUTED_VALUE"""),"Resource")</f>
        <v/>
      </c>
      <c r="C91" s="6">
        <f>IFERROR(__xludf.DUMMYFUNCTION("""COMPUTED_VALUE"""),"Trig Tour Video - Made with Clipchamp.mp4")</f>
        <v/>
      </c>
      <c r="D91" s="7">
        <f>IFERROR(__xludf.DUMMYFUNCTION("""COMPUTED_VALUE"""),"No task description")</f>
        <v/>
      </c>
      <c r="E91" s="7">
        <f>IFERROR(__xludf.DUMMYFUNCTION("""COMPUTED_VALUE"""),"video/mp4 – A video file containing moving images and possibly audio, suitable for playback on most modern devices and platforms.")</f>
        <v/>
      </c>
      <c r="F91" s="7" t="inlineStr">
        <is>
          <t>Students were given tasks with descriptions and embedded artifacts like images and videos to explore topics like Trigonometry.</t>
        </is>
      </c>
      <c r="G91" s="8" t="inlineStr">
        <is>
          <t>1</t>
        </is>
      </c>
      <c r="H91" s="8" t="inlineStr">
        <is>
          <t>0</t>
        </is>
      </c>
      <c r="I91" s="8" t="inlineStr">
        <is>
          <t>0</t>
        </is>
      </c>
      <c r="J91" s="8" t="inlineStr">
        <is>
          <t>0</t>
        </is>
      </c>
      <c r="K91" s="9" t="inlineStr">
        <is>
          <t>0</t>
        </is>
      </c>
      <c r="L91" s="9" t="inlineStr">
        <is>
          <t>0</t>
        </is>
      </c>
      <c r="M91" s="9" t="inlineStr">
        <is>
          <t>0</t>
        </is>
      </c>
      <c r="N91" s="9" t="inlineStr">
        <is>
          <t>0</t>
        </is>
      </c>
      <c r="O91" s="10" t="inlineStr">
        <is>
          <t>0</t>
        </is>
      </c>
      <c r="P91" s="10" t="inlineStr">
        <is>
          <t>0</t>
        </is>
      </c>
      <c r="Q91" s="10" t="inlineStr">
        <is>
          <t>0</t>
        </is>
      </c>
      <c r="R91" s="10" t="inlineStr">
        <is>
          <t>0</t>
        </is>
      </c>
      <c r="S91" s="10" t="inlineStr">
        <is>
          <t>0</t>
        </is>
      </c>
    </row>
    <row r="92" ht="121" customHeight="1">
      <c r="A92" s="6">
        <f>IFERROR(__xludf.DUMMYFUNCTION("""COMPUTED_VALUE"""),"Trigonometry (Math)")</f>
        <v/>
      </c>
      <c r="B92" s="6">
        <f>IFERROR(__xludf.DUMMYFUNCTION("""COMPUTED_VALUE"""),"Resource")</f>
        <v/>
      </c>
      <c r="C92" s="6">
        <f>IFERROR(__xludf.DUMMYFUNCTION("""COMPUTED_VALUE"""),"a3.JPG")</f>
        <v/>
      </c>
      <c r="D92" s="7">
        <f>IFERROR(__xludf.DUMMYFUNCTION("""COMPUTED_VALUE"""),"No task description")</f>
        <v/>
      </c>
      <c r="E92" s="7">
        <f>IFERROR(__xludf.DUMMYFUNCTION("""COMPUTED_VALUE"""),"image/jpeg – A digital photograph or web image stored in a compressed format, often used for photography and web graphics.")</f>
        <v/>
      </c>
      <c r="F92" s="7" t="inlineStr">
        <is>
          <t>Students learn Trigonometry to measure buildings. Embedded artifacts include a video and an image file.</t>
        </is>
      </c>
      <c r="G92" s="8" t="inlineStr">
        <is>
          <t>1</t>
        </is>
      </c>
      <c r="H92" s="8" t="inlineStr">
        <is>
          <t>0</t>
        </is>
      </c>
      <c r="I92" s="8" t="inlineStr">
        <is>
          <t>0</t>
        </is>
      </c>
      <c r="J92" s="8" t="inlineStr">
        <is>
          <t>0</t>
        </is>
      </c>
      <c r="K92" s="9" t="inlineStr">
        <is>
          <t>0</t>
        </is>
      </c>
      <c r="L92" s="9" t="inlineStr">
        <is>
          <t>0</t>
        </is>
      </c>
      <c r="M92" s="9" t="inlineStr">
        <is>
          <t>0</t>
        </is>
      </c>
      <c r="N92" s="9" t="inlineStr">
        <is>
          <t>0</t>
        </is>
      </c>
      <c r="O92" s="10" t="inlineStr">
        <is>
          <t>0</t>
        </is>
      </c>
      <c r="P92" s="10" t="inlineStr">
        <is>
          <t>0</t>
        </is>
      </c>
      <c r="Q92" s="10" t="inlineStr">
        <is>
          <t>0</t>
        </is>
      </c>
      <c r="R92" s="10" t="inlineStr">
        <is>
          <t>0</t>
        </is>
      </c>
      <c r="S92" s="10" t="inlineStr">
        <is>
          <t>0</t>
        </is>
      </c>
    </row>
    <row r="93" ht="25" customHeight="1">
      <c r="A93" s="6">
        <f>IFERROR(__xludf.DUMMYFUNCTION("""COMPUTED_VALUE"""),"Trigonometry (Math)")</f>
        <v/>
      </c>
      <c r="B93" s="6">
        <f>IFERROR(__xludf.DUMMYFUNCTION("""COMPUTED_VALUE"""),"Space")</f>
        <v/>
      </c>
      <c r="C93" s="6">
        <f>IFERROR(__xludf.DUMMYFUNCTION("""COMPUTED_VALUE"""),"Conceptualisation")</f>
        <v/>
      </c>
      <c r="D93" s="7">
        <f>IFERROR(__xludf.DUMMYFUNCTION("""COMPUTED_VALUE"""),"No task description")</f>
        <v/>
      </c>
      <c r="E93" s="7">
        <f>IFERROR(__xludf.DUMMYFUNCTION("""COMPUTED_VALUE"""),"No artifact embedded")</f>
        <v/>
      </c>
      <c r="F93" s="7" t="inlineStr">
        <is>
          <t>No task descriptions provided; artifacts include video/mp4, image/jpeg, and no artifact in the third item.</t>
        </is>
      </c>
      <c r="G93" s="8" t="inlineStr">
        <is>
          <t>1</t>
        </is>
      </c>
      <c r="H93" s="8" t="inlineStr">
        <is>
          <t>0</t>
        </is>
      </c>
      <c r="I93" s="8" t="inlineStr">
        <is>
          <t>0</t>
        </is>
      </c>
      <c r="J93" s="8" t="inlineStr">
        <is>
          <t>0</t>
        </is>
      </c>
      <c r="K93" s="9" t="inlineStr">
        <is>
          <t>0</t>
        </is>
      </c>
      <c r="L93" s="9" t="inlineStr">
        <is>
          <t>0</t>
        </is>
      </c>
      <c r="M93" s="9" t="inlineStr">
        <is>
          <t>0</t>
        </is>
      </c>
      <c r="N93" s="9" t="inlineStr">
        <is>
          <t>0</t>
        </is>
      </c>
      <c r="O93" s="10" t="inlineStr">
        <is>
          <t>0</t>
        </is>
      </c>
      <c r="P93" s="10" t="inlineStr">
        <is>
          <t>0</t>
        </is>
      </c>
      <c r="Q93" s="10" t="inlineStr">
        <is>
          <t>0</t>
        </is>
      </c>
      <c r="R93" s="10" t="inlineStr">
        <is>
          <t>0</t>
        </is>
      </c>
      <c r="S93" s="10" t="inlineStr">
        <is>
          <t>0</t>
        </is>
      </c>
    </row>
    <row r="94" ht="121" customHeight="1">
      <c r="A94" s="6">
        <f>IFERROR(__xludf.DUMMYFUNCTION("""COMPUTED_VALUE"""),"Trigonometry (Math)")</f>
        <v/>
      </c>
      <c r="B94" s="6">
        <f>IFERROR(__xludf.DUMMYFUNCTION("""COMPUTED_VALUE"""),"Resource")</f>
        <v/>
      </c>
      <c r="C94" s="6">
        <f>IFERROR(__xludf.DUMMYFUNCTION("""COMPUTED_VALUE"""),"img_6501.jpg")</f>
        <v/>
      </c>
      <c r="D94" s="7">
        <f>IFERROR(__xludf.DUMMYFUNCTION("""COMPUTED_VALUE"""),"No task description")</f>
        <v/>
      </c>
      <c r="E94" s="7">
        <f>IFERROR(__xludf.DUMMYFUNCTION("""COMPUTED_VALUE"""),"image/jpeg – A digital photograph or web image stored in a compressed format, often used for photography and web graphics.")</f>
        <v/>
      </c>
      <c r="F94" s="7" t="inlineStr">
        <is>
          <t>No task descriptions are provided. Embedded artifacts include JPEG images in Items 1 and 3.</t>
        </is>
      </c>
      <c r="G94" s="8" t="inlineStr">
        <is>
          <t>1</t>
        </is>
      </c>
      <c r="H94" s="8" t="inlineStr">
        <is>
          <t>0</t>
        </is>
      </c>
      <c r="I94" s="8" t="inlineStr">
        <is>
          <t>0</t>
        </is>
      </c>
      <c r="J94" s="8" t="inlineStr">
        <is>
          <t>0</t>
        </is>
      </c>
      <c r="K94" s="9" t="inlineStr">
        <is>
          <t>0</t>
        </is>
      </c>
      <c r="L94" s="9" t="inlineStr">
        <is>
          <t>0</t>
        </is>
      </c>
      <c r="M94" s="9" t="inlineStr">
        <is>
          <t>0</t>
        </is>
      </c>
      <c r="N94" s="9" t="inlineStr">
        <is>
          <t>0</t>
        </is>
      </c>
      <c r="O94" s="10" t="inlineStr">
        <is>
          <t>0</t>
        </is>
      </c>
      <c r="P94" s="10" t="inlineStr">
        <is>
          <t>0</t>
        </is>
      </c>
      <c r="Q94" s="10" t="inlineStr">
        <is>
          <t>0</t>
        </is>
      </c>
      <c r="R94" s="10" t="inlineStr">
        <is>
          <t>0</t>
        </is>
      </c>
      <c r="S94" s="10" t="inlineStr">
        <is>
          <t>0</t>
        </is>
      </c>
    </row>
    <row r="95" ht="97" customHeight="1">
      <c r="A95" s="6">
        <f>IFERROR(__xludf.DUMMYFUNCTION("""COMPUTED_VALUE"""),"Trigonometry (Math)")</f>
        <v/>
      </c>
      <c r="B95" s="6">
        <f>IFERROR(__xludf.DUMMYFUNCTION("""COMPUTED_VALUE"""),"Resource")</f>
        <v/>
      </c>
      <c r="C95" s="6">
        <f>IFERROR(__xludf.DUMMYFUNCTION("""COMPUTED_VALUE"""),"unit circle.png")</f>
        <v/>
      </c>
      <c r="D95" s="7">
        <f>IFERROR(__xludf.DUMMYFUNCTION("""COMPUTED_VALUE"""),"&lt;p&gt;                                                                   &lt;strong&gt; All About the Unit Circle&lt;/strong&gt; &lt;/p&gt;")</f>
        <v/>
      </c>
      <c r="E95" s="7">
        <f>IFERROR(__xludf.DUMMYFUNCTION("""COMPUTED_VALUE"""),"image/png – A high-quality image with support for transparency, often used in design and web applications.")</f>
        <v/>
      </c>
      <c r="F95" s="7" t="inlineStr">
        <is>
          <t>Students received no task descriptions, but items included embedded artifacts such as images in jpeg and png formats.</t>
        </is>
      </c>
      <c r="G95" s="8" t="inlineStr">
        <is>
          <t>1</t>
        </is>
      </c>
      <c r="H95" s="8" t="inlineStr">
        <is>
          <t>0</t>
        </is>
      </c>
      <c r="I95" s="8" t="inlineStr">
        <is>
          <t>0</t>
        </is>
      </c>
      <c r="J95" s="8" t="inlineStr">
        <is>
          <t>0</t>
        </is>
      </c>
      <c r="K95" s="9" t="inlineStr">
        <is>
          <t>1</t>
        </is>
      </c>
      <c r="L95" s="9" t="inlineStr">
        <is>
          <t>0</t>
        </is>
      </c>
      <c r="M95" s="9" t="inlineStr">
        <is>
          <t>0</t>
        </is>
      </c>
      <c r="N95" s="9" t="inlineStr">
        <is>
          <t>0</t>
        </is>
      </c>
      <c r="O95" s="10" t="inlineStr">
        <is>
          <t>0</t>
        </is>
      </c>
      <c r="P95" s="10" t="inlineStr">
        <is>
          <t>0</t>
        </is>
      </c>
      <c r="Q95" s="10" t="inlineStr">
        <is>
          <t>0</t>
        </is>
      </c>
      <c r="R95" s="10" t="inlineStr">
        <is>
          <t>0</t>
        </is>
      </c>
      <c r="S95" s="10" t="inlineStr">
        <is>
          <t>0</t>
        </is>
      </c>
    </row>
    <row r="96" ht="409.5" customHeight="1">
      <c r="A96" s="6">
        <f>IFERROR(__xludf.DUMMYFUNCTION("""COMPUTED_VALUE"""),"Trigonometry (Math)")</f>
        <v/>
      </c>
      <c r="B96" s="6">
        <f>IFERROR(__xludf.DUMMYFUNCTION("""COMPUTED_VALUE"""),"Resource")</f>
        <v/>
      </c>
      <c r="C96" s="6">
        <f>IFERROR(__xludf.DUMMYFUNCTION("""COMPUTED_VALUE"""),"concept.graasp")</f>
        <v/>
      </c>
      <c r="D96" s="7">
        <f>IFERROR(__xludf.DUMMYFUNCTION("""COMPUTED_VALUE"""),"&lt;p&gt;With the unit circle, we see this correspondence (or direct relationship) by definition between the functions sin θ and cos θ and the y-coordinate and the x-coordinate, respectively, of point P much more clearly. When considering the unit circle, we’re"&amp;" dealing with a circle whose center is at the origin O (0,0) and whose radius is one unit in length.  &lt;/p&gt;&lt;p&gt;In the unit circle, the terminal side of any angle θ in standard position intersects the unit circle at a point P(x,y), so that the length of segm"&amp;"ent OP = r = 1.  Now, substituting r = 1 into the definitions of sine and cosine, we have the following results:&lt;br&gt;sin θ = y/r &lt;br&gt;       = y/1&lt;br&gt;sin θ = y&lt;br&gt; cos θ = x/r &lt;br&gt;       = x/1 &lt;br&gt;cos θ = x&lt;/p&gt;")</f>
        <v/>
      </c>
      <c r="E96" s="7">
        <f>IFERROR(__xludf.DUMMYFUNCTION("""COMPUTED_VALUE"""),"No artifact embedded")</f>
        <v/>
      </c>
      <c r="F96" s="7" t="inlineStr">
        <is>
          <t>Students received tasks with descriptions and embedded images in JPEG or PNG formats, related to the unit circle concept in mathematics.</t>
        </is>
      </c>
      <c r="G96" s="8" t="inlineStr">
        <is>
          <t>1</t>
        </is>
      </c>
      <c r="H96" s="8" t="inlineStr">
        <is>
          <t>0</t>
        </is>
      </c>
      <c r="I96" s="8" t="inlineStr">
        <is>
          <t>0</t>
        </is>
      </c>
      <c r="J96" s="8" t="inlineStr">
        <is>
          <t>0</t>
        </is>
      </c>
      <c r="K96" s="9" t="inlineStr">
        <is>
          <t>0</t>
        </is>
      </c>
      <c r="L96" s="9" t="inlineStr">
        <is>
          <t>0</t>
        </is>
      </c>
      <c r="M96" s="9" t="inlineStr">
        <is>
          <t>0</t>
        </is>
      </c>
      <c r="N96" s="9" t="inlineStr">
        <is>
          <t>0</t>
        </is>
      </c>
      <c r="O96" s="10" t="inlineStr">
        <is>
          <t>0</t>
        </is>
      </c>
      <c r="P96" s="10" t="inlineStr">
        <is>
          <t>0</t>
        </is>
      </c>
      <c r="Q96" s="10" t="inlineStr">
        <is>
          <t>0</t>
        </is>
      </c>
      <c r="R96" s="10" t="inlineStr">
        <is>
          <t>0</t>
        </is>
      </c>
      <c r="S96" s="10" t="inlineStr">
        <is>
          <t>0</t>
        </is>
      </c>
    </row>
    <row r="97" ht="25" customHeight="1">
      <c r="A97" s="6">
        <f>IFERROR(__xludf.DUMMYFUNCTION("""COMPUTED_VALUE"""),"Trigonometry (Math)")</f>
        <v/>
      </c>
      <c r="B97" s="6">
        <f>IFERROR(__xludf.DUMMYFUNCTION("""COMPUTED_VALUE"""),"Space")</f>
        <v/>
      </c>
      <c r="C97" s="6">
        <f>IFERROR(__xludf.DUMMYFUNCTION("""COMPUTED_VALUE"""),"Investigation")</f>
        <v/>
      </c>
      <c r="D97" s="7">
        <f>IFERROR(__xludf.DUMMYFUNCTION("""COMPUTED_VALUE"""),"No task description")</f>
        <v/>
      </c>
      <c r="E97" s="7">
        <f>IFERROR(__xludf.DUMMYFUNCTION("""COMPUTED_VALUE"""),"No artifact embedded")</f>
        <v/>
      </c>
      <c r="F97" s="7" t="inlineStr">
        <is>
          <t>Students learn about the unit circle, with an image in Item 1 and mathematical relationships in Item 2.</t>
        </is>
      </c>
      <c r="G97" s="8" t="inlineStr">
        <is>
          <t>1</t>
        </is>
      </c>
      <c r="H97" s="8" t="inlineStr">
        <is>
          <t>0</t>
        </is>
      </c>
      <c r="I97" s="8" t="inlineStr">
        <is>
          <t>0</t>
        </is>
      </c>
      <c r="J97" s="8" t="inlineStr">
        <is>
          <t>0</t>
        </is>
      </c>
      <c r="K97" s="9" t="inlineStr">
        <is>
          <t>0</t>
        </is>
      </c>
      <c r="L97" s="9" t="inlineStr">
        <is>
          <t>0</t>
        </is>
      </c>
      <c r="M97" s="9" t="inlineStr">
        <is>
          <t>0</t>
        </is>
      </c>
      <c r="N97" s="9" t="inlineStr">
        <is>
          <t>0</t>
        </is>
      </c>
      <c r="O97" s="10" t="inlineStr">
        <is>
          <t>0</t>
        </is>
      </c>
      <c r="P97" s="10" t="inlineStr">
        <is>
          <t>0</t>
        </is>
      </c>
      <c r="Q97" s="10" t="inlineStr">
        <is>
          <t>0</t>
        </is>
      </c>
      <c r="R97" s="10" t="inlineStr">
        <is>
          <t>0</t>
        </is>
      </c>
      <c r="S97" s="10" t="inlineStr">
        <is>
          <t>0</t>
        </is>
      </c>
    </row>
    <row r="98" ht="169" customHeight="1">
      <c r="A98" s="6">
        <f>IFERROR(__xludf.DUMMYFUNCTION("""COMPUTED_VALUE"""),"Trigonometry (Math)")</f>
        <v/>
      </c>
      <c r="B98" s="6">
        <f>IFERROR(__xludf.DUMMYFUNCTION("""COMPUTED_VALUE"""),"Application")</f>
        <v/>
      </c>
      <c r="C98" s="6">
        <f>IFERROR(__xludf.DUMMYFUNCTION("""COMPUTED_VALUE"""),"Trig Tour")</f>
        <v/>
      </c>
      <c r="D98" s="7">
        <f>IFERROR(__xludf.DUMMYFUNCTION("""COMPUTED_VALUE"""),"&lt;p&gt;Explore the Simulation by moving the red dot and write down your observation below;&lt;/p&gt;")</f>
        <v/>
      </c>
      <c r="E98" s="7">
        <f>IFERROR(__xludf.DUMMYFUNCTION("""COMPUTED_VALUE"""),"Golabz app/lab: ""&lt;p&gt;Take a tour of trigonometry using degrees or radians! Look for patterns in the values and on the graph when you change the value of theta. Compare the graphs of sine, cosine, and tangent.&lt;/p&gt;\r\n""")</f>
        <v/>
      </c>
      <c r="F98" s="7" t="inlineStr">
        <is>
          <t>Students explore unit circle, trig functions, and simulations, with observations and comparisons of sine, cosine, and tangent graphs.</t>
        </is>
      </c>
      <c r="G98" s="8" t="inlineStr">
        <is>
          <t>0</t>
        </is>
      </c>
      <c r="H98" s="8" t="inlineStr">
        <is>
          <t>1</t>
        </is>
      </c>
      <c r="I98" s="8" t="inlineStr">
        <is>
          <t>1</t>
        </is>
      </c>
      <c r="J98" s="8" t="inlineStr">
        <is>
          <t>1</t>
        </is>
      </c>
      <c r="K98" s="9" t="inlineStr">
        <is>
          <t>1</t>
        </is>
      </c>
      <c r="L98" s="9" t="inlineStr">
        <is>
          <t>1</t>
        </is>
      </c>
      <c r="M98" s="9" t="inlineStr">
        <is>
          <t>0</t>
        </is>
      </c>
      <c r="N98" s="9" t="inlineStr">
        <is>
          <t>0</t>
        </is>
      </c>
      <c r="O98" s="10" t="inlineStr">
        <is>
          <t>1</t>
        </is>
      </c>
      <c r="P98" s="10" t="inlineStr">
        <is>
          <t>1</t>
        </is>
      </c>
      <c r="Q98" s="10" t="inlineStr">
        <is>
          <t>1</t>
        </is>
      </c>
      <c r="R98" s="10" t="inlineStr">
        <is>
          <t>1</t>
        </is>
      </c>
      <c r="S98" s="10" t="inlineStr">
        <is>
          <t>0</t>
        </is>
      </c>
    </row>
    <row r="99" ht="329" customHeight="1">
      <c r="A99" s="6">
        <f>IFERROR(__xludf.DUMMYFUNCTION("""COMPUTED_VALUE"""),"Trigonometry (Math)")</f>
        <v/>
      </c>
      <c r="B99" s="6">
        <f>IFERROR(__xludf.DUMMYFUNCTION("""COMPUTED_VALUE"""),"Application")</f>
        <v/>
      </c>
      <c r="C99" s="6">
        <f>IFERROR(__xludf.DUMMYFUNCTION("""COMPUTED_VALUE"""),"Input Box (3)")</f>
        <v/>
      </c>
      <c r="D99" s="7">
        <f>IFERROR(__xludf.DUMMYFUNCTION("""COMPUTED_VALUE"""),"&lt;p&gt;From the unit circle on the lab, what is the radius of the circle and how do you know?&lt;/p&gt;")</f>
        <v/>
      </c>
      <c r="E9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9" s="7" t="inlineStr">
        <is>
          <t>Students are instructed to explore a simulation, record observations, and answer questions about a unit circle using the Golabz app/lab. Embedded artifacts include interactive labs and note-taking tools.</t>
        </is>
      </c>
      <c r="G99" s="8" t="inlineStr">
        <is>
          <t>0</t>
        </is>
      </c>
      <c r="H99" s="8" t="inlineStr">
        <is>
          <t>1</t>
        </is>
      </c>
      <c r="I99" s="8" t="inlineStr">
        <is>
          <t>1</t>
        </is>
      </c>
      <c r="J99" s="8" t="inlineStr">
        <is>
          <t>1</t>
        </is>
      </c>
      <c r="K99" s="9" t="inlineStr">
        <is>
          <t>1</t>
        </is>
      </c>
      <c r="L99" s="9" t="inlineStr">
        <is>
          <t>1</t>
        </is>
      </c>
      <c r="M99" s="9" t="inlineStr">
        <is>
          <t>0</t>
        </is>
      </c>
      <c r="N99" s="9" t="inlineStr">
        <is>
          <t>1</t>
        </is>
      </c>
      <c r="O99" s="10" t="inlineStr">
        <is>
          <t>1</t>
        </is>
      </c>
      <c r="P99" s="10" t="inlineStr">
        <is>
          <t>1</t>
        </is>
      </c>
      <c r="Q99" s="10" t="inlineStr">
        <is>
          <t>1</t>
        </is>
      </c>
      <c r="R99" s="10" t="inlineStr">
        <is>
          <t>1</t>
        </is>
      </c>
      <c r="S99" s="10" t="inlineStr">
        <is>
          <t>1</t>
        </is>
      </c>
    </row>
    <row r="100" ht="329" customHeight="1">
      <c r="A100" s="6">
        <f>IFERROR(__xludf.DUMMYFUNCTION("""COMPUTED_VALUE"""),"Trigonometry (Math)")</f>
        <v/>
      </c>
      <c r="B100" s="6">
        <f>IFERROR(__xludf.DUMMYFUNCTION("""COMPUTED_VALUE"""),"Application")</f>
        <v/>
      </c>
      <c r="C100" s="6">
        <f>IFERROR(__xludf.DUMMYFUNCTION("""COMPUTED_VALUE"""),"Input Box (4)")</f>
        <v/>
      </c>
      <c r="D100" s="7">
        <f>IFERROR(__xludf.DUMMYFUNCTION("""COMPUTED_VALUE"""),"&lt;p&gt;Click on any Trigonometric function (either sin, cos or tan) and move the red dot in an anti-clock wise direction to any angle of your choice between 0 and 90 degrees(Please state the angle you chose), then record below in the input box the unit size o"&amp;"f each side of the right angle triangle?  That is the hypotenuse, Opposite and Adjacent.&lt;/p&gt;")</f>
        <v/>
      </c>
      <c r="E1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0" s="7" t="inlineStr">
        <is>
          <t>Students explore trigonometry simulations, record observations, and answer questions about unit circles and right triangles using Golabz app/lab tools.</t>
        </is>
      </c>
      <c r="G100" s="8" t="inlineStr">
        <is>
          <t>0</t>
        </is>
      </c>
      <c r="H100" s="8" t="inlineStr">
        <is>
          <t>1</t>
        </is>
      </c>
      <c r="I100" s="8" t="inlineStr">
        <is>
          <t>1</t>
        </is>
      </c>
      <c r="J100" s="8" t="inlineStr">
        <is>
          <t>1</t>
        </is>
      </c>
      <c r="K100" s="9" t="inlineStr">
        <is>
          <t>1</t>
        </is>
      </c>
      <c r="L100" s="9" t="inlineStr">
        <is>
          <t>1</t>
        </is>
      </c>
      <c r="M100" s="9" t="inlineStr">
        <is>
          <t>0</t>
        </is>
      </c>
      <c r="N100" s="9" t="inlineStr">
        <is>
          <t>0</t>
        </is>
      </c>
      <c r="O100" s="10" t="inlineStr">
        <is>
          <t>1</t>
        </is>
      </c>
      <c r="P100" s="10" t="inlineStr">
        <is>
          <t>0</t>
        </is>
      </c>
      <c r="Q100" s="10" t="inlineStr">
        <is>
          <t>1</t>
        </is>
      </c>
      <c r="R100" s="10" t="inlineStr">
        <is>
          <t>0</t>
        </is>
      </c>
      <c r="S100" s="10" t="inlineStr">
        <is>
          <t>0</t>
        </is>
      </c>
    </row>
    <row r="101" ht="329" customHeight="1">
      <c r="A101" s="6">
        <f>IFERROR(__xludf.DUMMYFUNCTION("""COMPUTED_VALUE"""),"Trigonometry (Math)")</f>
        <v/>
      </c>
      <c r="B101" s="6">
        <f>IFERROR(__xludf.DUMMYFUNCTION("""COMPUTED_VALUE"""),"Application")</f>
        <v/>
      </c>
      <c r="C101" s="6">
        <f>IFERROR(__xludf.DUMMYFUNCTION("""COMPUTED_VALUE"""),"Input Box")</f>
        <v/>
      </c>
      <c r="D101" s="7">
        <f>IFERROR(__xludf.DUMMYFUNCTION("""COMPUTED_VALUE"""),"&lt;p&gt;Click on sin, then look at the values of SIN \theta as you move the red dot in an anti-clock direction round about the circle. What do you notice?&lt;/p&gt;")</f>
        <v/>
      </c>
      <c r="E10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1" s="7" t="inlineStr">
        <is>
          <t>Students explore trigonometry using a unit circle lab, recording observations and notes in an input box within the Golabz app.</t>
        </is>
      </c>
      <c r="G101" s="8" t="inlineStr">
        <is>
          <t>0</t>
        </is>
      </c>
      <c r="H101" s="8" t="inlineStr">
        <is>
          <t>1</t>
        </is>
      </c>
      <c r="I101" s="8" t="inlineStr">
        <is>
          <t>1</t>
        </is>
      </c>
      <c r="J101" s="8" t="inlineStr">
        <is>
          <t>1</t>
        </is>
      </c>
      <c r="K101" s="9" t="inlineStr">
        <is>
          <t>1</t>
        </is>
      </c>
      <c r="L101" s="9" t="inlineStr">
        <is>
          <t>0</t>
        </is>
      </c>
      <c r="M101" s="9" t="inlineStr">
        <is>
          <t>0</t>
        </is>
      </c>
      <c r="N101" s="9" t="inlineStr">
        <is>
          <t>1</t>
        </is>
      </c>
      <c r="O101" s="10" t="inlineStr">
        <is>
          <t>1</t>
        </is>
      </c>
      <c r="P101" s="10" t="inlineStr">
        <is>
          <t>1</t>
        </is>
      </c>
      <c r="Q101" s="10" t="inlineStr">
        <is>
          <t>1</t>
        </is>
      </c>
      <c r="R101" s="10" t="inlineStr">
        <is>
          <t>0</t>
        </is>
      </c>
      <c r="S101" s="10" t="inlineStr">
        <is>
          <t>0</t>
        </is>
      </c>
    </row>
    <row r="102" ht="329" customHeight="1">
      <c r="A102" s="6">
        <f>IFERROR(__xludf.DUMMYFUNCTION("""COMPUTED_VALUE"""),"Trigonometry (Math)")</f>
        <v/>
      </c>
      <c r="B102" s="6">
        <f>IFERROR(__xludf.DUMMYFUNCTION("""COMPUTED_VALUE"""),"Application")</f>
        <v/>
      </c>
      <c r="C102" s="6">
        <f>IFERROR(__xludf.DUMMYFUNCTION("""COMPUTED_VALUE"""),"Input Box (1)")</f>
        <v/>
      </c>
      <c r="D102" s="7">
        <f>IFERROR(__xludf.DUMMYFUNCTION("""COMPUTED_VALUE"""),"&lt;p&gt;Click on cos, then look at the values of COS theta as you move the red dot in an anti-clock direction round about the circle. What do you notice?&lt;/p&gt;")</f>
        <v/>
      </c>
      <c r="E1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2" s="7" t="inlineStr">
        <is>
          <t>Students interact with trigonometric functions and record observations using the Golabz app/lab, which allows note-taking and collaboration.</t>
        </is>
      </c>
      <c r="G102" s="8" t="inlineStr">
        <is>
          <t>0</t>
        </is>
      </c>
      <c r="H102" s="8" t="inlineStr">
        <is>
          <t>1</t>
        </is>
      </c>
      <c r="I102" s="8" t="inlineStr">
        <is>
          <t>1</t>
        </is>
      </c>
      <c r="J102" s="8" t="inlineStr">
        <is>
          <t>1</t>
        </is>
      </c>
      <c r="K102" s="9" t="inlineStr">
        <is>
          <t>1</t>
        </is>
      </c>
      <c r="L102" s="9" t="inlineStr">
        <is>
          <t>0</t>
        </is>
      </c>
      <c r="M102" s="9" t="inlineStr">
        <is>
          <t>0</t>
        </is>
      </c>
      <c r="N102" s="9" t="inlineStr">
        <is>
          <t>1</t>
        </is>
      </c>
      <c r="O102" s="10" t="inlineStr">
        <is>
          <t>1</t>
        </is>
      </c>
      <c r="P102" s="10" t="inlineStr">
        <is>
          <t>1</t>
        </is>
      </c>
      <c r="Q102" s="10" t="inlineStr">
        <is>
          <t>1</t>
        </is>
      </c>
      <c r="R102" s="10" t="inlineStr">
        <is>
          <t>0</t>
        </is>
      </c>
      <c r="S102" s="10" t="inlineStr">
        <is>
          <t>0</t>
        </is>
      </c>
    </row>
    <row r="103" ht="329" customHeight="1">
      <c r="A103" s="6">
        <f>IFERROR(__xludf.DUMMYFUNCTION("""COMPUTED_VALUE"""),"Trigonometry (Math)")</f>
        <v/>
      </c>
      <c r="B103" s="6">
        <f>IFERROR(__xludf.DUMMYFUNCTION("""COMPUTED_VALUE"""),"Application")</f>
        <v/>
      </c>
      <c r="C103" s="6">
        <f>IFERROR(__xludf.DUMMYFUNCTION("""COMPUTED_VALUE"""),"Input Box (2)")</f>
        <v/>
      </c>
      <c r="D103" s="7">
        <f>IFERROR(__xludf.DUMMYFUNCTION("""COMPUTED_VALUE"""),"&lt;p&gt;Click on tan, then look at the values of TAN theta as you move the red dot in an anti-clock direction round about the circle. What do you notice?&lt;/p&gt;")</f>
        <v/>
      </c>
      <c r="E1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3" s="7" t="inlineStr">
        <is>
          <t>Students click on sin, cos, or tan and observe value changes as they move a red dot around a circle, using a note-taking app with optional collaboration mode.</t>
        </is>
      </c>
      <c r="G103" s="8" t="inlineStr">
        <is>
          <t>0</t>
        </is>
      </c>
      <c r="H103" s="8" t="inlineStr">
        <is>
          <t>1</t>
        </is>
      </c>
      <c r="I103" s="8" t="inlineStr">
        <is>
          <t>1</t>
        </is>
      </c>
      <c r="J103" s="8" t="inlineStr">
        <is>
          <t>1</t>
        </is>
      </c>
      <c r="K103" s="9" t="inlineStr">
        <is>
          <t>1</t>
        </is>
      </c>
      <c r="L103" s="9" t="inlineStr">
        <is>
          <t>0</t>
        </is>
      </c>
      <c r="M103" s="9" t="inlineStr">
        <is>
          <t>0</t>
        </is>
      </c>
      <c r="N103" s="9" t="inlineStr">
        <is>
          <t>1</t>
        </is>
      </c>
      <c r="O103" s="10" t="inlineStr">
        <is>
          <t>1</t>
        </is>
      </c>
      <c r="P103" s="10" t="inlineStr">
        <is>
          <t>1</t>
        </is>
      </c>
      <c r="Q103" s="10" t="inlineStr">
        <is>
          <t>1</t>
        </is>
      </c>
      <c r="R103" s="10" t="inlineStr">
        <is>
          <t>0</t>
        </is>
      </c>
      <c r="S103" s="10" t="inlineStr">
        <is>
          <t>0</t>
        </is>
      </c>
    </row>
    <row r="104" ht="217" customHeight="1">
      <c r="A104" s="6">
        <f>IFERROR(__xludf.DUMMYFUNCTION("""COMPUTED_VALUE"""),"Trigonometry (Math)")</f>
        <v/>
      </c>
      <c r="B104" s="6">
        <f>IFERROR(__xludf.DUMMYFUNCTION("""COMPUTED_VALUE"""),"Resource")</f>
        <v/>
      </c>
      <c r="C104" s="6">
        <f>IFERROR(__xludf.DUMMYFUNCTION("""COMPUTED_VALUE"""),"table text.graasp")</f>
        <v/>
      </c>
      <c r="D104" s="7">
        <f>IFERROR(__xludf.DUMMYFUNCTION("""COMPUTED_VALUE"""),"&lt;p&gt;Now Click on the Special Angles Button, then record the values of the hypotenuse, Adjacent and Opposite sides of the various trigonometry functions stated in the below table and give your answer for each. Sin 30 has been used as an example for you to f"&amp;"ollow.&lt;/p&gt;")</f>
        <v/>
      </c>
      <c r="E104" s="7">
        <f>IFERROR(__xludf.DUMMYFUNCTION("""COMPUTED_VALUE"""),"No artifact embedded")</f>
        <v/>
      </c>
      <c r="F104" s="7" t="inlineStr">
        <is>
          <t>Students are instructed to explore trigonometric values using a Golabz app/lab, with notes taken via an input box that can be shared with teachers.</t>
        </is>
      </c>
      <c r="G104" s="8" t="inlineStr">
        <is>
          <t>0</t>
        </is>
      </c>
      <c r="H104" s="8" t="inlineStr">
        <is>
          <t>1</t>
        </is>
      </c>
      <c r="I104" s="8" t="inlineStr">
        <is>
          <t>1</t>
        </is>
      </c>
      <c r="J104" s="8" t="inlineStr">
        <is>
          <t>1</t>
        </is>
      </c>
      <c r="K104" s="9" t="inlineStr">
        <is>
          <t>1</t>
        </is>
      </c>
      <c r="L104" s="9" t="inlineStr">
        <is>
          <t>1</t>
        </is>
      </c>
      <c r="M104" s="9" t="inlineStr">
        <is>
          <t>0</t>
        </is>
      </c>
      <c r="N104" s="9" t="inlineStr">
        <is>
          <t>0</t>
        </is>
      </c>
      <c r="O104" s="10" t="inlineStr">
        <is>
          <t>0</t>
        </is>
      </c>
      <c r="P104" s="10" t="inlineStr">
        <is>
          <t>0</t>
        </is>
      </c>
      <c r="Q104" s="10" t="inlineStr">
        <is>
          <t>1</t>
        </is>
      </c>
      <c r="R104" s="10" t="inlineStr">
        <is>
          <t>0</t>
        </is>
      </c>
      <c r="S104" s="10" t="inlineStr">
        <is>
          <t>0</t>
        </is>
      </c>
    </row>
    <row r="105" ht="97" customHeight="1">
      <c r="A105" s="6">
        <f>IFERROR(__xludf.DUMMYFUNCTION("""COMPUTED_VALUE"""),"Trigonometry (Math)")</f>
        <v/>
      </c>
      <c r="B105" s="6">
        <f>IFERROR(__xludf.DUMMYFUNCTION("""COMPUTED_VALUE"""),"Resource")</f>
        <v/>
      </c>
      <c r="C105" s="6">
        <f>IFERROR(__xludf.DUMMYFUNCTION("""COMPUTED_VALUE"""),"Untitled.png2.png")</f>
        <v/>
      </c>
      <c r="D105" s="7">
        <f>IFERROR(__xludf.DUMMYFUNCTION("""COMPUTED_VALUE"""),"No task description")</f>
        <v/>
      </c>
      <c r="E105" s="7">
        <f>IFERROR(__xludf.DUMMYFUNCTION("""COMPUTED_VALUE"""),"image/png – A high-quality image with support for transparency, often used in design and web applications.")</f>
        <v/>
      </c>
      <c r="F105" s="7" t="inlineStr">
        <is>
          <t>Students are instructed to explore trigonometry concepts using an app, recording values and observations. Embedded artifacts include a note-taking app and an image file.</t>
        </is>
      </c>
      <c r="G105" s="8" t="inlineStr">
        <is>
          <t>1</t>
        </is>
      </c>
      <c r="H105" s="8" t="inlineStr">
        <is>
          <t>0</t>
        </is>
      </c>
      <c r="I105" s="8" t="inlineStr">
        <is>
          <t>0</t>
        </is>
      </c>
      <c r="J105" s="8" t="inlineStr">
        <is>
          <t>0</t>
        </is>
      </c>
      <c r="K105" s="9" t="inlineStr">
        <is>
          <t>0</t>
        </is>
      </c>
      <c r="L105" s="9" t="inlineStr">
        <is>
          <t>0</t>
        </is>
      </c>
      <c r="M105" s="9" t="inlineStr">
        <is>
          <t>0</t>
        </is>
      </c>
      <c r="N105" s="9" t="inlineStr">
        <is>
          <t>0</t>
        </is>
      </c>
      <c r="O105" s="10" t="inlineStr">
        <is>
          <t>0</t>
        </is>
      </c>
      <c r="P105" s="10" t="inlineStr">
        <is>
          <t>0</t>
        </is>
      </c>
      <c r="Q105" s="10" t="inlineStr">
        <is>
          <t>0</t>
        </is>
      </c>
      <c r="R105" s="10" t="inlineStr">
        <is>
          <t>0</t>
        </is>
      </c>
      <c r="S105" s="10" t="inlineStr">
        <is>
          <t>0</t>
        </is>
      </c>
    </row>
    <row r="106" ht="409.5" customHeight="1">
      <c r="A106" s="6">
        <f>IFERROR(__xludf.DUMMYFUNCTION("""COMPUTED_VALUE"""),"Trigonometry (Math)")</f>
        <v/>
      </c>
      <c r="B106" s="6">
        <f>IFERROR(__xludf.DUMMYFUNCTION("""COMPUTED_VALUE"""),"Application")</f>
        <v/>
      </c>
      <c r="C106" s="6">
        <f>IFERROR(__xludf.DUMMYFUNCTION("""COMPUTED_VALUE"""),"Table Tool")</f>
        <v/>
      </c>
      <c r="D106" s="7">
        <f>IFERROR(__xludf.DUMMYFUNCTION("""COMPUTED_VALUE"""),"No task description")</f>
        <v/>
      </c>
      <c r="E10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06" s="7" t="inlineStr">
        <is>
          <t>Students record trigonometry values. Embedded artifacts include an image and a table tool for data entry.</t>
        </is>
      </c>
      <c r="G106" s="8" t="inlineStr">
        <is>
          <t>0</t>
        </is>
      </c>
      <c r="H106" s="8" t="inlineStr">
        <is>
          <t>1</t>
        </is>
      </c>
      <c r="I106" s="8" t="inlineStr">
        <is>
          <t>1</t>
        </is>
      </c>
      <c r="J106" s="8" t="inlineStr">
        <is>
          <t>1</t>
        </is>
      </c>
      <c r="K106" s="9" t="inlineStr">
        <is>
          <t>0</t>
        </is>
      </c>
      <c r="L106" s="9" t="inlineStr">
        <is>
          <t>1</t>
        </is>
      </c>
      <c r="M106" s="9" t="inlineStr">
        <is>
          <t>1</t>
        </is>
      </c>
      <c r="N106" s="9" t="inlineStr">
        <is>
          <t>1</t>
        </is>
      </c>
      <c r="O106" s="10" t="inlineStr">
        <is>
          <t>0</t>
        </is>
      </c>
      <c r="P106" s="10" t="inlineStr">
        <is>
          <t>0</t>
        </is>
      </c>
      <c r="Q106" s="10" t="inlineStr">
        <is>
          <t>0</t>
        </is>
      </c>
      <c r="R106" s="10" t="inlineStr">
        <is>
          <t>0</t>
        </is>
      </c>
      <c r="S106" s="10" t="inlineStr">
        <is>
          <t>0</t>
        </is>
      </c>
    </row>
    <row r="107" ht="25" customHeight="1">
      <c r="A107" s="6">
        <f>IFERROR(__xludf.DUMMYFUNCTION("""COMPUTED_VALUE"""),"Trigonometry (Math)")</f>
        <v/>
      </c>
      <c r="B107" s="6">
        <f>IFERROR(__xludf.DUMMYFUNCTION("""COMPUTED_VALUE"""),"Resource")</f>
        <v/>
      </c>
      <c r="C107" s="6">
        <f>IFERROR(__xludf.DUMMYFUNCTION("""COMPUTED_VALUE"""),"investigate.graasp")</f>
        <v/>
      </c>
      <c r="D107" s="7">
        <f>IFERROR(__xludf.DUMMYFUNCTION("""COMPUTED_VALUE"""),"No task description")</f>
        <v/>
      </c>
      <c r="E107" s="7">
        <f>IFERROR(__xludf.DUMMYFUNCTION("""COMPUTED_VALUE"""),"No artifact embedded")</f>
        <v/>
      </c>
      <c r="F107" s="7" t="inlineStr">
        <is>
          <t>No task descriptions provided. Embedded artifacts include an image and a table tool app with collaboration features.</t>
        </is>
      </c>
      <c r="G107" s="8" t="inlineStr">
        <is>
          <t>1</t>
        </is>
      </c>
      <c r="H107" s="8" t="inlineStr">
        <is>
          <t>0</t>
        </is>
      </c>
      <c r="I107" s="8" t="inlineStr">
        <is>
          <t>0</t>
        </is>
      </c>
      <c r="J107" s="8" t="inlineStr">
        <is>
          <t>0</t>
        </is>
      </c>
      <c r="K107" s="9" t="inlineStr">
        <is>
          <t>0</t>
        </is>
      </c>
      <c r="L107" s="9" t="inlineStr">
        <is>
          <t>0</t>
        </is>
      </c>
      <c r="M107" s="9" t="inlineStr">
        <is>
          <t>0</t>
        </is>
      </c>
      <c r="N107" s="9" t="inlineStr">
        <is>
          <t>0</t>
        </is>
      </c>
      <c r="O107" s="10" t="inlineStr">
        <is>
          <t>0</t>
        </is>
      </c>
      <c r="P107" s="10" t="inlineStr">
        <is>
          <t>0</t>
        </is>
      </c>
      <c r="Q107" s="10" t="inlineStr">
        <is>
          <t>0</t>
        </is>
      </c>
      <c r="R107" s="10" t="inlineStr">
        <is>
          <t>0</t>
        </is>
      </c>
      <c r="S107" s="10" t="inlineStr">
        <is>
          <t>0</t>
        </is>
      </c>
    </row>
    <row r="108" ht="25" customHeight="1">
      <c r="A108" s="6">
        <f>IFERROR(__xludf.DUMMYFUNCTION("""COMPUTED_VALUE"""),"Trigonometry (Math)")</f>
        <v/>
      </c>
      <c r="B108" s="6">
        <f>IFERROR(__xludf.DUMMYFUNCTION("""COMPUTED_VALUE"""),"Space")</f>
        <v/>
      </c>
      <c r="C108" s="6">
        <f>IFERROR(__xludf.DUMMYFUNCTION("""COMPUTED_VALUE"""),"Conclusion")</f>
        <v/>
      </c>
      <c r="D108" s="7">
        <f>IFERROR(__xludf.DUMMYFUNCTION("""COMPUTED_VALUE"""),"No task description")</f>
        <v/>
      </c>
      <c r="E108" s="7">
        <f>IFERROR(__xludf.DUMMYFUNCTION("""COMPUTED_VALUE"""),"No artifact embedded")</f>
        <v/>
      </c>
      <c r="F108" s="7" t="inlineStr">
        <is>
          <t>No task descriptions provided. Embedded artifacts include Golabz app/lab instructions for using the table tool and collaboration mode.</t>
        </is>
      </c>
      <c r="G108" s="8" t="inlineStr">
        <is>
          <t>1</t>
        </is>
      </c>
      <c r="H108" s="8" t="inlineStr">
        <is>
          <t>0</t>
        </is>
      </c>
      <c r="I108" s="8" t="inlineStr">
        <is>
          <t>0</t>
        </is>
      </c>
      <c r="J108" s="8" t="inlineStr">
        <is>
          <t>0</t>
        </is>
      </c>
      <c r="K108" s="9" t="inlineStr">
        <is>
          <t>0</t>
        </is>
      </c>
      <c r="L108" s="9" t="inlineStr">
        <is>
          <t>0</t>
        </is>
      </c>
      <c r="M108" s="9" t="inlineStr">
        <is>
          <t>0</t>
        </is>
      </c>
      <c r="N108" s="9" t="inlineStr">
        <is>
          <t>0</t>
        </is>
      </c>
      <c r="O108" s="10" t="inlineStr">
        <is>
          <t>0</t>
        </is>
      </c>
      <c r="P108" s="10" t="inlineStr">
        <is>
          <t>0</t>
        </is>
      </c>
      <c r="Q108" s="10" t="inlineStr">
        <is>
          <t>0</t>
        </is>
      </c>
      <c r="R108" s="10" t="inlineStr">
        <is>
          <t>0</t>
        </is>
      </c>
      <c r="S108" s="10" t="inlineStr">
        <is>
          <t>0</t>
        </is>
      </c>
    </row>
    <row r="109" ht="121" customHeight="1">
      <c r="A109" s="6">
        <f>IFERROR(__xludf.DUMMYFUNCTION("""COMPUTED_VALUE"""),"Trigonometry (Math)")</f>
        <v/>
      </c>
      <c r="B109" s="6">
        <f>IFERROR(__xludf.DUMMYFUNCTION("""COMPUTED_VALUE"""),"Resource")</f>
        <v/>
      </c>
      <c r="C109" s="6">
        <f>IFERROR(__xludf.DUMMYFUNCTION("""COMPUTED_VALUE"""),"mathematics-in-our-daily-life-21-638.jpg")</f>
        <v/>
      </c>
      <c r="D109" s="7">
        <f>IFERROR(__xludf.DUMMYFUNCTION("""COMPUTED_VALUE"""),"No task description")</f>
        <v/>
      </c>
      <c r="E109" s="7">
        <f>IFERROR(__xludf.DUMMYFUNCTION("""COMPUTED_VALUE"""),"image/jpeg – A digital photograph or web image stored in a compressed format, often used for photography and web graphics.")</f>
        <v/>
      </c>
      <c r="F109" s="7" t="inlineStr">
        <is>
          <t>No instructions provided; only Item3 has an embedded artifact, a JPEG image.</t>
        </is>
      </c>
      <c r="G109" s="8" t="inlineStr">
        <is>
          <t>1</t>
        </is>
      </c>
      <c r="H109" s="8" t="inlineStr">
        <is>
          <t>0</t>
        </is>
      </c>
      <c r="I109" s="8" t="inlineStr">
        <is>
          <t>0</t>
        </is>
      </c>
      <c r="J109" s="8" t="inlineStr">
        <is>
          <t>0</t>
        </is>
      </c>
      <c r="K109" s="9" t="inlineStr">
        <is>
          <t>0</t>
        </is>
      </c>
      <c r="L109" s="9" t="inlineStr">
        <is>
          <t>0</t>
        </is>
      </c>
      <c r="M109" s="9" t="inlineStr">
        <is>
          <t>0</t>
        </is>
      </c>
      <c r="N109" s="9" t="inlineStr">
        <is>
          <t>0</t>
        </is>
      </c>
      <c r="O109" s="10" t="inlineStr">
        <is>
          <t>0</t>
        </is>
      </c>
      <c r="P109" s="10" t="inlineStr">
        <is>
          <t>0</t>
        </is>
      </c>
      <c r="Q109" s="10" t="inlineStr">
        <is>
          <t>0</t>
        </is>
      </c>
      <c r="R109" s="10" t="inlineStr">
        <is>
          <t>0</t>
        </is>
      </c>
      <c r="S109" s="10" t="inlineStr">
        <is>
          <t>0</t>
        </is>
      </c>
    </row>
    <row r="110" ht="409.5" customHeight="1">
      <c r="A110" s="6">
        <f>IFERROR(__xludf.DUMMYFUNCTION("""COMPUTED_VALUE"""),"Trigonometry (Math)")</f>
        <v/>
      </c>
      <c r="B110" s="6">
        <f>IFERROR(__xludf.DUMMYFUNCTION("""COMPUTED_VALUE"""),"Resource")</f>
        <v/>
      </c>
      <c r="C110" s="6">
        <f>IFERROR(__xludf.DUMMYFUNCTION("""COMPUTED_VALUE"""),"conclude.graasp")</f>
        <v/>
      </c>
      <c r="D110" s="7">
        <f>IFERROR(__xludf.DUMMYFUNCTION("""COMPUTED_VALUE"""),"&lt;p&gt;They are a handful of prominent technological fields where there’s an extensive use of trigonometric concepts. Some technological fields are;&lt;/p&gt;&lt;p&gt;Astronomy,&lt;br&gt;Navigation,&lt;br&gt;Optics,&lt;br&gt;Acoustics (The science of studying mechanical waves in solids, l"&amp;"iquids and gases that also topics like sound, infrasound, ultrasound and vibration),&lt;br&gt;Electronics,&lt;br&gt;Statistics,&lt;br&gt;Number theory,&lt;br&gt;Electrical engineering,&lt;br&gt;Mechanical engineering,&lt;br&gt;Computer graphics,&lt;br&gt;Game development,&lt;br&gt;Civil engineering,&lt;br"&amp;"&gt;Medical imaging,&lt;br&gt;Pharmacy,&lt;br&gt;Cartography (creating maps),&lt;br&gt;Seismology (It’s the science of studying earthquakes),&lt;br&gt;Crystallography (The study of atom arrangements in a crystalline solid).&lt;/p&gt;&lt;p&gt;&lt;br&gt;&lt;/p&gt;&lt;p&gt;Now you know some career field where Trig"&amp;"onometry is applied and its importance in our daily living. &lt;/p&gt;&lt;p&gt;Therefore, do take the quiz below to further affirm your knowledge in trigonometry.&lt;/p&gt;")</f>
        <v/>
      </c>
      <c r="E110" s="7">
        <f>IFERROR(__xludf.DUMMYFUNCTION("""COMPUTED_VALUE"""),"No artifact embedded")</f>
        <v/>
      </c>
      <c r="F110" s="7" t="inlineStr">
        <is>
          <t>Students were given no task description for Items 1 and 2. Item 3 describes trigonometric applications and asks students to take a quiz. Embedded artifacts include an image/jpeg file in Item 2.</t>
        </is>
      </c>
      <c r="G110" s="8" t="inlineStr">
        <is>
          <t>1</t>
        </is>
      </c>
      <c r="H110" s="8" t="inlineStr">
        <is>
          <t>0</t>
        </is>
      </c>
      <c r="I110" s="8" t="inlineStr">
        <is>
          <t>0</t>
        </is>
      </c>
      <c r="J110" s="8" t="inlineStr">
        <is>
          <t>0</t>
        </is>
      </c>
      <c r="K110" s="9" t="inlineStr">
        <is>
          <t>1</t>
        </is>
      </c>
      <c r="L110" s="9" t="inlineStr">
        <is>
          <t>0</t>
        </is>
      </c>
      <c r="M110" s="9" t="inlineStr">
        <is>
          <t>0</t>
        </is>
      </c>
      <c r="N110" s="9" t="inlineStr">
        <is>
          <t>0</t>
        </is>
      </c>
      <c r="O110" s="10" t="inlineStr">
        <is>
          <t>0</t>
        </is>
      </c>
      <c r="P110" s="10" t="inlineStr">
        <is>
          <t>0</t>
        </is>
      </c>
      <c r="Q110" s="10" t="inlineStr">
        <is>
          <t>0</t>
        </is>
      </c>
      <c r="R110" s="10" t="inlineStr">
        <is>
          <t>0</t>
        </is>
      </c>
      <c r="S110" s="10" t="inlineStr">
        <is>
          <t>0</t>
        </is>
      </c>
    </row>
    <row r="111" ht="296" customHeight="1">
      <c r="A111" s="6">
        <f>IFERROR(__xludf.DUMMYFUNCTION("""COMPUTED_VALUE"""),"Trigonometry (Math)")</f>
        <v/>
      </c>
      <c r="B111" s="6">
        <f>IFERROR(__xludf.DUMMYFUNCTION("""COMPUTED_VALUE"""),"Application")</f>
        <v/>
      </c>
      <c r="C111" s="6">
        <f>IFERROR(__xludf.DUMMYFUNCTION("""COMPUTED_VALUE"""),"Quiz Tool")</f>
        <v/>
      </c>
      <c r="D111" s="7">
        <f>IFERROR(__xludf.DUMMYFUNCTION("""COMPUTED_VALUE"""),"No task description")</f>
        <v/>
      </c>
      <c r="E11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11" s="7" t="inlineStr">
        <is>
          <t>Students are given tasks with varying descriptions and embedded artifacts, including images and interactive quizzes.</t>
        </is>
      </c>
      <c r="G111" s="8" t="inlineStr">
        <is>
          <t>1</t>
        </is>
      </c>
      <c r="H111" s="8" t="inlineStr">
        <is>
          <t>0</t>
        </is>
      </c>
      <c r="I111" s="8" t="inlineStr">
        <is>
          <t>0</t>
        </is>
      </c>
      <c r="J111" s="8" t="inlineStr">
        <is>
          <t>1</t>
        </is>
      </c>
      <c r="K111" s="9" t="inlineStr">
        <is>
          <t>1</t>
        </is>
      </c>
      <c r="L111" s="9" t="inlineStr">
        <is>
          <t>0</t>
        </is>
      </c>
      <c r="M111" s="9" t="inlineStr">
        <is>
          <t>0</t>
        </is>
      </c>
      <c r="N111" s="9" t="inlineStr">
        <is>
          <t>0</t>
        </is>
      </c>
      <c r="O111" s="10" t="inlineStr">
        <is>
          <t>0</t>
        </is>
      </c>
      <c r="P111" s="10" t="inlineStr">
        <is>
          <t>0</t>
        </is>
      </c>
      <c r="Q111" s="10" t="inlineStr">
        <is>
          <t>0</t>
        </is>
      </c>
      <c r="R111" s="10" t="inlineStr">
        <is>
          <t>0</t>
        </is>
      </c>
      <c r="S111" s="10" t="inlineStr">
        <is>
          <t>0</t>
        </is>
      </c>
    </row>
    <row r="112" ht="121" customHeight="1">
      <c r="A112" s="6">
        <f>IFERROR(__xludf.DUMMYFUNCTION("""COMPUTED_VALUE"""),"Trigonometry (Math)")</f>
        <v/>
      </c>
      <c r="B112" s="6">
        <f>IFERROR(__xludf.DUMMYFUNCTION("""COMPUTED_VALUE"""),"Space")</f>
        <v/>
      </c>
      <c r="C112" s="6">
        <f>IFERROR(__xludf.DUMMYFUNCTION("""COMPUTED_VALUE"""),"Discussion")</f>
        <v/>
      </c>
      <c r="D112" s="7">
        <f>IFERROR(__xludf.DUMMYFUNCTION("""COMPUTED_VALUE"""),"&lt;p&gt;Feel free to tell what you have learnt in Trigonometry and ask questions for further clarification. &lt;/p&gt;&lt;p&gt;Thank you!&lt;/p&gt;")</f>
        <v/>
      </c>
      <c r="E112" s="7">
        <f>IFERROR(__xludf.DUMMYFUNCTION("""COMPUTED_VALUE"""),"No artifact embedded")</f>
        <v/>
      </c>
      <c r="F112" s="7" t="inlineStr">
        <is>
          <t>Students were instructed to learn about trigonometric applications, take a quiz, and discuss their knowledge. Embedded artifacts include a quiz app with interactive question configuration.</t>
        </is>
      </c>
      <c r="G112" s="8" t="inlineStr">
        <is>
          <t>0</t>
        </is>
      </c>
      <c r="H112" s="8" t="inlineStr">
        <is>
          <t>0</t>
        </is>
      </c>
      <c r="I112" s="8" t="inlineStr">
        <is>
          <t>0</t>
        </is>
      </c>
      <c r="J112" s="8" t="inlineStr">
        <is>
          <t>1</t>
        </is>
      </c>
      <c r="K112" s="9" t="inlineStr">
        <is>
          <t>1</t>
        </is>
      </c>
      <c r="L112" s="9" t="inlineStr">
        <is>
          <t>0</t>
        </is>
      </c>
      <c r="M112" s="9" t="inlineStr">
        <is>
          <t>1</t>
        </is>
      </c>
      <c r="N112" s="9" t="inlineStr">
        <is>
          <t>0</t>
        </is>
      </c>
      <c r="O112" s="10" t="inlineStr">
        <is>
          <t>0</t>
        </is>
      </c>
      <c r="P112" s="10" t="inlineStr">
        <is>
          <t>0</t>
        </is>
      </c>
      <c r="Q112" s="10" t="inlineStr">
        <is>
          <t>0</t>
        </is>
      </c>
      <c r="R112" s="10" t="inlineStr">
        <is>
          <t>0</t>
        </is>
      </c>
      <c r="S112" s="10" t="inlineStr">
        <is>
          <t>1</t>
        </is>
      </c>
    </row>
    <row r="113" ht="409.5" customHeight="1">
      <c r="A113" s="6">
        <f>IFERROR(__xludf.DUMMYFUNCTION("""COMPUTED_VALUE"""),"Trigonometry (Math)")</f>
        <v/>
      </c>
      <c r="B113" s="6">
        <f>IFERROR(__xludf.DUMMYFUNCTION("""COMPUTED_VALUE"""),"Application")</f>
        <v/>
      </c>
      <c r="C113" s="6">
        <f>IFERROR(__xludf.DUMMYFUNCTION("""COMPUTED_VALUE"""),"SpeakUp")</f>
        <v/>
      </c>
      <c r="D113" s="7">
        <f>IFERROR(__xludf.DUMMYFUNCTION("""COMPUTED_VALUE"""),"No task description")</f>
        <v/>
      </c>
      <c r="E113"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113" s="7" t="inlineStr">
        <is>
          <t>Students received task descriptions and embedded artifacts for three items, including quiz apps and a social discussion tool, with varying levels of detail.</t>
        </is>
      </c>
      <c r="G113" s="8" t="inlineStr">
        <is>
          <t>0</t>
        </is>
      </c>
      <c r="H113" s="8" t="inlineStr">
        <is>
          <t>1</t>
        </is>
      </c>
      <c r="I113" s="8" t="inlineStr">
        <is>
          <t>1</t>
        </is>
      </c>
      <c r="J113" s="8" t="inlineStr">
        <is>
          <t>1</t>
        </is>
      </c>
      <c r="K113" s="9" t="inlineStr">
        <is>
          <t>0</t>
        </is>
      </c>
      <c r="L113" s="9" t="inlineStr">
        <is>
          <t>0</t>
        </is>
      </c>
      <c r="M113" s="9" t="inlineStr">
        <is>
          <t>1</t>
        </is>
      </c>
      <c r="N113" s="9" t="inlineStr">
        <is>
          <t>1</t>
        </is>
      </c>
      <c r="O113" s="10" t="inlineStr">
        <is>
          <t>0</t>
        </is>
      </c>
      <c r="P113" s="10" t="inlineStr">
        <is>
          <t>0</t>
        </is>
      </c>
      <c r="Q113" s="10" t="inlineStr">
        <is>
          <t>0</t>
        </is>
      </c>
      <c r="R113" s="10" t="inlineStr">
        <is>
          <t>0</t>
        </is>
      </c>
      <c r="S113" s="10" t="inlineStr">
        <is>
          <t>1</t>
        </is>
      </c>
    </row>
    <row r="114" ht="25" customHeight="1">
      <c r="A114" s="6">
        <f>IFERROR(__xludf.DUMMYFUNCTION("""COMPUTED_VALUE"""),"The color of the light")</f>
        <v/>
      </c>
      <c r="B114" s="6">
        <f>IFERROR(__xludf.DUMMYFUNCTION("""COMPUTED_VALUE"""),"Space")</f>
        <v/>
      </c>
      <c r="C114" s="6">
        <f>IFERROR(__xludf.DUMMYFUNCTION("""COMPUTED_VALUE"""),"Introduction")</f>
        <v/>
      </c>
      <c r="D114" s="7">
        <f>IFERROR(__xludf.DUMMYFUNCTION("""COMPUTED_VALUE"""),"No task description")</f>
        <v/>
      </c>
      <c r="E114" s="7">
        <f>IFERROR(__xludf.DUMMYFUNCTION("""COMPUTED_VALUE"""),"No artifact embedded")</f>
        <v/>
      </c>
      <c r="F114" s="7" t="inlineStr">
        <is>
          <t>Students are asked to discuss Trigonometry in Item1, with no tasks in Items2 and 3. Embedded artifacts include a discussion app in Item2.</t>
        </is>
      </c>
      <c r="G114" s="8" t="inlineStr">
        <is>
          <t>1</t>
        </is>
      </c>
      <c r="H114" s="8" t="inlineStr">
        <is>
          <t>0</t>
        </is>
      </c>
      <c r="I114" s="8" t="inlineStr">
        <is>
          <t>0</t>
        </is>
      </c>
      <c r="J114" s="8" t="inlineStr">
        <is>
          <t>0</t>
        </is>
      </c>
      <c r="K114" s="9" t="inlineStr">
        <is>
          <t>0</t>
        </is>
      </c>
      <c r="L114" s="9" t="inlineStr">
        <is>
          <t>0</t>
        </is>
      </c>
      <c r="M114" s="9" t="inlineStr">
        <is>
          <t>0</t>
        </is>
      </c>
      <c r="N114" s="9" t="inlineStr">
        <is>
          <t>0</t>
        </is>
      </c>
      <c r="O114" s="10" t="inlineStr">
        <is>
          <t>0</t>
        </is>
      </c>
      <c r="P114" s="10" t="inlineStr">
        <is>
          <t>0</t>
        </is>
      </c>
      <c r="Q114" s="10" t="inlineStr">
        <is>
          <t>0</t>
        </is>
      </c>
      <c r="R114" s="10" t="inlineStr">
        <is>
          <t>0</t>
        </is>
      </c>
      <c r="S114" s="10" t="inlineStr">
        <is>
          <t>0</t>
        </is>
      </c>
    </row>
    <row r="115" ht="409.5" customHeight="1">
      <c r="A115" s="6">
        <f>IFERROR(__xludf.DUMMYFUNCTION("""COMPUTED_VALUE"""),"The color of the light")</f>
        <v/>
      </c>
      <c r="B115" s="6">
        <f>IFERROR(__xludf.DUMMYFUNCTION("""COMPUTED_VALUE"""),"Resource")</f>
        <v/>
      </c>
      <c r="C115" s="6">
        <f>IFERROR(__xludf.DUMMYFUNCTION("""COMPUTED_VALUE"""),"Intro.graasp")</f>
        <v/>
      </c>
      <c r="D115" s="7">
        <f>IFERROR(__xludf.DUMMYFUNCTION("""COMPUTED_VALUE"""),"&lt;p&gt;With this ILS you can learn about the vision and perception of colors:&lt;br&gt;&lt;/p&gt;&lt;ul&gt;&lt;li&gt;Colors in the nature.&lt;/li&gt;&lt;li&gt; Digital or RGB colors in technology.&lt;/li&gt;&lt;li&gt; Color perception.&lt;/li&gt;&lt;/ul&gt;&lt;p&gt;Target group: &lt;/p&gt;&lt;ul&gt;&lt;li&gt;Age: 10-14 years old.&lt;/li&gt;&lt;/ul&gt;&lt;u"&amp;"l&gt;&lt;li&gt;You can use ""The color of the light"" laboratory as tool: Use the threesliders (red, green and blue) to select your color combination. Then send the new values to the RGB led and compare the real result with the virtual color square below the slide"&amp;"rs.&lt;/li&gt;&lt;/ul&gt;")</f>
        <v/>
      </c>
      <c r="E115" s="7">
        <f>IFERROR(__xludf.DUMMYFUNCTION("""COMPUTED_VALUE"""),"No artifact embedded")</f>
        <v/>
      </c>
      <c r="F115" s="7" t="inlineStr">
        <is>
          <t>Students received no task descriptions for Items 1 and 2. Item 3 instructs students to learn about color vision using "The Color of Light" lab tool. Embedded artifacts include Golabz app/lab SpeakUp for Item 1.</t>
        </is>
      </c>
      <c r="G115" s="8" t="inlineStr">
        <is>
          <t>0</t>
        </is>
      </c>
      <c r="H115" s="8" t="inlineStr">
        <is>
          <t>1</t>
        </is>
      </c>
      <c r="I115" s="8" t="inlineStr">
        <is>
          <t>1</t>
        </is>
      </c>
      <c r="J115" s="8" t="inlineStr">
        <is>
          <t>1</t>
        </is>
      </c>
      <c r="K115" s="9" t="inlineStr">
        <is>
          <t>1</t>
        </is>
      </c>
      <c r="L115" s="9" t="inlineStr">
        <is>
          <t>0</t>
        </is>
      </c>
      <c r="M115" s="9" t="inlineStr">
        <is>
          <t>0</t>
        </is>
      </c>
      <c r="N115" s="9" t="inlineStr">
        <is>
          <t>0</t>
        </is>
      </c>
      <c r="O115" s="10" t="inlineStr">
        <is>
          <t>1</t>
        </is>
      </c>
      <c r="P115" s="10" t="inlineStr">
        <is>
          <t>0</t>
        </is>
      </c>
      <c r="Q115" s="10" t="inlineStr">
        <is>
          <t>1</t>
        </is>
      </c>
      <c r="R115" s="10" t="inlineStr">
        <is>
          <t>0</t>
        </is>
      </c>
      <c r="S115" s="10" t="inlineStr">
        <is>
          <t>0</t>
        </is>
      </c>
    </row>
    <row r="116" ht="25" customHeight="1">
      <c r="A116" s="6">
        <f>IFERROR(__xludf.DUMMYFUNCTION("""COMPUTED_VALUE"""),"The color of the light")</f>
        <v/>
      </c>
      <c r="B116" s="6">
        <f>IFERROR(__xludf.DUMMYFUNCTION("""COMPUTED_VALUE"""),"Space")</f>
        <v/>
      </c>
      <c r="C116" s="6">
        <f>IFERROR(__xludf.DUMMYFUNCTION("""COMPUTED_VALUE"""),"Orientation")</f>
        <v/>
      </c>
      <c r="D116" s="7">
        <f>IFERROR(__xludf.DUMMYFUNCTION("""COMPUTED_VALUE"""),"No task description")</f>
        <v/>
      </c>
      <c r="E116" s="7">
        <f>IFERROR(__xludf.DUMMYFUNCTION("""COMPUTED_VALUE"""),"No artifact embedded")</f>
        <v/>
      </c>
      <c r="F116" s="7" t="inlineStr">
        <is>
          <t>Students learn about color vision and perception, using a laboratory tool to mix RGB colors and compare virtual and real results. No artifacts are embedded in any items.</t>
        </is>
      </c>
      <c r="G116" s="8" t="inlineStr">
        <is>
          <t>1</t>
        </is>
      </c>
      <c r="H116" s="8" t="inlineStr">
        <is>
          <t>0</t>
        </is>
      </c>
      <c r="I116" s="8" t="inlineStr">
        <is>
          <t>0</t>
        </is>
      </c>
      <c r="J116" s="8" t="inlineStr">
        <is>
          <t>0</t>
        </is>
      </c>
      <c r="K116" s="9" t="inlineStr">
        <is>
          <t>0</t>
        </is>
      </c>
      <c r="L116" s="9" t="inlineStr">
        <is>
          <t>0</t>
        </is>
      </c>
      <c r="M116" s="9" t="inlineStr">
        <is>
          <t>0</t>
        </is>
      </c>
      <c r="N116" s="9" t="inlineStr">
        <is>
          <t>0</t>
        </is>
      </c>
      <c r="O116" s="10" t="inlineStr">
        <is>
          <t>0</t>
        </is>
      </c>
      <c r="P116" s="10" t="inlineStr">
        <is>
          <t>0</t>
        </is>
      </c>
      <c r="Q116" s="10" t="inlineStr">
        <is>
          <t>0</t>
        </is>
      </c>
      <c r="R116" s="10" t="inlineStr">
        <is>
          <t>0</t>
        </is>
      </c>
      <c r="S116" s="10" t="inlineStr">
        <is>
          <t>0</t>
        </is>
      </c>
    </row>
    <row r="117" ht="409.5" customHeight="1">
      <c r="A117" s="6">
        <f>IFERROR(__xludf.DUMMYFUNCTION("""COMPUTED_VALUE"""),"The color of the light")</f>
        <v/>
      </c>
      <c r="B117" s="6">
        <f>IFERROR(__xludf.DUMMYFUNCTION("""COMPUTED_VALUE"""),"Resource")</f>
        <v/>
      </c>
      <c r="C117" s="6">
        <f>IFERROR(__xludf.DUMMYFUNCTION("""COMPUTED_VALUE"""),"Before video.graasp")</f>
        <v/>
      </c>
      <c r="D117" s="7">
        <f>IFERROR(__xludf.DUMMYFUNCTION("""COMPUTED_VALUE"""),"&lt;p&gt;Take a look around the room that you are in. Notice how the various images and colors that you see update constantly as you turn your head and re-direct your attention. Although the images appear to be seamless, each blending imperceptibly into the nex"&amp;"t, they are in reality being updated almost continuously by the vision apparatus of your eyes and brain. The seamless quality in the images that you see is possible because human vision updates images, including the details of motion and color, on a time "&amp;"scale so rapid that a ""break in the action"" is almost never perceived.&lt;/p&gt;&lt;p&gt;&lt;br&gt;Watch the video ""Simply color mixing"" below:&lt;/p&gt;")</f>
        <v/>
      </c>
      <c r="E117" s="7">
        <f>IFERROR(__xludf.DUMMYFUNCTION("""COMPUTED_VALUE"""),"No artifact embedded")</f>
        <v/>
      </c>
      <c r="F117" s="7" t="inlineStr">
        <is>
          <t>Students learn about color vision and perception, using interactive tools like "The color of the light" laboratory with RGB sliders.</t>
        </is>
      </c>
      <c r="G117" s="8" t="inlineStr">
        <is>
          <t>1</t>
        </is>
      </c>
      <c r="H117" s="8" t="inlineStr">
        <is>
          <t>0</t>
        </is>
      </c>
      <c r="I117" s="8" t="inlineStr">
        <is>
          <t>0</t>
        </is>
      </c>
      <c r="J117" s="8" t="inlineStr">
        <is>
          <t>0</t>
        </is>
      </c>
      <c r="K117" s="9" t="inlineStr">
        <is>
          <t>1</t>
        </is>
      </c>
      <c r="L117" s="9" t="inlineStr">
        <is>
          <t>0</t>
        </is>
      </c>
      <c r="M117" s="9" t="inlineStr">
        <is>
          <t>0</t>
        </is>
      </c>
      <c r="N117" s="9" t="inlineStr">
        <is>
          <t>0</t>
        </is>
      </c>
      <c r="O117" s="10" t="inlineStr">
        <is>
          <t>1</t>
        </is>
      </c>
      <c r="P117" s="10" t="inlineStr">
        <is>
          <t>0</t>
        </is>
      </c>
      <c r="Q117" s="10" t="inlineStr">
        <is>
          <t>0</t>
        </is>
      </c>
      <c r="R117" s="10" t="inlineStr">
        <is>
          <t>0</t>
        </is>
      </c>
      <c r="S117" s="10" t="inlineStr">
        <is>
          <t>0</t>
        </is>
      </c>
    </row>
    <row r="118" ht="121" customHeight="1">
      <c r="A118" s="6">
        <f>IFERROR(__xludf.DUMMYFUNCTION("""COMPUTED_VALUE"""),"The color of the light")</f>
        <v/>
      </c>
      <c r="B118" s="6">
        <f>IFERROR(__xludf.DUMMYFUNCTION("""COMPUTED_VALUE"""),"Resource")</f>
        <v/>
      </c>
      <c r="C118" s="6">
        <f>IFERROR(__xludf.DUMMYFUNCTION("""COMPUTED_VALUE"""),"Simply Color Mixing")</f>
        <v/>
      </c>
      <c r="D118" s="7">
        <f>IFERROR(__xludf.DUMMYFUNCTION("""COMPUTED_VALUE"""),"No task description")</f>
        <v/>
      </c>
      <c r="E118" s="7">
        <f>IFERROR(__xludf.DUMMYFUNCTION("""COMPUTED_VALUE"""),"youtube.com: A widely known video-sharing platform where users can watch videos on a vast array of topics, including educational content.")</f>
        <v/>
      </c>
      <c r="F118" s="7" t="inlineStr">
        <is>
          <t>Students were instructed to observe their surroundings and watch a color mixing video. Embedded artifacts include no items, but a YouTube link is mentioned.</t>
        </is>
      </c>
      <c r="G118" s="8" t="inlineStr">
        <is>
          <t>1</t>
        </is>
      </c>
      <c r="H118" s="8" t="inlineStr">
        <is>
          <t>0</t>
        </is>
      </c>
      <c r="I118" s="8" t="inlineStr">
        <is>
          <t>0</t>
        </is>
      </c>
      <c r="J118" s="8" t="inlineStr">
        <is>
          <t>0</t>
        </is>
      </c>
      <c r="K118" s="9" t="inlineStr">
        <is>
          <t>0</t>
        </is>
      </c>
      <c r="L118" s="9" t="inlineStr">
        <is>
          <t>0</t>
        </is>
      </c>
      <c r="M118" s="9" t="inlineStr">
        <is>
          <t>0</t>
        </is>
      </c>
      <c r="N118" s="9" t="inlineStr">
        <is>
          <t>0</t>
        </is>
      </c>
      <c r="O118" s="10" t="inlineStr">
        <is>
          <t>0</t>
        </is>
      </c>
      <c r="P118" s="10" t="inlineStr">
        <is>
          <t>0</t>
        </is>
      </c>
      <c r="Q118" s="10" t="inlineStr">
        <is>
          <t>0</t>
        </is>
      </c>
      <c r="R118" s="10" t="inlineStr">
        <is>
          <t>0</t>
        </is>
      </c>
      <c r="S118" s="10" t="inlineStr">
        <is>
          <t>0</t>
        </is>
      </c>
    </row>
    <row r="119" ht="409.5" customHeight="1">
      <c r="A119" s="6">
        <f>IFERROR(__xludf.DUMMYFUNCTION("""COMPUTED_VALUE"""),"The color of the light")</f>
        <v/>
      </c>
      <c r="B119" s="6">
        <f>IFERROR(__xludf.DUMMYFUNCTION("""COMPUTED_VALUE"""),"Resource")</f>
        <v/>
      </c>
      <c r="C119" s="6">
        <f>IFERROR(__xludf.DUMMYFUNCTION("""COMPUTED_VALUE"""),"After video.graasp")</f>
        <v/>
      </c>
      <c r="D119" s="7">
        <f>IFERROR(__xludf.DUMMYFUNCTION("""COMPUTED_VALUE"""),"&lt;p&gt;As you can see with 3 colors we can do a lot of combinations.&lt;/p&gt;Sight is one of the five senses, but:&lt;ul&gt;&lt;li&gt;Where does vision really start? Maybe you want to learn more about it on this link that explaines it: &lt;a href=""http://www.allaboutvision.com/"&amp;"conditions/eye-color.htm"" target=""_blank""&gt;Eye color&lt;/a&gt;&lt;/li&gt;&lt;li&gt;What is color? You can learn the basis about color on this link: &lt;a href=""http://www.devx.com/projectcool/Article/19954"" target=""_blank""&gt;Color is...&lt;/a&gt;&lt;/li&gt;&lt;li&gt;How many colors can we "&amp;"see and exist? Humans not can see all colors, on this link you can learn about it: &lt;a href=""http://hypertextbook.com/facts/2006/JenniferLeong.shtml"" target=""_blank""&gt;Number of colors in humans&lt;/a&gt;&lt;/li&gt;&lt;/ul&gt;&lt;p&gt;Now you can use the ""Input box below"" to "&amp;"write down as many elements as you can think of vision that might be related to those questions.&lt;/p&gt;")</f>
        <v/>
      </c>
      <c r="E119" s="7">
        <f>IFERROR(__xludf.DUMMYFUNCTION("""COMPUTED_VALUE"""),"No artifact embedded")</f>
        <v/>
      </c>
      <c r="F119" s="7" t="inlineStr">
        <is>
          <t>Students observe surroundings, watch a video, and explore links about color and vision. Embedded artifacts include a YouTube link and interactive input box.</t>
        </is>
      </c>
      <c r="G119" s="8" t="inlineStr">
        <is>
          <t>0</t>
        </is>
      </c>
      <c r="H119" s="8" t="inlineStr">
        <is>
          <t>0</t>
        </is>
      </c>
      <c r="I119" s="8" t="inlineStr">
        <is>
          <t>1</t>
        </is>
      </c>
      <c r="J119" s="8" t="inlineStr">
        <is>
          <t>1</t>
        </is>
      </c>
      <c r="K119" s="9" t="inlineStr">
        <is>
          <t>1</t>
        </is>
      </c>
      <c r="L119" s="9" t="inlineStr">
        <is>
          <t>1</t>
        </is>
      </c>
      <c r="M119" s="9" t="inlineStr">
        <is>
          <t>0</t>
        </is>
      </c>
      <c r="N119" s="9" t="inlineStr">
        <is>
          <t>0</t>
        </is>
      </c>
      <c r="O119" s="10" t="inlineStr">
        <is>
          <t>1</t>
        </is>
      </c>
      <c r="P119" s="10" t="inlineStr">
        <is>
          <t>1</t>
        </is>
      </c>
      <c r="Q119" s="10" t="inlineStr">
        <is>
          <t>0</t>
        </is>
      </c>
      <c r="R119" s="10" t="inlineStr">
        <is>
          <t>0</t>
        </is>
      </c>
      <c r="S119" s="10" t="inlineStr">
        <is>
          <t>0</t>
        </is>
      </c>
    </row>
    <row r="120" ht="329" customHeight="1">
      <c r="A120" s="6">
        <f>IFERROR(__xludf.DUMMYFUNCTION("""COMPUTED_VALUE"""),"The color of the light")</f>
        <v/>
      </c>
      <c r="B120" s="6">
        <f>IFERROR(__xludf.DUMMYFUNCTION("""COMPUTED_VALUE"""),"Application")</f>
        <v/>
      </c>
      <c r="C120" s="6">
        <f>IFERROR(__xludf.DUMMYFUNCTION("""COMPUTED_VALUE"""),"Input Box")</f>
        <v/>
      </c>
      <c r="D120" s="7">
        <f>IFERROR(__xludf.DUMMYFUNCTION("""COMPUTED_VALUE"""),"No task description")</f>
        <v/>
      </c>
      <c r="E1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20" s="7" t="inlineStr">
        <is>
          <t>Students were given tasks and links to learn about vision and colors, with some items having embedded artifacts like YouTube and Golabz app/lab for notes and collaboration.</t>
        </is>
      </c>
      <c r="G120" s="8" t="inlineStr">
        <is>
          <t>0</t>
        </is>
      </c>
      <c r="H120" s="8" t="inlineStr">
        <is>
          <t>1</t>
        </is>
      </c>
      <c r="I120" s="8" t="inlineStr">
        <is>
          <t>1</t>
        </is>
      </c>
      <c r="J120" s="8" t="inlineStr">
        <is>
          <t>1</t>
        </is>
      </c>
      <c r="K120" s="9" t="inlineStr">
        <is>
          <t>1</t>
        </is>
      </c>
      <c r="L120" s="9" t="inlineStr">
        <is>
          <t>1</t>
        </is>
      </c>
      <c r="M120" s="9" t="inlineStr">
        <is>
          <t>1</t>
        </is>
      </c>
      <c r="N120" s="9" t="inlineStr">
        <is>
          <t>1</t>
        </is>
      </c>
      <c r="O120" s="10" t="inlineStr">
        <is>
          <t>0</t>
        </is>
      </c>
      <c r="P120" s="10" t="inlineStr">
        <is>
          <t>0</t>
        </is>
      </c>
      <c r="Q120" s="10" t="inlineStr">
        <is>
          <t>0</t>
        </is>
      </c>
      <c r="R120" s="10" t="inlineStr">
        <is>
          <t>0</t>
        </is>
      </c>
      <c r="S120" s="10" t="inlineStr">
        <is>
          <t>1</t>
        </is>
      </c>
    </row>
    <row r="121" ht="217" customHeight="1">
      <c r="A121" s="6">
        <f>IFERROR(__xludf.DUMMYFUNCTION("""COMPUTED_VALUE"""),"The color of the light")</f>
        <v/>
      </c>
      <c r="B121" s="6">
        <f>IFERROR(__xludf.DUMMYFUNCTION("""COMPUTED_VALUE"""),"Resource")</f>
        <v/>
      </c>
      <c r="C121" s="6">
        <f>IFERROR(__xludf.DUMMYFUNCTION("""COMPUTED_VALUE"""),"Concept map.graasp")</f>
        <v/>
      </c>
      <c r="D121" s="7">
        <f>IFERROR(__xludf.DUMMYFUNCTION("""COMPUTED_VALUE"""),"&lt;p&gt;If you are satisfied with the notes, then start making a concept map. Remember that two tools are independent. Look at the tips below to create your concept map. You can adjust the concept map later on, so don't worry if you forget to add something.&lt;/p"&amp;"&gt;")</f>
        <v/>
      </c>
      <c r="E121" s="7">
        <f>IFERROR(__xludf.DUMMYFUNCTION("""COMPUTED_VALUE"""),"No artifact embedded")</f>
        <v/>
      </c>
      <c r="F121" s="7" t="inlineStr">
        <is>
          <t>Students were instructed to write about vision-related elements and create a concept map. Embedded artifacts include an input box app for note-taking and potential collaboration tool.</t>
        </is>
      </c>
      <c r="G121" s="8" t="inlineStr">
        <is>
          <t>0</t>
        </is>
      </c>
      <c r="H121" s="8" t="inlineStr">
        <is>
          <t>1</t>
        </is>
      </c>
      <c r="I121" s="8" t="inlineStr">
        <is>
          <t>1</t>
        </is>
      </c>
      <c r="J121" s="8" t="inlineStr">
        <is>
          <t>0</t>
        </is>
      </c>
      <c r="K121" s="9" t="inlineStr">
        <is>
          <t>0</t>
        </is>
      </c>
      <c r="L121" s="9" t="inlineStr">
        <is>
          <t>1</t>
        </is>
      </c>
      <c r="M121" s="9" t="inlineStr">
        <is>
          <t>0</t>
        </is>
      </c>
      <c r="N121" s="9" t="inlineStr">
        <is>
          <t>0</t>
        </is>
      </c>
      <c r="O121" s="10" t="inlineStr">
        <is>
          <t>0</t>
        </is>
      </c>
      <c r="P121" s="10" t="inlineStr">
        <is>
          <t>0</t>
        </is>
      </c>
      <c r="Q121" s="10" t="inlineStr">
        <is>
          <t>0</t>
        </is>
      </c>
      <c r="R121" s="10" t="inlineStr">
        <is>
          <t>0</t>
        </is>
      </c>
      <c r="S121" s="10" t="inlineStr">
        <is>
          <t>0</t>
        </is>
      </c>
    </row>
    <row r="122" ht="409.5" customHeight="1">
      <c r="A122" s="6">
        <f>IFERROR(__xludf.DUMMYFUNCTION("""COMPUTED_VALUE"""),"The color of the light")</f>
        <v/>
      </c>
      <c r="B122" s="6">
        <f>IFERROR(__xludf.DUMMYFUNCTION("""COMPUTED_VALUE"""),"Resource")</f>
        <v/>
      </c>
      <c r="C122" s="6">
        <f>IFERROR(__xludf.DUMMYFUNCTION("""COMPUTED_VALUE"""),"Tips concept map.graasp")</f>
        <v/>
      </c>
      <c r="D122" s="7">
        <f>IFERROR(__xludf.DUMMYFUNCTION("""COMPUTED_VALUE"""),"&lt;p&gt;A concept map is a visual representation of your thoughts, information and knowledge. A concept map contains concepts and relationships between these concepts that are visually represented by means of arrows and colours. This helps you organize informa"&amp;"tion and provides a structure that makes you come up with new ideas more easily.&lt;/p&gt;&lt;br&gt;Tips to create a concept map:&lt;br&gt;&lt;ul&gt;&lt;li&gt;Avoid linking everything to everything and focus on the main relations between concepts.&lt;/li&gt;&lt;li&gt;Also think of concepts that a"&amp;"re not related to each other.&lt;/li&gt;&lt;/ul&gt;")</f>
        <v/>
      </c>
      <c r="E122" s="7">
        <f>IFERROR(__xludf.DUMMYFUNCTION("""COMPUTED_VALUE"""),"No artifact embedded")</f>
        <v/>
      </c>
      <c r="F122" s="7" t="inlineStr">
        <is>
          <t>Students take notes, then create a concept map using tips provided. Two tools are used: an input box app (Golabz) and a separate concept mapping tool.</t>
        </is>
      </c>
      <c r="G122" s="8" t="inlineStr">
        <is>
          <t>0</t>
        </is>
      </c>
      <c r="H122" s="8" t="inlineStr">
        <is>
          <t>0</t>
        </is>
      </c>
      <c r="I122" s="8" t="inlineStr">
        <is>
          <t>1</t>
        </is>
      </c>
      <c r="J122" s="8" t="inlineStr">
        <is>
          <t>0</t>
        </is>
      </c>
      <c r="K122" s="9" t="inlineStr">
        <is>
          <t>0</t>
        </is>
      </c>
      <c r="L122" s="9" t="inlineStr">
        <is>
          <t>1</t>
        </is>
      </c>
      <c r="M122" s="9" t="inlineStr">
        <is>
          <t>0</t>
        </is>
      </c>
      <c r="N122" s="9" t="inlineStr">
        <is>
          <t>0</t>
        </is>
      </c>
      <c r="O122" s="10" t="inlineStr">
        <is>
          <t>0</t>
        </is>
      </c>
      <c r="P122" s="10" t="inlineStr">
        <is>
          <t>1</t>
        </is>
      </c>
      <c r="Q122" s="10" t="inlineStr">
        <is>
          <t>0</t>
        </is>
      </c>
      <c r="R122" s="10" t="inlineStr">
        <is>
          <t>0</t>
        </is>
      </c>
      <c r="S122" s="10" t="inlineStr">
        <is>
          <t>0</t>
        </is>
      </c>
    </row>
    <row r="123" ht="409.5" customHeight="1">
      <c r="A123" s="6">
        <f>IFERROR(__xludf.DUMMYFUNCTION("""COMPUTED_VALUE"""),"The color of the light")</f>
        <v/>
      </c>
      <c r="B123" s="6">
        <f>IFERROR(__xludf.DUMMYFUNCTION("""COMPUTED_VALUE"""),"Application")</f>
        <v/>
      </c>
      <c r="C123" s="6">
        <f>IFERROR(__xludf.DUMMYFUNCTION("""COMPUTED_VALUE"""),"Concept Map")</f>
        <v/>
      </c>
      <c r="D123" s="7">
        <f>IFERROR(__xludf.DUMMYFUNCTION("""COMPUTED_VALUE"""),"No task description")</f>
        <v/>
      </c>
      <c r="E123"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23" s="7" t="inlineStr">
        <is>
          <t>Students create concept maps with tips provided; no artifacts embedded in Items 1 and 2, but Item 3 has a Golabz app/lab artifact, the Concept Mapper tool.</t>
        </is>
      </c>
      <c r="G123" s="8" t="inlineStr">
        <is>
          <t>0</t>
        </is>
      </c>
      <c r="H123" s="8" t="inlineStr">
        <is>
          <t>1</t>
        </is>
      </c>
      <c r="I123" s="8" t="inlineStr">
        <is>
          <t>1</t>
        </is>
      </c>
      <c r="J123" s="8" t="inlineStr">
        <is>
          <t>1</t>
        </is>
      </c>
      <c r="K123" s="9" t="inlineStr">
        <is>
          <t>0</t>
        </is>
      </c>
      <c r="L123" s="9" t="inlineStr">
        <is>
          <t>1</t>
        </is>
      </c>
      <c r="M123" s="9" t="inlineStr">
        <is>
          <t>0</t>
        </is>
      </c>
      <c r="N123" s="9" t="inlineStr">
        <is>
          <t>1</t>
        </is>
      </c>
      <c r="O123" s="10" t="inlineStr">
        <is>
          <t>0</t>
        </is>
      </c>
      <c r="P123" s="10" t="inlineStr">
        <is>
          <t>1</t>
        </is>
      </c>
      <c r="Q123" s="10" t="inlineStr">
        <is>
          <t>0</t>
        </is>
      </c>
      <c r="R123" s="10" t="inlineStr">
        <is>
          <t>0</t>
        </is>
      </c>
      <c r="S123" s="10" t="inlineStr">
        <is>
          <t>0</t>
        </is>
      </c>
    </row>
    <row r="124" ht="85" customHeight="1">
      <c r="A124" s="6">
        <f>IFERROR(__xludf.DUMMYFUNCTION("""COMPUTED_VALUE"""),"The color of the light")</f>
        <v/>
      </c>
      <c r="B124" s="6">
        <f>IFERROR(__xludf.DUMMYFUNCTION("""COMPUTED_VALUE"""),"Resource")</f>
        <v/>
      </c>
      <c r="C124" s="6">
        <f>IFERROR(__xludf.DUMMYFUNCTION("""COMPUTED_VALUE"""),"After CM.graasp")</f>
        <v/>
      </c>
      <c r="D124" s="7">
        <f>IFERROR(__xludf.DUMMYFUNCTION("""COMPUTED_VALUE"""),"&lt;p&gt;When you have finished the concept map you can go on to the Conceptualisation. To do this press the tab.&lt;br&gt;&lt;/p&gt;")</f>
        <v/>
      </c>
      <c r="E124" s="7">
        <f>IFERROR(__xludf.DUMMYFUNCTION("""COMPUTED_VALUE"""),"No artifact embedded")</f>
        <v/>
      </c>
      <c r="F124" s="7" t="inlineStr">
        <is>
          <t>Students are instructed to create a concept map, focusing on main relations and unrelated concepts. Embedded artifacts include the Concept Mapper tool in Golabz app/lab.</t>
        </is>
      </c>
      <c r="G124" s="8" t="inlineStr">
        <is>
          <t>0</t>
        </is>
      </c>
      <c r="H124" s="8" t="inlineStr">
        <is>
          <t>0</t>
        </is>
      </c>
      <c r="I124" s="8" t="inlineStr">
        <is>
          <t>0</t>
        </is>
      </c>
      <c r="J124" s="8" t="inlineStr">
        <is>
          <t>0</t>
        </is>
      </c>
      <c r="K124" s="9" t="inlineStr">
        <is>
          <t>1</t>
        </is>
      </c>
      <c r="L124" s="9" t="inlineStr">
        <is>
          <t>1</t>
        </is>
      </c>
      <c r="M124" s="9" t="inlineStr">
        <is>
          <t>0</t>
        </is>
      </c>
      <c r="N124" s="9" t="inlineStr">
        <is>
          <t>0</t>
        </is>
      </c>
      <c r="O124" s="10" t="inlineStr">
        <is>
          <t>0</t>
        </is>
      </c>
      <c r="P124" s="10" t="inlineStr">
        <is>
          <t>1</t>
        </is>
      </c>
      <c r="Q124" s="10" t="inlineStr">
        <is>
          <t>0</t>
        </is>
      </c>
      <c r="R124" s="10" t="inlineStr">
        <is>
          <t>0</t>
        </is>
      </c>
      <c r="S124" s="10" t="inlineStr">
        <is>
          <t>0</t>
        </is>
      </c>
    </row>
    <row r="125" ht="25" customHeight="1">
      <c r="A125" s="6">
        <f>IFERROR(__xludf.DUMMYFUNCTION("""COMPUTED_VALUE"""),"The color of the light")</f>
        <v/>
      </c>
      <c r="B125" s="6">
        <f>IFERROR(__xludf.DUMMYFUNCTION("""COMPUTED_VALUE"""),"Space")</f>
        <v/>
      </c>
      <c r="C125" s="6">
        <f>IFERROR(__xludf.DUMMYFUNCTION("""COMPUTED_VALUE"""),"Conceptualisation")</f>
        <v/>
      </c>
      <c r="D125" s="7">
        <f>IFERROR(__xludf.DUMMYFUNCTION("""COMPUTED_VALUE"""),"No task description")</f>
        <v/>
      </c>
      <c r="E125" s="7">
        <f>IFERROR(__xludf.DUMMYFUNCTION("""COMPUTED_VALUE"""),"No artifact embedded")</f>
        <v/>
      </c>
      <c r="F125" s="7" t="inlineStr">
        <is>
          <t>Students use the Concept Mapper tool to create concept maps, with optional real-time feedback and collaboration mode.</t>
        </is>
      </c>
      <c r="G125" s="8" t="inlineStr">
        <is>
          <t>1</t>
        </is>
      </c>
      <c r="H125" s="8" t="inlineStr">
        <is>
          <t>0</t>
        </is>
      </c>
      <c r="I125" s="8" t="inlineStr">
        <is>
          <t>0</t>
        </is>
      </c>
      <c r="J125" s="8" t="inlineStr">
        <is>
          <t>0</t>
        </is>
      </c>
      <c r="K125" s="9" t="inlineStr">
        <is>
          <t>0</t>
        </is>
      </c>
      <c r="L125" s="9" t="inlineStr">
        <is>
          <t>0</t>
        </is>
      </c>
      <c r="M125" s="9" t="inlineStr">
        <is>
          <t>0</t>
        </is>
      </c>
      <c r="N125" s="9" t="inlineStr">
        <is>
          <t>0</t>
        </is>
      </c>
      <c r="O125" s="10" t="inlineStr">
        <is>
          <t>0</t>
        </is>
      </c>
      <c r="P125" s="10" t="inlineStr">
        <is>
          <t>0</t>
        </is>
      </c>
      <c r="Q125" s="10" t="inlineStr">
        <is>
          <t>0</t>
        </is>
      </c>
      <c r="R125" s="10" t="inlineStr">
        <is>
          <t>0</t>
        </is>
      </c>
      <c r="S125" s="10" t="inlineStr">
        <is>
          <t>0</t>
        </is>
      </c>
    </row>
    <row r="126" ht="409.5" customHeight="1">
      <c r="A126" s="6">
        <f>IFERROR(__xludf.DUMMYFUNCTION("""COMPUTED_VALUE"""),"The color of the light")</f>
        <v/>
      </c>
      <c r="B126" s="6">
        <f>IFERROR(__xludf.DUMMYFUNCTION("""COMPUTED_VALUE"""),"Resource")</f>
        <v/>
      </c>
      <c r="C126" s="6">
        <f>IFERROR(__xludf.DUMMYFUNCTION("""COMPUTED_VALUE"""),"Intro.graasp")</f>
        <v/>
      </c>
      <c r="D126" s="7">
        <f>IFERROR(__xludf.DUMMYFUNCTION("""COMPUTED_VALUE"""),"&lt;p&gt;&lt;strong&gt;The Physics of Color: How are we able to see things?&lt;/strong&gt;&lt;/p&gt;&lt;p&gt;""Color is the visual effect that is caused by the spectral composition of the light emitted, transmitted, or reflected by objects.""&lt;/p&gt;&lt;p&gt;&lt;br&gt;&lt;strong&gt;1. The Formation of Huma"&amp;"n Vision:&lt;/strong&gt;&lt;br&gt;Color originates in light. Sunlight, as we perceive it, is colorless. The rainbow is testimony to the fact that all the colors of the spectrum are present in white light. As illustrated in the picture below, light goes from the sourc"&amp;"e (the sun) to the object (the orange), and finally to the detector: the eye and brain (See the figure ""How the eye sees"" below).&lt;/p&gt;")</f>
        <v/>
      </c>
      <c r="E126" s="7">
        <f>IFERROR(__xludf.DUMMYFUNCTION("""COMPUTED_VALUE"""),"No artifact embedded")</f>
        <v/>
      </c>
      <c r="F126" s="7" t="inlineStr">
        <is>
          <t>Students are instructed on concept mapping and color physics, with no artifacts embedded in Items 1 and 2, but descriptive text and a mentioned figure in Item 3.</t>
        </is>
      </c>
      <c r="G126" s="8" t="inlineStr">
        <is>
          <t>1</t>
        </is>
      </c>
      <c r="H126" s="8" t="inlineStr">
        <is>
          <t>0</t>
        </is>
      </c>
      <c r="I126" s="8" t="inlineStr">
        <is>
          <t>0</t>
        </is>
      </c>
      <c r="J126" s="8" t="inlineStr">
        <is>
          <t>0</t>
        </is>
      </c>
      <c r="K126" s="9" t="inlineStr">
        <is>
          <t>1</t>
        </is>
      </c>
      <c r="L126" s="9" t="inlineStr">
        <is>
          <t>0</t>
        </is>
      </c>
      <c r="M126" s="9" t="inlineStr">
        <is>
          <t>0</t>
        </is>
      </c>
      <c r="N126" s="9" t="inlineStr">
        <is>
          <t>0</t>
        </is>
      </c>
      <c r="O126" s="10" t="inlineStr">
        <is>
          <t>1</t>
        </is>
      </c>
      <c r="P126" s="10" t="inlineStr">
        <is>
          <t>0</t>
        </is>
      </c>
      <c r="Q126" s="10" t="inlineStr">
        <is>
          <t>0</t>
        </is>
      </c>
      <c r="R126" s="10" t="inlineStr">
        <is>
          <t>0</t>
        </is>
      </c>
      <c r="S126" s="10" t="inlineStr">
        <is>
          <t>0</t>
        </is>
      </c>
    </row>
    <row r="127" ht="121" customHeight="1">
      <c r="A127" s="6">
        <f>IFERROR(__xludf.DUMMYFUNCTION("""COMPUTED_VALUE"""),"The color of the light")</f>
        <v/>
      </c>
      <c r="B127" s="6">
        <f>IFERROR(__xludf.DUMMYFUNCTION("""COMPUTED_VALUE"""),"Resource")</f>
        <v/>
      </c>
      <c r="C127" s="6">
        <f>IFERROR(__xludf.DUMMYFUNCTION("""COMPUTED_VALUE"""),"How the eye sees.jpg")</f>
        <v/>
      </c>
      <c r="D127" s="7">
        <f>IFERROR(__xludf.DUMMYFUNCTION("""COMPUTED_VALUE"""),"----___---__--_--~ Downioad from f' E 3174ug45 Dreamstime.com ,..mm HE [3 Peter Hermes PM N Dreamsvme mm")</f>
        <v/>
      </c>
      <c r="E127" s="7">
        <f>IFERROR(__xludf.DUMMYFUNCTION("""COMPUTED_VALUE"""),"image/jpeg – A digital photograph or web image stored in a compressed format, often used for photography and web graphics.")</f>
        <v/>
      </c>
      <c r="F127" s="7" t="inlineStr">
        <is>
          <t>Students were given task descriptions on physics of color and human vision. Embedded artifacts included an image/jpeg file, but no other artifacts were embedded in the items.</t>
        </is>
      </c>
      <c r="G127" s="8" t="inlineStr">
        <is>
          <t>1</t>
        </is>
      </c>
      <c r="H127" s="8" t="inlineStr">
        <is>
          <t>0</t>
        </is>
      </c>
      <c r="I127" s="8" t="inlineStr">
        <is>
          <t>0</t>
        </is>
      </c>
      <c r="J127" s="8" t="inlineStr">
        <is>
          <t>0</t>
        </is>
      </c>
      <c r="K127" s="9" t="inlineStr">
        <is>
          <t>0</t>
        </is>
      </c>
      <c r="L127" s="9" t="inlineStr">
        <is>
          <t>0</t>
        </is>
      </c>
      <c r="M127" s="9" t="inlineStr">
        <is>
          <t>0</t>
        </is>
      </c>
      <c r="N127" s="9" t="inlineStr">
        <is>
          <t>0</t>
        </is>
      </c>
      <c r="O127" s="10" t="inlineStr">
        <is>
          <t>0</t>
        </is>
      </c>
      <c r="P127" s="10" t="inlineStr">
        <is>
          <t>0</t>
        </is>
      </c>
      <c r="Q127" s="10" t="inlineStr">
        <is>
          <t>0</t>
        </is>
      </c>
      <c r="R127" s="10" t="inlineStr">
        <is>
          <t>0</t>
        </is>
      </c>
      <c r="S127" s="10" t="inlineStr">
        <is>
          <t>0</t>
        </is>
      </c>
    </row>
    <row r="128" ht="409.5" customHeight="1">
      <c r="A128" s="6">
        <f>IFERROR(__xludf.DUMMYFUNCTION("""COMPUTED_VALUE"""),"The color of the light")</f>
        <v/>
      </c>
      <c r="B128" s="6">
        <f>IFERROR(__xludf.DUMMYFUNCTION("""COMPUTED_VALUE"""),"Resource")</f>
        <v/>
      </c>
      <c r="C128" s="6">
        <f>IFERROR(__xludf.DUMMYFUNCTION("""COMPUTED_VALUE"""),"Second text block.graasp")</f>
        <v/>
      </c>
      <c r="D128" s="7">
        <f>IFERROR(__xludf.DUMMYFUNCTION("""COMPUTED_VALUE"""),"&lt;p&gt;What is the mechanism that causes the light passing through the optic nerve is shown in our brain as sharp image? The human eye is an organ that reacts to light and has several purposes. As a conscious sense organ, the mammalian eye allows vision. The "&amp;"human eye can distinguish about 10 million colors. &lt;/p&gt;&lt;p&gt;The eyes and a camera share a lot in common. If you want to learn more you can view how the eye works in the following video: &lt;a href=""http://www.healthline.com/vpvideo/vision"" target=""_blank""&gt;"&amp;"http://www.healthline.com/vpvideo/vision&lt;/a&gt;&lt;br&gt;&lt;br&gt;&lt;/p&gt;&lt;p&gt;&lt;strong&gt;2. The Physics of Color:&lt;/strong&gt;&lt;br&gt;How is it possible that people can see some colors and not others?&lt;br&gt;Electromagnetic radiation is characterized by its wavelength (or frequency) and i"&amp;"ts intensity. When the wavelength is within the visible spectrum (the range of wavelengths humans can perceive, approximately from 390 nm to 700 nm), it is known as ""visible light"".&lt;br&gt;Most light sources emit light at many different wavelengths; a sourc"&amp;"e's spectrum is a distribution giving its intensity at each wavelength.&lt;br&gt;Why we can see a combination of colors?.&lt;br&gt;When the wavelength is within the visible spectrum (the range of wavelengths humans can perceive, approximately from 390 nm to 700 nm), "&amp;"it is known as ""visible light"". These combinations offer different colors.&lt;/p&gt;&lt;p&gt;&lt;br&gt;&lt;strong&gt;3. Primary colors:&lt;/strong&gt;&lt;br&gt;Here we will answer the previous questions. What are the primary colors and how their combination can generate other colors, are "&amp;"there different types of combinations?&lt;br&gt;Primary colors (or primary colours) are sets of colors that can be combined to make a useful range of colors. For human applications, three primary colors are usually used, since human color vision is trichromatic"&amp;". For additive combination of colors, as in overlapping projected lights or in CRTdisplays, the primary colors normally used are red, green, and blue. For subtractive combination of colors, as in mixing of pigments or dyes, such as in printing, the primar"&amp;"ies normally used are cyan, magenta, and yellow, though the set of red, yellow, blue is popular among artists (see RGB color model, CMYK color model, and RYB color model for more on these popular sets of primary colors).&lt;br&gt;Any particular choice for a giv"&amp;"en set of primary colors is derived from the spectral sensitivity of each of the human cone photoreceptors; three colors that fall within each of the sensitivity ranges of each of the human cone cells are red, green, and blue. Other sets of colors can be "&amp;"used, though not all will well approximate the full range of color perception. For example, an early color photographic process, autochrome, typically used orange, green, and violet primaries. However, unless negative amounts of a color are allowed the ga"&amp;"mut will be restricted by the choice of primaries. The combination of any two primary colors creates a secondary color (See the primary colors figure below).&lt;/p&gt;")</f>
        <v/>
      </c>
      <c r="E128" s="7">
        <f>IFERROR(__xludf.DUMMYFUNCTION("""COMPUTED_VALUE"""),"No artifact embedded")</f>
        <v/>
      </c>
      <c r="F128" s="7" t="inlineStr">
        <is>
          <t>Instructions: Students learn about physics of color and human vision. 
Embedded artifacts: 1 image/jpeg, no other artifacts.</t>
        </is>
      </c>
      <c r="G128" s="8" t="inlineStr">
        <is>
          <t>1</t>
        </is>
      </c>
      <c r="H128" s="8" t="inlineStr">
        <is>
          <t>0</t>
        </is>
      </c>
      <c r="I128" s="8" t="inlineStr">
        <is>
          <t>0</t>
        </is>
      </c>
      <c r="J128" s="8" t="inlineStr">
        <is>
          <t>0</t>
        </is>
      </c>
      <c r="K128" s="9" t="inlineStr">
        <is>
          <t>0</t>
        </is>
      </c>
      <c r="L128" s="9" t="inlineStr">
        <is>
          <t>0</t>
        </is>
      </c>
      <c r="M128" s="9" t="inlineStr">
        <is>
          <t>0</t>
        </is>
      </c>
      <c r="N128" s="9" t="inlineStr">
        <is>
          <t>0</t>
        </is>
      </c>
      <c r="O128" s="10" t="inlineStr">
        <is>
          <t>1</t>
        </is>
      </c>
      <c r="P128" s="10" t="inlineStr">
        <is>
          <t>1</t>
        </is>
      </c>
      <c r="Q128" s="10" t="inlineStr">
        <is>
          <t>0</t>
        </is>
      </c>
      <c r="R128" s="10" t="inlineStr">
        <is>
          <t>0</t>
        </is>
      </c>
      <c r="S128" s="10" t="inlineStr">
        <is>
          <t>0</t>
        </is>
      </c>
    </row>
    <row r="129" ht="97" customHeight="1">
      <c r="A129" s="6">
        <f>IFERROR(__xludf.DUMMYFUNCTION("""COMPUTED_VALUE"""),"The color of the light")</f>
        <v/>
      </c>
      <c r="B129" s="6">
        <f>IFERROR(__xludf.DUMMYFUNCTION("""COMPUTED_VALUE"""),"Resource")</f>
        <v/>
      </c>
      <c r="C129" s="6">
        <f>IFERROR(__xludf.DUMMYFUNCTION("""COMPUTED_VALUE"""),"The primary colors.png")</f>
        <v/>
      </c>
      <c r="D129" s="7">
        <f>IFERROR(__xludf.DUMMYFUNCTION("""COMPUTED_VALUE"""),"No task description")</f>
        <v/>
      </c>
      <c r="E129" s="7">
        <f>IFERROR(__xludf.DUMMYFUNCTION("""COMPUTED_VALUE"""),"image/png – A high-quality image with support for transparency, often used in design and web applications.")</f>
        <v/>
      </c>
      <c r="F129" s="7" t="inlineStr">
        <is>
          <t>Students are given tasks and images to complete, including a digital photograph and a high-quality PNG image.</t>
        </is>
      </c>
      <c r="G129" s="8" t="inlineStr">
        <is>
          <t>1</t>
        </is>
      </c>
      <c r="H129" s="8" t="inlineStr">
        <is>
          <t>0</t>
        </is>
      </c>
      <c r="I129" s="8" t="inlineStr">
        <is>
          <t>0</t>
        </is>
      </c>
      <c r="J129" s="8" t="inlineStr">
        <is>
          <t>0</t>
        </is>
      </c>
      <c r="K129" s="9" t="inlineStr">
        <is>
          <t>0</t>
        </is>
      </c>
      <c r="L129" s="9" t="inlineStr">
        <is>
          <t>0</t>
        </is>
      </c>
      <c r="M129" s="9" t="inlineStr">
        <is>
          <t>0</t>
        </is>
      </c>
      <c r="N129" s="9" t="inlineStr">
        <is>
          <t>0</t>
        </is>
      </c>
      <c r="O129" s="10" t="inlineStr">
        <is>
          <t>0</t>
        </is>
      </c>
      <c r="P129" s="10" t="inlineStr">
        <is>
          <t>0</t>
        </is>
      </c>
      <c r="Q129" s="10" t="inlineStr">
        <is>
          <t>0</t>
        </is>
      </c>
      <c r="R129" s="10" t="inlineStr">
        <is>
          <t>0</t>
        </is>
      </c>
      <c r="S129" s="10" t="inlineStr">
        <is>
          <t>0</t>
        </is>
      </c>
    </row>
    <row r="130" ht="241" customHeight="1">
      <c r="A130" s="6">
        <f>IFERROR(__xludf.DUMMYFUNCTION("""COMPUTED_VALUE"""),"The color of the light")</f>
        <v/>
      </c>
      <c r="B130" s="6">
        <f>IFERROR(__xludf.DUMMYFUNCTION("""COMPUTED_VALUE"""),"Resource")</f>
        <v/>
      </c>
      <c r="C130" s="6">
        <f>IFERROR(__xludf.DUMMYFUNCTION("""COMPUTED_VALUE"""),"Third text block.graasp")</f>
        <v/>
      </c>
      <c r="D130" s="7">
        <f>IFERROR(__xludf.DUMMYFUNCTION("""COMPUTED_VALUE"""),"&lt;p&gt;Look at your notes and your concept map from the orientation phase. Formulate a research question that includes red, green, blue or an interaction between these, and the term ""combine"". Use the questioning scratchpad to formulate your research questi"&amp;"on.&lt;/p&gt;")</f>
        <v/>
      </c>
      <c r="E130" s="7">
        <f>IFERROR(__xludf.DUMMYFUNCTION("""COMPUTED_VALUE"""),"No artifact embedded")</f>
        <v/>
      </c>
      <c r="F130" s="7" t="inlineStr">
        <is>
          <t>Students are tasked with understanding color mechanisms and formulating research questions on primary colors. Embedded artifacts include a video link and a PNG image.</t>
        </is>
      </c>
      <c r="G130" s="8" t="inlineStr">
        <is>
          <t>0</t>
        </is>
      </c>
      <c r="H130" s="8" t="inlineStr">
        <is>
          <t>1</t>
        </is>
      </c>
      <c r="I130" s="8" t="inlineStr">
        <is>
          <t>1</t>
        </is>
      </c>
      <c r="J130" s="8" t="inlineStr">
        <is>
          <t>1</t>
        </is>
      </c>
      <c r="K130" s="9" t="inlineStr">
        <is>
          <t>1</t>
        </is>
      </c>
      <c r="L130" s="9" t="inlineStr">
        <is>
          <t>1</t>
        </is>
      </c>
      <c r="M130" s="9" t="inlineStr">
        <is>
          <t>0</t>
        </is>
      </c>
      <c r="N130" s="9" t="inlineStr">
        <is>
          <t>0</t>
        </is>
      </c>
      <c r="O130" s="10" t="inlineStr">
        <is>
          <t>1</t>
        </is>
      </c>
      <c r="P130" s="10" t="inlineStr">
        <is>
          <t>1</t>
        </is>
      </c>
      <c r="Q130" s="10" t="inlineStr">
        <is>
          <t>1</t>
        </is>
      </c>
      <c r="R130" s="10" t="inlineStr">
        <is>
          <t>0</t>
        </is>
      </c>
      <c r="S130" s="10" t="inlineStr">
        <is>
          <t>0</t>
        </is>
      </c>
    </row>
    <row r="131" ht="409.5" customHeight="1">
      <c r="A131" s="6">
        <f>IFERROR(__xludf.DUMMYFUNCTION("""COMPUTED_VALUE"""),"The color of the light")</f>
        <v/>
      </c>
      <c r="B131" s="6">
        <f>IFERROR(__xludf.DUMMYFUNCTION("""COMPUTED_VALUE"""),"Application")</f>
        <v/>
      </c>
      <c r="C131" s="6">
        <f>IFERROR(__xludf.DUMMYFUNCTION("""COMPUTED_VALUE"""),"Questioning Scratchpad")</f>
        <v/>
      </c>
      <c r="D131" s="7">
        <f>IFERROR(__xludf.DUMMYFUNCTION("""COMPUTED_VALUE"""),"No task description")</f>
        <v/>
      </c>
      <c r="E131"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131" s="7" t="inlineStr">
        <is>
          <t>Students are instructed to formulate a research question and provided with an image and the Question Scratchpad tool.</t>
        </is>
      </c>
      <c r="G131" s="8" t="inlineStr">
        <is>
          <t>0</t>
        </is>
      </c>
      <c r="H131" s="8" t="inlineStr">
        <is>
          <t>1</t>
        </is>
      </c>
      <c r="I131" s="8" t="inlineStr">
        <is>
          <t>1</t>
        </is>
      </c>
      <c r="J131" s="8" t="inlineStr">
        <is>
          <t>1</t>
        </is>
      </c>
      <c r="K131" s="9" t="inlineStr">
        <is>
          <t>1</t>
        </is>
      </c>
      <c r="L131" s="9" t="inlineStr">
        <is>
          <t>0</t>
        </is>
      </c>
      <c r="M131" s="9" t="inlineStr">
        <is>
          <t>1</t>
        </is>
      </c>
      <c r="N131" s="9" t="inlineStr">
        <is>
          <t>1</t>
        </is>
      </c>
      <c r="O131" s="10" t="inlineStr">
        <is>
          <t>1</t>
        </is>
      </c>
      <c r="P131" s="10" t="inlineStr">
        <is>
          <t>1</t>
        </is>
      </c>
      <c r="Q131" s="10" t="inlineStr">
        <is>
          <t>1</t>
        </is>
      </c>
      <c r="R131" s="10" t="inlineStr">
        <is>
          <t>0</t>
        </is>
      </c>
      <c r="S131" s="10" t="inlineStr">
        <is>
          <t>0</t>
        </is>
      </c>
    </row>
    <row r="132" ht="409.5" customHeight="1">
      <c r="A132" s="6">
        <f>IFERROR(__xludf.DUMMYFUNCTION("""COMPUTED_VALUE"""),"The color of the light")</f>
        <v/>
      </c>
      <c r="B132" s="6">
        <f>IFERROR(__xludf.DUMMYFUNCTION("""COMPUTED_VALUE"""),"Space")</f>
        <v/>
      </c>
      <c r="C132" s="6">
        <f>IFERROR(__xludf.DUMMYFUNCTION("""COMPUTED_VALUE"""),"Investigation")</f>
        <v/>
      </c>
      <c r="D132" s="7">
        <f>IFERROR(__xludf.DUMMYFUNCTION("""COMPUTED_VALUE"""),"&lt;p&gt;&lt;strong&gt;Representation of Colors:&lt;/strong&gt;&lt;/p&gt;&lt;p&gt;How the colors are shown in the real world, in digital format, on a TV, on a canvas, on paper, etc.? A color model is an abstract mathematical model describing the way colors can be represented as tuples"&amp;" of numbers, typically as three or four values or color components. When this model is associated with a precise description of how the components are to be interpreted (viewing conditions, etc.), the resulting set of colors is called a color space. In th"&amp;"is phase you are going to perform experiments with two different labs. In experiment 1 you use a virtual laboratoy and in experiment 2 (which is below) you use a real remote laboratory.&lt;br&gt;&lt;strong&gt;&lt;br&gt;&lt;/strong&gt;&lt;/p&gt;&lt;p&gt;&lt;strong&gt;Experiment 1:&lt;/strong&gt;&lt;br&gt;You "&amp;"want to answer your research question. For this, you will conduct an experiment. Have a look at the Mixing colors virtual laboratory below. You can move the sliders to combine primary colors and see the final color combination.&lt;/p&gt;&lt;p&gt;Record your observati"&amp;"ons in the tool below the lab. Press + to add an observation.&lt;/p&gt;")</f>
        <v/>
      </c>
      <c r="E132" s="7">
        <f>IFERROR(__xludf.DUMMYFUNCTION("""COMPUTED_VALUE"""),"No artifact embedded")</f>
        <v/>
      </c>
      <c r="F132" s="7" t="inlineStr">
        <is>
          <t>Students form research questions using "red", "green", "blue", and "combine" with a questioning scratchpad tool, then conduct experiments on color representation.</t>
        </is>
      </c>
      <c r="G132" s="8" t="inlineStr">
        <is>
          <t>0</t>
        </is>
      </c>
      <c r="H132" s="8" t="inlineStr">
        <is>
          <t>1</t>
        </is>
      </c>
      <c r="I132" s="8" t="inlineStr">
        <is>
          <t>1</t>
        </is>
      </c>
      <c r="J132" s="8" t="inlineStr">
        <is>
          <t>1</t>
        </is>
      </c>
      <c r="K132" s="9" t="inlineStr">
        <is>
          <t>1</t>
        </is>
      </c>
      <c r="L132" s="9" t="inlineStr">
        <is>
          <t>1</t>
        </is>
      </c>
      <c r="M132" s="9" t="inlineStr">
        <is>
          <t>0</t>
        </is>
      </c>
      <c r="N132" s="9" t="inlineStr">
        <is>
          <t>0</t>
        </is>
      </c>
      <c r="O132" s="10" t="inlineStr">
        <is>
          <t>1</t>
        </is>
      </c>
      <c r="P132" s="10" t="inlineStr">
        <is>
          <t>1</t>
        </is>
      </c>
      <c r="Q132" s="10" t="inlineStr">
        <is>
          <t>1</t>
        </is>
      </c>
      <c r="R132" s="10" t="inlineStr">
        <is>
          <t>0</t>
        </is>
      </c>
      <c r="S132" s="10" t="inlineStr">
        <is>
          <t>0</t>
        </is>
      </c>
    </row>
    <row r="133" ht="409.5" customHeight="1">
      <c r="A133" s="6">
        <f>IFERROR(__xludf.DUMMYFUNCTION("""COMPUTED_VALUE"""),"The color of the light")</f>
        <v/>
      </c>
      <c r="B133" s="6">
        <f>IFERROR(__xludf.DUMMYFUNCTION("""COMPUTED_VALUE"""),"Resource")</f>
        <v/>
      </c>
      <c r="C133" s="6">
        <f>IFERROR(__xludf.DUMMYFUNCTION("""COMPUTED_VALUE"""),"Hints.graasp")</f>
        <v/>
      </c>
      <c r="D133" s="7">
        <f>IFERROR(__xludf.DUMMYFUNCTION("""COMPUTED_VALUE"""),"&lt;p&gt;&lt;strong&gt;Tips for Research&lt;/strong&gt;&lt;/p&gt;&lt;ul&gt;&lt;li&gt;Research question: A research question is a question you find interesting to try to answer by conducting research.&lt;/li&gt;&lt;li&gt;Experiment: An experiment is a scientific test in which you perform a series of act"&amp;"ions and carefully observe their effects in order to learn about something (http://www.merriam-webster.com/dictionary/experime...).&lt;/li&gt;&lt;li&gt;RGB LED laboratory ""The color of the light"": In this laboratory there is a lamp that you can turn on and off, and"&amp;" send three different colors mixed to observe the final result.&lt;/li&gt;&lt;/ul&gt;&lt;br&gt;&lt;strong&gt;Tips to set up an experiment:&lt;/strong&gt;&lt;br&gt;&lt;ul&gt;&lt;li&gt;Design experiments to test given theories.&lt;/li&gt;&lt;li&gt;Keep experiments plain and simple.&lt;/li&gt;&lt;li&gt;Vary one thing at a time. "&amp;"Keep in mind that some concepts are made up of multiple concepts (e.g. speed = distance/time).&lt;/li&gt;&lt;li&gt;Keep general settings the same across experiments.&lt;/li&gt;&lt;li&gt;Make use of simple values&lt;/li&gt;&lt;li&gt;Make use of extreme values&lt;/li&gt;&lt;/ul&gt;")</f>
        <v/>
      </c>
      <c r="E133" s="7">
        <f>IFERROR(__xludf.DUMMYFUNCTION("""COMPUTED_VALUE"""),"No artifact embedded")</f>
        <v/>
      </c>
      <c r="F133" s="7" t="inlineStr">
        <is>
          <t>Students received task descriptions and embedded artifacts for labs, including a research question tool and color experiments with virtual and remote labs.</t>
        </is>
      </c>
      <c r="G133" s="8" t="inlineStr">
        <is>
          <t>0</t>
        </is>
      </c>
      <c r="H133" s="8" t="inlineStr">
        <is>
          <t>1</t>
        </is>
      </c>
      <c r="I133" s="8" t="inlineStr">
        <is>
          <t>0</t>
        </is>
      </c>
      <c r="J133" s="8" t="inlineStr">
        <is>
          <t>1</t>
        </is>
      </c>
      <c r="K133" s="9" t="inlineStr">
        <is>
          <t>0</t>
        </is>
      </c>
      <c r="L133" s="9" t="inlineStr">
        <is>
          <t>0</t>
        </is>
      </c>
      <c r="M133" s="9" t="inlineStr">
        <is>
          <t>0</t>
        </is>
      </c>
      <c r="N133" s="9" t="inlineStr">
        <is>
          <t>0</t>
        </is>
      </c>
      <c r="O133" s="10" t="inlineStr">
        <is>
          <t>0</t>
        </is>
      </c>
      <c r="P133" s="10" t="inlineStr">
        <is>
          <t>1</t>
        </is>
      </c>
      <c r="Q133" s="10" t="inlineStr">
        <is>
          <t>1</t>
        </is>
      </c>
      <c r="R133" s="10" t="inlineStr">
        <is>
          <t>0</t>
        </is>
      </c>
      <c r="S133" s="10" t="inlineStr">
        <is>
          <t>0</t>
        </is>
      </c>
    </row>
    <row r="134" ht="109" customHeight="1">
      <c r="A134" s="6">
        <f>IFERROR(__xludf.DUMMYFUNCTION("""COMPUTED_VALUE"""),"The color of the light")</f>
        <v/>
      </c>
      <c r="B134" s="6">
        <f>IFERROR(__xludf.DUMMYFUNCTION("""COMPUTED_VALUE"""),"Resource")</f>
        <v/>
      </c>
      <c r="C134" s="6">
        <f>IFERROR(__xludf.DUMMYFUNCTION("""COMPUTED_VALUE"""),"Mixing Colors.swf")</f>
        <v/>
      </c>
      <c r="D134" s="7">
        <f>IFERROR(__xludf.DUMMYFUNCTION("""COMPUTED_VALUE"""),"No task description")</f>
        <v/>
      </c>
      <c r="E134" s="7">
        <f>IFERROR(__xludf.DUMMYFUNCTION("""COMPUTED_VALUE"""),"application/x-shockwave-flash – An interactive Flash animation or application, formerly used for web games and media (now deprecated).")</f>
        <v/>
      </c>
      <c r="F134" s="7" t="inlineStr">
        <is>
          <t>Students are instructed to conduct experiments on color representation. Embedded artifacts include virtual labs and a Flash animation.</t>
        </is>
      </c>
      <c r="G134" s="8" t="inlineStr">
        <is>
          <t>1</t>
        </is>
      </c>
      <c r="H134" s="8" t="inlineStr">
        <is>
          <t>0</t>
        </is>
      </c>
      <c r="I134" s="8" t="inlineStr">
        <is>
          <t>0</t>
        </is>
      </c>
      <c r="J134" s="8" t="inlineStr">
        <is>
          <t>1</t>
        </is>
      </c>
      <c r="K134" s="9" t="inlineStr">
        <is>
          <t>0</t>
        </is>
      </c>
      <c r="L134" s="9" t="inlineStr">
        <is>
          <t>0</t>
        </is>
      </c>
      <c r="M134" s="9" t="inlineStr">
        <is>
          <t>0</t>
        </is>
      </c>
      <c r="N134" s="9" t="inlineStr">
        <is>
          <t>0</t>
        </is>
      </c>
      <c r="O134" s="10" t="inlineStr">
        <is>
          <t>0</t>
        </is>
      </c>
      <c r="P134" s="10" t="inlineStr">
        <is>
          <t>0</t>
        </is>
      </c>
      <c r="Q134" s="10" t="inlineStr">
        <is>
          <t>0</t>
        </is>
      </c>
      <c r="R134" s="10" t="inlineStr">
        <is>
          <t>0</t>
        </is>
      </c>
      <c r="S134" s="10" t="inlineStr">
        <is>
          <t>0</t>
        </is>
      </c>
    </row>
    <row r="135" ht="395" customHeight="1">
      <c r="A135" s="6">
        <f>IFERROR(__xludf.DUMMYFUNCTION("""COMPUTED_VALUE"""),"The color of the light")</f>
        <v/>
      </c>
      <c r="B135" s="6">
        <f>IFERROR(__xludf.DUMMYFUNCTION("""COMPUTED_VALUE"""),"Application")</f>
        <v/>
      </c>
      <c r="C135" s="6">
        <f>IFERROR(__xludf.DUMMYFUNCTION("""COMPUTED_VALUE"""),"Observation Tool")</f>
        <v/>
      </c>
      <c r="D135" s="7">
        <f>IFERROR(__xludf.DUMMYFUNCTION("""COMPUTED_VALUE"""),"No task description")</f>
        <v/>
      </c>
      <c r="E13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135" s="7" t="inlineStr">
        <is>
          <t>Students are given tips on research and experiment design. Embedded artifacts include a Flash animation, an observation tool (Golabz app/lab), and an RGB LED laboratory.</t>
        </is>
      </c>
      <c r="G135" s="8" t="inlineStr">
        <is>
          <t>0</t>
        </is>
      </c>
      <c r="H135" s="8" t="inlineStr">
        <is>
          <t>1</t>
        </is>
      </c>
      <c r="I135" s="8" t="inlineStr">
        <is>
          <t>1</t>
        </is>
      </c>
      <c r="J135" s="8" t="inlineStr">
        <is>
          <t>1</t>
        </is>
      </c>
      <c r="K135" s="9" t="inlineStr">
        <is>
          <t>0</t>
        </is>
      </c>
      <c r="L135" s="9" t="inlineStr">
        <is>
          <t>0</t>
        </is>
      </c>
      <c r="M135" s="9" t="inlineStr">
        <is>
          <t>1</t>
        </is>
      </c>
      <c r="N135" s="9" t="inlineStr">
        <is>
          <t>1</t>
        </is>
      </c>
      <c r="O135" s="10" t="inlineStr">
        <is>
          <t>0</t>
        </is>
      </c>
      <c r="P135" s="10" t="inlineStr">
        <is>
          <t>1</t>
        </is>
      </c>
      <c r="Q135" s="10" t="inlineStr">
        <is>
          <t>1</t>
        </is>
      </c>
      <c r="R135" s="10" t="inlineStr">
        <is>
          <t>1</t>
        </is>
      </c>
      <c r="S135" s="10" t="inlineStr">
        <is>
          <t>0</t>
        </is>
      </c>
    </row>
    <row r="136" ht="409.5" customHeight="1">
      <c r="A136" s="6">
        <f>IFERROR(__xludf.DUMMYFUNCTION("""COMPUTED_VALUE"""),"The color of the light")</f>
        <v/>
      </c>
      <c r="B136" s="6">
        <f>IFERROR(__xludf.DUMMYFUNCTION("""COMPUTED_VALUE"""),"Application")</f>
        <v/>
      </c>
      <c r="C136" s="6">
        <f>IFERROR(__xludf.DUMMYFUNCTION("""COMPUTED_VALUE"""),"The color of the light Laboratory")</f>
        <v/>
      </c>
      <c r="D136" s="7">
        <f>IFERROR(__xludf.DUMMYFUNCTION("""COMPUTED_VALUE"""),"&lt;p&gt;&lt;strong&gt;Experiment 2:&lt;/strong&gt;&lt;/p&gt;&lt;p&gt;In the RGB LED real laboratory ""The color of the light"" you can adjust three different values, send them to the physical and real (not virtual) device and see what happens. What can you find out if you move the sl"&amp;"iders? In making the choices, does the order matter? If you change the three colors at the same time you cannot tell what caused the result.&lt;br&gt;&lt;br&gt;&lt;/p&gt;")</f>
        <v/>
      </c>
      <c r="E136" s="7">
        <f>IFERROR(__xludf.DUMMYFUNCTION("""COMPUTED_VALUE"""),"Golabz app/lab: ""&lt;p&gt;You will see that there is a difference between reality and theory.&lt;/p&gt;\r\n\r\n&lt;ul&gt;\r\n\t&lt;li&gt;Use this difference to investigate and find out what is the reason that light around us show colors that we perceive differently in reality.&lt;"&amp;"/li&gt;\r\n\t&lt;li&gt;Use the three sliders (red, green and blue) to select your color combination.&lt;/li&gt;\r\n\t&lt;li&gt;Then send the new values to the RGB led and compare the real result with the virtual color square below the sliders.&lt;/li&gt;\r\n\t&lt;li&gt;Each slider contro"&amp;"ls one of the three primary colors. Move each of them to get the desired color combination.&lt;/li&gt;\r\n\t&lt;li&gt;Once obtained it comparing the color of the bulb with digital color that it is displayed in the laboratory.&lt;/li&gt;\r\n&lt;/ul&gt;\r\n\r\n&lt;p&gt;You can help your"&amp;"self with the ILS created for this lab:&amp;nbsp;http://www.golabz.eu/spaces/color-light.&lt;/p&gt;\r\n\r\n&lt;p&gt;Show to students how light and colors work on real life and how are they preceived.&lt;/p&gt;\r\n""")</f>
        <v/>
      </c>
      <c r="F136" s="7" t="inlineStr">
        <is>
          <t>Students received no task descriptions for Items 1 and 2. Item 3 instructed them to experiment with RGB LED colors using Golabz app/lab.</t>
        </is>
      </c>
      <c r="G136" s="8" t="inlineStr">
        <is>
          <t>0</t>
        </is>
      </c>
      <c r="H136" s="8" t="inlineStr">
        <is>
          <t>1</t>
        </is>
      </c>
      <c r="I136" s="8" t="inlineStr">
        <is>
          <t>1</t>
        </is>
      </c>
      <c r="J136" s="8" t="inlineStr">
        <is>
          <t>1</t>
        </is>
      </c>
      <c r="K136" s="9" t="inlineStr">
        <is>
          <t>1</t>
        </is>
      </c>
      <c r="L136" s="9" t="inlineStr">
        <is>
          <t>0</t>
        </is>
      </c>
      <c r="M136" s="9" t="inlineStr">
        <is>
          <t>0</t>
        </is>
      </c>
      <c r="N136" s="9" t="inlineStr">
        <is>
          <t>0</t>
        </is>
      </c>
      <c r="O136" s="10" t="inlineStr">
        <is>
          <t>1</t>
        </is>
      </c>
      <c r="P136" s="10" t="inlineStr">
        <is>
          <t>1</t>
        </is>
      </c>
      <c r="Q136" s="10" t="inlineStr">
        <is>
          <t>1</t>
        </is>
      </c>
      <c r="R136" s="10" t="inlineStr">
        <is>
          <t>1</t>
        </is>
      </c>
      <c r="S136" s="10" t="inlineStr">
        <is>
          <t>0</t>
        </is>
      </c>
    </row>
    <row r="137" ht="241" customHeight="1">
      <c r="A137" s="6">
        <f>IFERROR(__xludf.DUMMYFUNCTION("""COMPUTED_VALUE"""),"The color of the light")</f>
        <v/>
      </c>
      <c r="B137" s="6">
        <f>IFERROR(__xludf.DUMMYFUNCTION("""COMPUTED_VALUE"""),"Resource")</f>
        <v/>
      </c>
      <c r="C137" s="6">
        <f>IFERROR(__xludf.DUMMYFUNCTION("""COMPUTED_VALUE"""),"End.graasp")</f>
        <v/>
      </c>
      <c r="D137" s="7">
        <f>IFERROR(__xludf.DUMMYFUNCTION("""COMPUTED_VALUE"""),"&lt;p&gt;Once you have tried different combinations, open your notes and answer as detailed as possible the following questions:&lt;/p&gt;&lt;ul&gt;&lt;li&gt;What is the result of mixing the three primary colors?&lt;/li&gt;&lt;li&gt;And blue with yellow?&lt;/li&gt;&lt;li&gt;Which one reflects more ligh"&amp;"t?&lt;/li&gt;&lt;/ul&gt;")</f>
        <v/>
      </c>
      <c r="E137" s="7">
        <f>IFERROR(__xludf.DUMMYFUNCTION("""COMPUTED_VALUE"""),"No artifact embedded")</f>
        <v/>
      </c>
      <c r="F137" s="7" t="inlineStr">
        <is>
          <t>Students are instructed to conduct experiments using Golabz app/lab, record observations, and analyze data to draw conclusions about light and colors. Embedded artifacts include interactive labs and tools for experimentation and collaboration.</t>
        </is>
      </c>
      <c r="G137" s="8" t="inlineStr">
        <is>
          <t>0</t>
        </is>
      </c>
      <c r="H137" s="8" t="inlineStr">
        <is>
          <t>0</t>
        </is>
      </c>
      <c r="I137" s="8" t="inlineStr">
        <is>
          <t>0</t>
        </is>
      </c>
      <c r="J137" s="8" t="inlineStr">
        <is>
          <t>0</t>
        </is>
      </c>
      <c r="K137" s="9" t="inlineStr">
        <is>
          <t>1</t>
        </is>
      </c>
      <c r="L137" s="9" t="inlineStr">
        <is>
          <t>1</t>
        </is>
      </c>
      <c r="M137" s="9" t="inlineStr">
        <is>
          <t>0</t>
        </is>
      </c>
      <c r="N137" s="9" t="inlineStr">
        <is>
          <t>0</t>
        </is>
      </c>
      <c r="O137" s="10" t="inlineStr">
        <is>
          <t>0</t>
        </is>
      </c>
      <c r="P137" s="10" t="inlineStr">
        <is>
          <t>0</t>
        </is>
      </c>
      <c r="Q137" s="10" t="inlineStr">
        <is>
          <t>1</t>
        </is>
      </c>
      <c r="R137" s="10" t="inlineStr">
        <is>
          <t>0</t>
        </is>
      </c>
      <c r="S137" s="10" t="inlineStr">
        <is>
          <t>0</t>
        </is>
      </c>
    </row>
    <row r="138" ht="329" customHeight="1">
      <c r="A138" s="6">
        <f>IFERROR(__xludf.DUMMYFUNCTION("""COMPUTED_VALUE"""),"The color of the light")</f>
        <v/>
      </c>
      <c r="B138" s="6">
        <f>IFERROR(__xludf.DUMMYFUNCTION("""COMPUTED_VALUE"""),"Application")</f>
        <v/>
      </c>
      <c r="C138" s="6">
        <f>IFERROR(__xludf.DUMMYFUNCTION("""COMPUTED_VALUE"""),"Input Box")</f>
        <v/>
      </c>
      <c r="D138" s="7">
        <f>IFERROR(__xludf.DUMMYFUNCTION("""COMPUTED_VALUE"""),"No task description")</f>
        <v/>
      </c>
      <c r="E1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38" s="7" t="inlineStr">
        <is>
          <t>Students experiment with RGB LED, adjusting sliders to investigate color combinations and perceive differences between reality and theory. Embedded artifacts include Golabz app/lab and input box for note-taking.</t>
        </is>
      </c>
      <c r="G138" s="8" t="inlineStr">
        <is>
          <t>0</t>
        </is>
      </c>
      <c r="H138" s="8" t="inlineStr">
        <is>
          <t>1</t>
        </is>
      </c>
      <c r="I138" s="8" t="inlineStr">
        <is>
          <t>1</t>
        </is>
      </c>
      <c r="J138" s="8" t="inlineStr">
        <is>
          <t>1</t>
        </is>
      </c>
      <c r="K138" s="9" t="inlineStr">
        <is>
          <t>0</t>
        </is>
      </c>
      <c r="L138" s="9" t="inlineStr">
        <is>
          <t>1</t>
        </is>
      </c>
      <c r="M138" s="9" t="inlineStr">
        <is>
          <t>1</t>
        </is>
      </c>
      <c r="N138" s="9" t="inlineStr">
        <is>
          <t>1</t>
        </is>
      </c>
      <c r="O138" s="10" t="inlineStr">
        <is>
          <t>0</t>
        </is>
      </c>
      <c r="P138" s="10" t="inlineStr">
        <is>
          <t>0</t>
        </is>
      </c>
      <c r="Q138" s="10" t="inlineStr">
        <is>
          <t>0</t>
        </is>
      </c>
      <c r="R138" s="10" t="inlineStr">
        <is>
          <t>0</t>
        </is>
      </c>
      <c r="S138" s="10" t="inlineStr">
        <is>
          <t>1</t>
        </is>
      </c>
    </row>
    <row r="139" ht="296" customHeight="1">
      <c r="A139" s="6">
        <f>IFERROR(__xludf.DUMMYFUNCTION("""COMPUTED_VALUE"""),"The color of the light")</f>
        <v/>
      </c>
      <c r="B139" s="6">
        <f>IFERROR(__xludf.DUMMYFUNCTION("""COMPUTED_VALUE"""),"Space")</f>
        <v/>
      </c>
      <c r="C139" s="6">
        <f>IFERROR(__xludf.DUMMYFUNCTION("""COMPUTED_VALUE"""),"Conclusion")</f>
        <v/>
      </c>
      <c r="D139" s="7">
        <f>IFERROR(__xludf.DUMMYFUNCTION("""COMPUTED_VALUE"""),"&lt;p&gt;You managed to complete the activity and you conducted experiments to answer ""Do I understand the way colors works?"". Can you answer your research question with the results you obtained? You can use the conclusion tool below to have a look at your re"&amp;"search question and on the observations that you recorded during the experiments.&lt;/p&gt;")</f>
        <v/>
      </c>
      <c r="E139" s="7">
        <f>IFERROR(__xludf.DUMMYFUNCTION("""COMPUTED_VALUE"""),"No artifact embedded")</f>
        <v/>
      </c>
      <c r="F139" s="7" t="inlineStr">
        <is>
          <t>Students answer color-mixing questions and record notes using an app, then reflect on their findings and research question.</t>
        </is>
      </c>
      <c r="G139" s="8" t="inlineStr">
        <is>
          <t>0</t>
        </is>
      </c>
      <c r="H139" s="8" t="inlineStr">
        <is>
          <t>1</t>
        </is>
      </c>
      <c r="I139" s="8" t="inlineStr">
        <is>
          <t>1</t>
        </is>
      </c>
      <c r="J139" s="8" t="inlineStr">
        <is>
          <t>1</t>
        </is>
      </c>
      <c r="K139" s="9" t="inlineStr">
        <is>
          <t>1</t>
        </is>
      </c>
      <c r="L139" s="9" t="inlineStr">
        <is>
          <t>1</t>
        </is>
      </c>
      <c r="M139" s="9" t="inlineStr">
        <is>
          <t>0</t>
        </is>
      </c>
      <c r="N139" s="9" t="inlineStr">
        <is>
          <t>0</t>
        </is>
      </c>
      <c r="O139" s="10" t="inlineStr">
        <is>
          <t>0</t>
        </is>
      </c>
      <c r="P139" s="10" t="inlineStr">
        <is>
          <t>1</t>
        </is>
      </c>
      <c r="Q139" s="10" t="inlineStr">
        <is>
          <t>1</t>
        </is>
      </c>
      <c r="R139" s="10" t="inlineStr">
        <is>
          <t>1</t>
        </is>
      </c>
      <c r="S139" s="10" t="inlineStr">
        <is>
          <t>1</t>
        </is>
      </c>
    </row>
    <row r="140" ht="409.5" customHeight="1">
      <c r="A140" s="6">
        <f>IFERROR(__xludf.DUMMYFUNCTION("""COMPUTED_VALUE"""),"The color of the light")</f>
        <v/>
      </c>
      <c r="B140" s="6">
        <f>IFERROR(__xludf.DUMMYFUNCTION("""COMPUTED_VALUE"""),"Resource")</f>
        <v/>
      </c>
      <c r="C140" s="6">
        <f>IFERROR(__xludf.DUMMYFUNCTION("""COMPUTED_VALUE"""),"Hints.graasp")</f>
        <v/>
      </c>
      <c r="D140" s="7">
        <f>IFERROR(__xludf.DUMMYFUNCTION("""COMPUTED_VALUE"""),"&lt;p&gt;Tips for Writing a ConclusionExperiment: &lt;/p&gt;&lt;ul&gt;&lt;li&gt;An experiment is a scientific test in which you perform a series of actions and carefully observe their effects in order to learn about something (&lt;a href=""http://www.merriam-webster.com/dictionary/"&amp;"experime...).Research"" target=""_blank""&gt;http://www.merriam-webster.com/dictionary/experime...&lt;/a&gt; &lt;/li&gt;&lt;li&gt;A research question is a question you find interesting to try to answer by conducting research.&lt;/li&gt;&lt;li&gt;Conclusion tool: The conclusion tool is a "&amp;"tool to help you draw conclusions regarding your research question based on the results you obtained.&lt;/li&gt;&lt;li&gt;Conclusions: Your conclusions summarize how your results answer your original research question (http://www.sciencebuddies.org/science-fair-proje"&amp;"ct...).&lt;/li&gt;&lt;/ul&gt;")</f>
        <v/>
      </c>
      <c r="E140" s="7">
        <f>IFERROR(__xludf.DUMMYFUNCTION("""COMPUTED_VALUE"""),"No artifact embedded")</f>
        <v/>
      </c>
      <c r="F140" s="7" t="inlineStr">
        <is>
          <t>Students are given tasks and tools, including the Golabz app and conclusion tool, to conduct experiments and draw conclusions.</t>
        </is>
      </c>
      <c r="G140" s="8" t="inlineStr">
        <is>
          <t>0</t>
        </is>
      </c>
      <c r="H140" s="8" t="inlineStr">
        <is>
          <t>0</t>
        </is>
      </c>
      <c r="I140" s="8" t="inlineStr">
        <is>
          <t>0</t>
        </is>
      </c>
      <c r="J140" s="8" t="inlineStr">
        <is>
          <t>0</t>
        </is>
      </c>
      <c r="K140" s="9" t="inlineStr">
        <is>
          <t>1</t>
        </is>
      </c>
      <c r="L140" s="9" t="inlineStr">
        <is>
          <t>0</t>
        </is>
      </c>
      <c r="M140" s="9" t="inlineStr">
        <is>
          <t>0</t>
        </is>
      </c>
      <c r="N140" s="9" t="inlineStr">
        <is>
          <t>0</t>
        </is>
      </c>
      <c r="O140" s="10" t="inlineStr">
        <is>
          <t>0</t>
        </is>
      </c>
      <c r="P140" s="10" t="inlineStr">
        <is>
          <t>1</t>
        </is>
      </c>
      <c r="Q140" s="10" t="inlineStr">
        <is>
          <t>1</t>
        </is>
      </c>
      <c r="R140" s="10" t="inlineStr">
        <is>
          <t>1</t>
        </is>
      </c>
      <c r="S140" s="10" t="inlineStr">
        <is>
          <t>0</t>
        </is>
      </c>
    </row>
    <row r="141" ht="409.5" customHeight="1">
      <c r="A141" s="6">
        <f>IFERROR(__xludf.DUMMYFUNCTION("""COMPUTED_VALUE"""),"The color of the light")</f>
        <v/>
      </c>
      <c r="B141" s="6">
        <f>IFERROR(__xludf.DUMMYFUNCTION("""COMPUTED_VALUE"""),"Application")</f>
        <v/>
      </c>
      <c r="C141" s="6">
        <f>IFERROR(__xludf.DUMMYFUNCTION("""COMPUTED_VALUE"""),"Conclusion Tool")</f>
        <v/>
      </c>
      <c r="D141" s="7">
        <f>IFERROR(__xludf.DUMMYFUNCTION("""COMPUTED_VALUE"""),"No task description")</f>
        <v/>
      </c>
      <c r="E14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141" s="7" t="inlineStr">
        <is>
          <t>Students: Complete experiments, record observations, and draw conclusions. 
Embedded artifacts: None, except Golabz app/lab in Item3.</t>
        </is>
      </c>
      <c r="G141" s="8" t="inlineStr">
        <is>
          <t>0</t>
        </is>
      </c>
      <c r="H141" s="8" t="inlineStr">
        <is>
          <t>1</t>
        </is>
      </c>
      <c r="I141" s="8" t="inlineStr">
        <is>
          <t>1</t>
        </is>
      </c>
      <c r="J141" s="8" t="inlineStr">
        <is>
          <t>1</t>
        </is>
      </c>
      <c r="K141" s="9" t="inlineStr">
        <is>
          <t>1</t>
        </is>
      </c>
      <c r="L141" s="9" t="inlineStr">
        <is>
          <t>0</t>
        </is>
      </c>
      <c r="M141" s="9" t="inlineStr">
        <is>
          <t>0</t>
        </is>
      </c>
      <c r="N141" s="9" t="inlineStr">
        <is>
          <t>0</t>
        </is>
      </c>
      <c r="O141" s="10" t="inlineStr">
        <is>
          <t>0</t>
        </is>
      </c>
      <c r="P141" s="10" t="inlineStr">
        <is>
          <t>1</t>
        </is>
      </c>
      <c r="Q141" s="10" t="inlineStr">
        <is>
          <t>1</t>
        </is>
      </c>
      <c r="R141" s="10" t="inlineStr">
        <is>
          <t>1</t>
        </is>
      </c>
      <c r="S141" s="10" t="inlineStr">
        <is>
          <t>0</t>
        </is>
      </c>
    </row>
    <row r="142" ht="409.5" customHeight="1">
      <c r="A142" s="6">
        <f>IFERROR(__xludf.DUMMYFUNCTION("""COMPUTED_VALUE"""),"The color of the light")</f>
        <v/>
      </c>
      <c r="B142" s="6">
        <f>IFERROR(__xludf.DUMMYFUNCTION("""COMPUTED_VALUE"""),"Resource")</f>
        <v/>
      </c>
      <c r="C142" s="6">
        <f>IFERROR(__xludf.DUMMYFUNCTION("""COMPUTED_VALUE"""),"Text block after conclusion.graasp")</f>
        <v/>
      </c>
      <c r="D142" s="7">
        <f>IFERROR(__xludf.DUMMYFUNCTION("""COMPUTED_VALUE"""),"&lt;p&gt;If you cannot answer your research question, ask yourself the following questions:&lt;/p&gt;&lt;ul&gt;&lt;li&gt;Did your research question contain one thing you observed/measured and one thing that influenced this?&lt;/li&gt;&lt;li&gt;Could you answer your research question within "&amp;"the LED RGB laboratory with the objects and equipment available?&lt;/li&gt;&lt;li&gt;Did you design your experiment in such a way that you could answer your research question?&lt;/li&gt;&lt;li&gt;Do you think it is possible to answer your research question if you checked other c"&amp;"ombinations?&lt;/li&gt;&lt;/ul&gt;When this is not the case, ask your teacher for help.")</f>
        <v/>
      </c>
      <c r="E142" s="7">
        <f>IFERROR(__xludf.DUMMYFUNCTION("""COMPUTED_VALUE"""),"No artifact embedded")</f>
        <v/>
      </c>
      <c r="F142" s="7" t="inlineStr">
        <is>
          <t>Students are given tips on writing conclusions and using tools to draw conclusions from experiment results. Embedded artifacts include a conclusion tool and Golabz app/lab with configurable settings.</t>
        </is>
      </c>
      <c r="G142" s="8" t="inlineStr">
        <is>
          <t>0</t>
        </is>
      </c>
      <c r="H142" s="8" t="inlineStr">
        <is>
          <t>0</t>
        </is>
      </c>
      <c r="I142" s="8" t="inlineStr">
        <is>
          <t>0</t>
        </is>
      </c>
      <c r="J142" s="8" t="inlineStr">
        <is>
          <t>0</t>
        </is>
      </c>
      <c r="K142" s="9" t="inlineStr">
        <is>
          <t>1</t>
        </is>
      </c>
      <c r="L142" s="9" t="inlineStr">
        <is>
          <t>0</t>
        </is>
      </c>
      <c r="M142" s="9" t="inlineStr">
        <is>
          <t>0</t>
        </is>
      </c>
      <c r="N142" s="9" t="inlineStr">
        <is>
          <t>0</t>
        </is>
      </c>
      <c r="O142" s="10" t="inlineStr">
        <is>
          <t>0</t>
        </is>
      </c>
      <c r="P142" s="10" t="inlineStr">
        <is>
          <t>1</t>
        </is>
      </c>
      <c r="Q142" s="10" t="inlineStr">
        <is>
          <t>1</t>
        </is>
      </c>
      <c r="R142" s="10" t="inlineStr">
        <is>
          <t>0</t>
        </is>
      </c>
      <c r="S142" s="10" t="inlineStr">
        <is>
          <t>0</t>
        </is>
      </c>
    </row>
    <row r="143" ht="25" customHeight="1">
      <c r="A143" s="6">
        <f>IFERROR(__xludf.DUMMYFUNCTION("""COMPUTED_VALUE"""),"The color of the light")</f>
        <v/>
      </c>
      <c r="B143" s="6">
        <f>IFERROR(__xludf.DUMMYFUNCTION("""COMPUTED_VALUE"""),"Space")</f>
        <v/>
      </c>
      <c r="C143" s="6">
        <f>IFERROR(__xludf.DUMMYFUNCTION("""COMPUTED_VALUE"""),"Discussion")</f>
        <v/>
      </c>
      <c r="D143" s="7">
        <f>IFERROR(__xludf.DUMMYFUNCTION("""COMPUTED_VALUE"""),"No task description")</f>
        <v/>
      </c>
      <c r="E143" s="7">
        <f>IFERROR(__xludf.DUMMYFUNCTION("""COMPUTED_VALUE"""),"No artifact embedded")</f>
        <v/>
      </c>
      <c r="F143" s="7" t="inlineStr">
        <is>
          <t>Students are given tasks and tools, including the Golabz app, to test hypotheses and answer questions with data graphs and observations.</t>
        </is>
      </c>
      <c r="G143" s="8" t="inlineStr">
        <is>
          <t>1</t>
        </is>
      </c>
      <c r="H143" s="8" t="inlineStr">
        <is>
          <t>0</t>
        </is>
      </c>
      <c r="I143" s="8" t="inlineStr">
        <is>
          <t>0</t>
        </is>
      </c>
      <c r="J143" s="8" t="inlineStr">
        <is>
          <t>0</t>
        </is>
      </c>
      <c r="K143" s="9" t="inlineStr">
        <is>
          <t>0</t>
        </is>
      </c>
      <c r="L143" s="9" t="inlineStr">
        <is>
          <t>0</t>
        </is>
      </c>
      <c r="M143" s="9" t="inlineStr">
        <is>
          <t>0</t>
        </is>
      </c>
      <c r="N143" s="9" t="inlineStr">
        <is>
          <t>0</t>
        </is>
      </c>
      <c r="O143" s="10" t="inlineStr">
        <is>
          <t>0</t>
        </is>
      </c>
      <c r="P143" s="10" t="inlineStr">
        <is>
          <t>0</t>
        </is>
      </c>
      <c r="Q143" s="10" t="inlineStr">
        <is>
          <t>0</t>
        </is>
      </c>
      <c r="R143" s="10" t="inlineStr">
        <is>
          <t>0</t>
        </is>
      </c>
      <c r="S143" s="10" t="inlineStr">
        <is>
          <t>0</t>
        </is>
      </c>
    </row>
    <row r="144" ht="409.5" customHeight="1">
      <c r="A144" s="6">
        <f>IFERROR(__xludf.DUMMYFUNCTION("""COMPUTED_VALUE"""),"The color of the light")</f>
        <v/>
      </c>
      <c r="B144" s="6">
        <f>IFERROR(__xludf.DUMMYFUNCTION("""COMPUTED_VALUE"""),"Resource")</f>
        <v/>
      </c>
      <c r="C144" s="6">
        <f>IFERROR(__xludf.DUMMYFUNCTION("""COMPUTED_VALUE"""),"Intro.graasp")</f>
        <v/>
      </c>
      <c r="D144" s="7">
        <f>IFERROR(__xludf.DUMMYFUNCTION("""COMPUTED_VALUE"""),"&lt;p&gt;Well done, you completed the activity and you learned about colors and human vision by conducting an experiment. Now it is time to compare the results of your experiment with what you learned in the orientation phase. &lt;/p&gt;You watched the video('s) of t"&amp;"he colors. What have you learned from this? Also look at your notes and concept map. Is this the same as what you found with your experiment?  If yes:&lt;ul&gt;&lt;li&gt;What can you say about the topic of human vision?&lt;/li&gt;&lt;li&gt;What did you do to find those results?&lt;"&amp;"/li&gt;&lt;li&gt;Would you do something differently if you could do your experiment again?&lt;/li&gt;&lt;li&gt;If yes, what would you have done differently?&lt;/li&gt;&lt;li&gt;If no, why not?&lt;/li&gt;&lt;li&gt;Is there still something you need/want to find out about this topic that you did not in"&amp;"vestigate, and what?&lt;/li&gt;&lt;/ul&gt;If no:&lt;ul&gt;&lt;li&gt;How are your results different from what you learned in the orientation phase?&lt;/li&gt;&lt;li&gt;What do you think caused this?&lt;/li&gt;&lt;li&gt;Would you do something differently if you could do your experiment again?&lt;/li&gt;&lt;li&gt;If "&amp;"yes, what would you have done differently?&lt;/li&gt;&lt;li&gt;If no, why not?&lt;/li&gt;&lt;/ul&gt;Write down your answers in the Input Box below.")</f>
        <v/>
      </c>
      <c r="E144" s="7">
        <f>IFERROR(__xludf.DUMMYFUNCTION("""COMPUTED_VALUE"""),"No artifact embedded")</f>
        <v/>
      </c>
      <c r="F144" s="7" t="inlineStr">
        <is>
          <t>Students were given tasks to reflect on their experiment results and compare with prior learning, with guiding questions to facilitate analysis. No artifacts are embedded in any items.</t>
        </is>
      </c>
      <c r="G144" s="8" t="inlineStr">
        <is>
          <t>0</t>
        </is>
      </c>
      <c r="H144" s="8" t="inlineStr">
        <is>
          <t>0</t>
        </is>
      </c>
      <c r="I144" s="8" t="inlineStr">
        <is>
          <t>1</t>
        </is>
      </c>
      <c r="J144" s="8" t="inlineStr">
        <is>
          <t>1</t>
        </is>
      </c>
      <c r="K144" s="9" t="inlineStr">
        <is>
          <t>1</t>
        </is>
      </c>
      <c r="L144" s="9" t="inlineStr">
        <is>
          <t>1</t>
        </is>
      </c>
      <c r="M144" s="9" t="inlineStr">
        <is>
          <t>0</t>
        </is>
      </c>
      <c r="N144" s="9" t="inlineStr">
        <is>
          <t>0</t>
        </is>
      </c>
      <c r="O144" s="10" t="inlineStr">
        <is>
          <t>0</t>
        </is>
      </c>
      <c r="P144" s="10" t="inlineStr">
        <is>
          <t>1</t>
        </is>
      </c>
      <c r="Q144" s="10" t="inlineStr">
        <is>
          <t>1</t>
        </is>
      </c>
      <c r="R144" s="10" t="inlineStr">
        <is>
          <t>1</t>
        </is>
      </c>
      <c r="S144" s="10" t="inlineStr">
        <is>
          <t>1</t>
        </is>
      </c>
    </row>
    <row r="145" ht="329" customHeight="1">
      <c r="A145" s="6">
        <f>IFERROR(__xludf.DUMMYFUNCTION("""COMPUTED_VALUE"""),"The color of the light")</f>
        <v/>
      </c>
      <c r="B145" s="6">
        <f>IFERROR(__xludf.DUMMYFUNCTION("""COMPUTED_VALUE"""),"Application")</f>
        <v/>
      </c>
      <c r="C145" s="6">
        <f>IFERROR(__xludf.DUMMYFUNCTION("""COMPUTED_VALUE"""),"Input Box")</f>
        <v/>
      </c>
      <c r="D145" s="7">
        <f>IFERROR(__xludf.DUMMYFUNCTION("""COMPUTED_VALUE"""),"No task description")</f>
        <v/>
      </c>
      <c r="E1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45" s="7" t="inlineStr">
        <is>
          <t>Students compare experiment results with learned concepts and reflect on differences or similarities, with no embedded artifacts provided.</t>
        </is>
      </c>
      <c r="G145" s="8" t="inlineStr">
        <is>
          <t>0</t>
        </is>
      </c>
      <c r="H145" s="8" t="inlineStr">
        <is>
          <t>1</t>
        </is>
      </c>
      <c r="I145" s="8" t="inlineStr">
        <is>
          <t>1</t>
        </is>
      </c>
      <c r="J145" s="8" t="inlineStr">
        <is>
          <t>1</t>
        </is>
      </c>
      <c r="K145" s="9" t="inlineStr">
        <is>
          <t>0</t>
        </is>
      </c>
      <c r="L145" s="9" t="inlineStr">
        <is>
          <t>1</t>
        </is>
      </c>
      <c r="M145" s="9" t="inlineStr">
        <is>
          <t>1</t>
        </is>
      </c>
      <c r="N145" s="9" t="inlineStr">
        <is>
          <t>1</t>
        </is>
      </c>
      <c r="O145" s="10" t="inlineStr">
        <is>
          <t>0</t>
        </is>
      </c>
      <c r="P145" s="10" t="inlineStr">
        <is>
          <t>0</t>
        </is>
      </c>
      <c r="Q145" s="10" t="inlineStr">
        <is>
          <t>0</t>
        </is>
      </c>
      <c r="R145" s="10" t="inlineStr">
        <is>
          <t>0</t>
        </is>
      </c>
      <c r="S145" s="10" t="inlineStr">
        <is>
          <t>1</t>
        </is>
      </c>
    </row>
    <row r="146" ht="193" customHeight="1">
      <c r="A146" s="6">
        <f>IFERROR(__xludf.DUMMYFUNCTION("""COMPUTED_VALUE"""),"The color of the light")</f>
        <v/>
      </c>
      <c r="B146" s="6">
        <f>IFERROR(__xludf.DUMMYFUNCTION("""COMPUTED_VALUE"""),"Resource")</f>
        <v/>
      </c>
      <c r="C146" s="6">
        <f>IFERROR(__xludf.DUMMYFUNCTION("""COMPUTED_VALUE"""),"Report.graasp")</f>
        <v/>
      </c>
      <c r="D146" s="7">
        <f>IFERROR(__xludf.DUMMYFUNCTION("""COMPUTED_VALUE"""),"&lt;p&gt;Well done! You conducted a real science experiment and learned about the science behind colors. You have followed all the steps a scientist would take. Save your work, including all the steps you took in the report, and celebrate your success.&lt;/p&gt;")</f>
        <v/>
      </c>
      <c r="E146" s="7">
        <f>IFERROR(__xludf.DUMMYFUNCTION("""COMPUTED_VALUE"""),"No artifact embedded")</f>
        <v/>
      </c>
      <c r="F146" s="7" t="inlineStr">
        <is>
          <t>Students compare experiment results with prior learning, reflecting on similarities/differences, and consider improvements/next steps. Embedded artifacts include an input box app for note-taking and collaboration.</t>
        </is>
      </c>
      <c r="G146" s="8" t="inlineStr">
        <is>
          <t>0</t>
        </is>
      </c>
      <c r="H146" s="8" t="inlineStr">
        <is>
          <t>1</t>
        </is>
      </c>
      <c r="I146" s="8" t="inlineStr">
        <is>
          <t>1</t>
        </is>
      </c>
      <c r="J146" s="8" t="inlineStr">
        <is>
          <t>0</t>
        </is>
      </c>
      <c r="K146" s="9" t="inlineStr">
        <is>
          <t>1</t>
        </is>
      </c>
      <c r="L146" s="9" t="inlineStr">
        <is>
          <t>1</t>
        </is>
      </c>
      <c r="M146" s="9" t="inlineStr">
        <is>
          <t>0</t>
        </is>
      </c>
      <c r="N146" s="9" t="inlineStr">
        <is>
          <t>0</t>
        </is>
      </c>
      <c r="O146" s="10" t="inlineStr">
        <is>
          <t>0</t>
        </is>
      </c>
      <c r="P146" s="10" t="inlineStr">
        <is>
          <t>0</t>
        </is>
      </c>
      <c r="Q146" s="10" t="inlineStr">
        <is>
          <t>1</t>
        </is>
      </c>
      <c r="R146" s="10" t="inlineStr">
        <is>
          <t>0</t>
        </is>
      </c>
      <c r="S146" s="10" t="inlineStr">
        <is>
          <t>0</t>
        </is>
      </c>
    </row>
    <row r="147" ht="409.5" customHeight="1">
      <c r="A147" s="6">
        <f>IFERROR(__xludf.DUMMYFUNCTION("""COMPUTED_VALUE"""),"The color of the light")</f>
        <v/>
      </c>
      <c r="B147" s="6">
        <f>IFERROR(__xludf.DUMMYFUNCTION("""COMPUTED_VALUE"""),"Application")</f>
        <v/>
      </c>
      <c r="C147" s="6">
        <f>IFERROR(__xludf.DUMMYFUNCTION("""COMPUTED_VALUE"""),"Report tool")</f>
        <v/>
      </c>
      <c r="D147" s="7">
        <f>IFERROR(__xludf.DUMMYFUNCTION("""COMPUTED_VALUE"""),"No task description")</f>
        <v/>
      </c>
      <c r="E147"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147" s="7" t="inlineStr">
        <is>
          <t>Students received task descriptions and used Golabz apps with various tools, such as note-taking and report tools.</t>
        </is>
      </c>
      <c r="G147" s="8" t="inlineStr">
        <is>
          <t>0</t>
        </is>
      </c>
      <c r="H147" s="8" t="inlineStr">
        <is>
          <t>0</t>
        </is>
      </c>
      <c r="I147" s="8" t="inlineStr">
        <is>
          <t>1</t>
        </is>
      </c>
      <c r="J147" s="8" t="inlineStr">
        <is>
          <t>1</t>
        </is>
      </c>
      <c r="K147" s="9" t="inlineStr">
        <is>
          <t>0</t>
        </is>
      </c>
      <c r="L147" s="9" t="inlineStr">
        <is>
          <t>1</t>
        </is>
      </c>
      <c r="M147" s="9" t="inlineStr">
        <is>
          <t>0</t>
        </is>
      </c>
      <c r="N147" s="9" t="inlineStr">
        <is>
          <t>1</t>
        </is>
      </c>
      <c r="O147" s="10" t="inlineStr">
        <is>
          <t>0</t>
        </is>
      </c>
      <c r="P147" s="10" t="inlineStr">
        <is>
          <t>1</t>
        </is>
      </c>
      <c r="Q147" s="10" t="inlineStr">
        <is>
          <t>1</t>
        </is>
      </c>
      <c r="R147" s="10" t="inlineStr">
        <is>
          <t>1</t>
        </is>
      </c>
      <c r="S147" s="10" t="inlineStr">
        <is>
          <t>1</t>
        </is>
      </c>
    </row>
    <row r="148" ht="25" customHeight="1">
      <c r="A148" s="6">
        <f>IFERROR(__xludf.DUMMYFUNCTION("""COMPUTED_VALUE"""),"Refraction of light 2")</f>
        <v/>
      </c>
      <c r="B148" s="6">
        <f>IFERROR(__xludf.DUMMYFUNCTION("""COMPUTED_VALUE"""),"Space")</f>
        <v/>
      </c>
      <c r="C148" s="6">
        <f>IFERROR(__xludf.DUMMYFUNCTION("""COMPUTED_VALUE"""),"A rainbow")</f>
        <v/>
      </c>
      <c r="D148" s="7">
        <f>IFERROR(__xludf.DUMMYFUNCTION("""COMPUTED_VALUE"""),"No task description")</f>
        <v/>
      </c>
      <c r="E148" s="7">
        <f>IFERROR(__xludf.DUMMYFUNCTION("""COMPUTED_VALUE"""),"No artifact embedded")</f>
        <v/>
      </c>
      <c r="F148" s="7" t="inlineStr">
        <is>
          <t>Students were instructed to save their experiment report and celebrate. Embedded artifacts include a Golabz app/lab for creating final reports with customizable sections.</t>
        </is>
      </c>
      <c r="G148" s="8" t="inlineStr">
        <is>
          <t>1</t>
        </is>
      </c>
      <c r="H148" s="8" t="inlineStr">
        <is>
          <t>0</t>
        </is>
      </c>
      <c r="I148" s="8" t="inlineStr">
        <is>
          <t>0</t>
        </is>
      </c>
      <c r="J148" s="8" t="inlineStr">
        <is>
          <t>0</t>
        </is>
      </c>
      <c r="K148" s="9" t="inlineStr">
        <is>
          <t>0</t>
        </is>
      </c>
      <c r="L148" s="9" t="inlineStr">
        <is>
          <t>0</t>
        </is>
      </c>
      <c r="M148" s="9" t="inlineStr">
        <is>
          <t>0</t>
        </is>
      </c>
      <c r="N148" s="9" t="inlineStr">
        <is>
          <t>0</t>
        </is>
      </c>
      <c r="O148" s="10" t="inlineStr">
        <is>
          <t>0</t>
        </is>
      </c>
      <c r="P148" s="10" t="inlineStr">
        <is>
          <t>0</t>
        </is>
      </c>
      <c r="Q148" s="10" t="inlineStr">
        <is>
          <t>0</t>
        </is>
      </c>
      <c r="R148" s="10" t="inlineStr">
        <is>
          <t>0</t>
        </is>
      </c>
      <c r="S148" s="10" t="inlineStr">
        <is>
          <t>0</t>
        </is>
      </c>
    </row>
    <row r="149" ht="121" customHeight="1">
      <c r="A149" s="6">
        <f>IFERROR(__xludf.DUMMYFUNCTION("""COMPUTED_VALUE"""),"Refraction of light 2")</f>
        <v/>
      </c>
      <c r="B149" s="6">
        <f>IFERROR(__xludf.DUMMYFUNCTION("""COMPUTED_VALUE"""),"Resource")</f>
        <v/>
      </c>
      <c r="C149" s="6">
        <f>IFERROR(__xludf.DUMMYFUNCTION("""COMPUTED_VALUE"""),"rainbow.jpg")</f>
        <v/>
      </c>
      <c r="D149" s="7">
        <f>IFERROR(__xludf.DUMMYFUNCTION("""COMPUTED_VALUE"""),"No task description")</f>
        <v/>
      </c>
      <c r="E149" s="7">
        <f>IFERROR(__xludf.DUMMYFUNCTION("""COMPUTED_VALUE"""),"image/jpeg – A digital photograph or web image stored in a compressed format, often used for photography and web graphics.")</f>
        <v/>
      </c>
      <c r="F149" s="7" t="inlineStr">
        <is>
          <t>No task descriptions provided. Embedded artifacts include Golabz app/lab report tool and a JPEG image.</t>
        </is>
      </c>
      <c r="G149" s="8" t="inlineStr">
        <is>
          <t>1</t>
        </is>
      </c>
      <c r="H149" s="8" t="inlineStr">
        <is>
          <t>0</t>
        </is>
      </c>
      <c r="I149" s="8" t="inlineStr">
        <is>
          <t>0</t>
        </is>
      </c>
      <c r="J149" s="8" t="inlineStr">
        <is>
          <t>0</t>
        </is>
      </c>
      <c r="K149" s="9" t="inlineStr">
        <is>
          <t>0</t>
        </is>
      </c>
      <c r="L149" s="9" t="inlineStr">
        <is>
          <t>0</t>
        </is>
      </c>
      <c r="M149" s="9" t="inlineStr">
        <is>
          <t>0</t>
        </is>
      </c>
      <c r="N149" s="9" t="inlineStr">
        <is>
          <t>0</t>
        </is>
      </c>
      <c r="O149" s="10" t="inlineStr">
        <is>
          <t>0</t>
        </is>
      </c>
      <c r="P149" s="10" t="inlineStr">
        <is>
          <t>0</t>
        </is>
      </c>
      <c r="Q149" s="10" t="inlineStr">
        <is>
          <t>0</t>
        </is>
      </c>
      <c r="R149" s="10" t="inlineStr">
        <is>
          <t>0</t>
        </is>
      </c>
      <c r="S149" s="10" t="inlineStr">
        <is>
          <t>0</t>
        </is>
      </c>
    </row>
    <row r="150" ht="61" customHeight="1">
      <c r="A150" s="6">
        <f>IFERROR(__xludf.DUMMYFUNCTION("""COMPUTED_VALUE"""),"Refraction of light 2")</f>
        <v/>
      </c>
      <c r="B150" s="6">
        <f>IFERROR(__xludf.DUMMYFUNCTION("""COMPUTED_VALUE"""),"Resource")</f>
        <v/>
      </c>
      <c r="C150" s="6">
        <f>IFERROR(__xludf.DUMMYFUNCTION("""COMPUTED_VALUE"""),"Question.graasp")</f>
        <v/>
      </c>
      <c r="D150" s="7">
        <f>IFERROR(__xludf.DUMMYFUNCTION("""COMPUTED_VALUE"""),"&lt;p&gt;Sometimes you can see a rainbow in the sky. When does this happen?&lt;/p&gt;")</f>
        <v/>
      </c>
      <c r="E150" s="7">
        <f>IFERROR(__xludf.DUMMYFUNCTION("""COMPUTED_VALUE"""),"No artifact embedded")</f>
        <v/>
      </c>
      <c r="F150" s="7" t="inlineStr">
        <is>
          <t>Students have no task descriptions, except Item3 on rainbows. Embedded artifacts include a JPEG image in Item2.</t>
        </is>
      </c>
      <c r="G150" s="8" t="inlineStr">
        <is>
          <t>0</t>
        </is>
      </c>
      <c r="H150" s="8" t="inlineStr">
        <is>
          <t>0</t>
        </is>
      </c>
      <c r="I150" s="8" t="inlineStr">
        <is>
          <t>0</t>
        </is>
      </c>
      <c r="J150" s="8" t="inlineStr">
        <is>
          <t>0</t>
        </is>
      </c>
      <c r="K150" s="9" t="inlineStr">
        <is>
          <t>1</t>
        </is>
      </c>
      <c r="L150" s="9" t="inlineStr">
        <is>
          <t>0</t>
        </is>
      </c>
      <c r="M150" s="9" t="inlineStr">
        <is>
          <t>0</t>
        </is>
      </c>
      <c r="N150" s="9" t="inlineStr">
        <is>
          <t>0</t>
        </is>
      </c>
      <c r="O150" s="10" t="inlineStr">
        <is>
          <t>1</t>
        </is>
      </c>
      <c r="P150" s="10" t="inlineStr">
        <is>
          <t>1</t>
        </is>
      </c>
      <c r="Q150" s="10" t="inlineStr">
        <is>
          <t>1</t>
        </is>
      </c>
      <c r="R150" s="10" t="inlineStr">
        <is>
          <t>0</t>
        </is>
      </c>
      <c r="S150" s="10" t="inlineStr">
        <is>
          <t>0</t>
        </is>
      </c>
    </row>
    <row r="151" ht="329" customHeight="1">
      <c r="A151" s="6">
        <f>IFERROR(__xludf.DUMMYFUNCTION("""COMPUTED_VALUE"""),"Refraction of light 2")</f>
        <v/>
      </c>
      <c r="B151" s="6">
        <f>IFERROR(__xludf.DUMMYFUNCTION("""COMPUTED_VALUE"""),"Application")</f>
        <v/>
      </c>
      <c r="C151" s="6">
        <f>IFERROR(__xludf.DUMMYFUNCTION("""COMPUTED_VALUE"""),"Input Box")</f>
        <v/>
      </c>
      <c r="D151" s="7">
        <f>IFERROR(__xludf.DUMMYFUNCTION("""COMPUTED_VALUE"""),"No task description")</f>
        <v/>
      </c>
      <c r="E1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1" s="7" t="inlineStr">
        <is>
          <t>Students received tasks and embedded artifacts, including images, text, and interactive apps like Golabz and Input Box, with varying descriptions and functionalities.</t>
        </is>
      </c>
      <c r="G151" s="8" t="inlineStr">
        <is>
          <t>0</t>
        </is>
      </c>
      <c r="H151" s="8" t="inlineStr">
        <is>
          <t>1</t>
        </is>
      </c>
      <c r="I151" s="8" t="inlineStr">
        <is>
          <t>1</t>
        </is>
      </c>
      <c r="J151" s="8" t="inlineStr">
        <is>
          <t>1</t>
        </is>
      </c>
      <c r="K151" s="9" t="inlineStr">
        <is>
          <t>1</t>
        </is>
      </c>
      <c r="L151" s="9" t="inlineStr">
        <is>
          <t>0</t>
        </is>
      </c>
      <c r="M151" s="9" t="inlineStr">
        <is>
          <t>1</t>
        </is>
      </c>
      <c r="N151" s="9" t="inlineStr">
        <is>
          <t>1</t>
        </is>
      </c>
      <c r="O151" s="10" t="inlineStr">
        <is>
          <t>0</t>
        </is>
      </c>
      <c r="P151" s="10" t="inlineStr">
        <is>
          <t>0</t>
        </is>
      </c>
      <c r="Q151" s="10" t="inlineStr">
        <is>
          <t>0</t>
        </is>
      </c>
      <c r="R151" s="10" t="inlineStr">
        <is>
          <t>0</t>
        </is>
      </c>
      <c r="S151" s="10" t="inlineStr">
        <is>
          <t>1</t>
        </is>
      </c>
    </row>
    <row r="152" ht="49" customHeight="1">
      <c r="A152" s="6">
        <f>IFERROR(__xludf.DUMMYFUNCTION("""COMPUTED_VALUE"""),"Refraction of light 2")</f>
        <v/>
      </c>
      <c r="B152" s="6">
        <f>IFERROR(__xludf.DUMMYFUNCTION("""COMPUTED_VALUE"""),"Resource")</f>
        <v/>
      </c>
      <c r="C152" s="6">
        <f>IFERROR(__xludf.DUMMYFUNCTION("""COMPUTED_VALUE"""),"Question2.graasp")</f>
        <v/>
      </c>
      <c r="D152" s="7">
        <f>IFERROR(__xludf.DUMMYFUNCTION("""COMPUTED_VALUE"""),"&lt;p&gt;What could cause that you can see a rainbow?&lt;/p&gt;")</f>
        <v/>
      </c>
      <c r="E152" s="7">
        <f>IFERROR(__xludf.DUMMYFUNCTION("""COMPUTED_VALUE"""),"No artifact embedded")</f>
        <v/>
      </c>
      <c r="F152" s="7" t="inlineStr">
        <is>
          <t>Students are asked about rainbows. Artifacts include a note-taking app for collaboration.</t>
        </is>
      </c>
      <c r="G152" s="8" t="inlineStr">
        <is>
          <t>0</t>
        </is>
      </c>
      <c r="H152" s="8" t="inlineStr">
        <is>
          <t>0</t>
        </is>
      </c>
      <c r="I152" s="8" t="inlineStr">
        <is>
          <t>0</t>
        </is>
      </c>
      <c r="J152" s="8" t="inlineStr">
        <is>
          <t>0</t>
        </is>
      </c>
      <c r="K152" s="9" t="inlineStr">
        <is>
          <t>1</t>
        </is>
      </c>
      <c r="L152" s="9" t="inlineStr">
        <is>
          <t>0</t>
        </is>
      </c>
      <c r="M152" s="9" t="inlineStr">
        <is>
          <t>0</t>
        </is>
      </c>
      <c r="N152" s="9" t="inlineStr">
        <is>
          <t>0</t>
        </is>
      </c>
      <c r="O152" s="10" t="inlineStr">
        <is>
          <t>1</t>
        </is>
      </c>
      <c r="P152" s="10" t="inlineStr">
        <is>
          <t>1</t>
        </is>
      </c>
      <c r="Q152" s="10" t="inlineStr">
        <is>
          <t>1</t>
        </is>
      </c>
      <c r="R152" s="10" t="inlineStr">
        <is>
          <t>0</t>
        </is>
      </c>
      <c r="S152" s="10" t="inlineStr">
        <is>
          <t>0</t>
        </is>
      </c>
    </row>
    <row r="153" ht="329" customHeight="1">
      <c r="A153" s="6">
        <f>IFERROR(__xludf.DUMMYFUNCTION("""COMPUTED_VALUE"""),"Refraction of light 2")</f>
        <v/>
      </c>
      <c r="B153" s="6">
        <f>IFERROR(__xludf.DUMMYFUNCTION("""COMPUTED_VALUE"""),"Application")</f>
        <v/>
      </c>
      <c r="C153" s="6">
        <f>IFERROR(__xludf.DUMMYFUNCTION("""COMPUTED_VALUE"""),"Input Box (1)")</f>
        <v/>
      </c>
      <c r="D153" s="7">
        <f>IFERROR(__xludf.DUMMYFUNCTION("""COMPUTED_VALUE"""),"No task description")</f>
        <v/>
      </c>
      <c r="E1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3" s="7" t="inlineStr">
        <is>
          <t>Students receive task descriptions and access to Golabz apps for note-taking, with optional collaboration tools.</t>
        </is>
      </c>
      <c r="G153" s="8" t="inlineStr">
        <is>
          <t>0</t>
        </is>
      </c>
      <c r="H153" s="8" t="inlineStr">
        <is>
          <t>1</t>
        </is>
      </c>
      <c r="I153" s="8" t="inlineStr">
        <is>
          <t>1</t>
        </is>
      </c>
      <c r="J153" s="8" t="inlineStr">
        <is>
          <t>1</t>
        </is>
      </c>
      <c r="K153" s="9" t="inlineStr">
        <is>
          <t>0</t>
        </is>
      </c>
      <c r="L153" s="9" t="inlineStr">
        <is>
          <t>1</t>
        </is>
      </c>
      <c r="M153" s="9" t="inlineStr">
        <is>
          <t>1</t>
        </is>
      </c>
      <c r="N153" s="9" t="inlineStr">
        <is>
          <t>1</t>
        </is>
      </c>
      <c r="O153" s="10" t="inlineStr">
        <is>
          <t>0</t>
        </is>
      </c>
      <c r="P153" s="10" t="inlineStr">
        <is>
          <t>0</t>
        </is>
      </c>
      <c r="Q153" s="10" t="inlineStr">
        <is>
          <t>0</t>
        </is>
      </c>
      <c r="R153" s="10" t="inlineStr">
        <is>
          <t>0</t>
        </is>
      </c>
      <c r="S153" s="10" t="inlineStr">
        <is>
          <t>1</t>
        </is>
      </c>
    </row>
    <row r="154" ht="121" customHeight="1">
      <c r="A154" s="6">
        <f>IFERROR(__xludf.DUMMYFUNCTION("""COMPUTED_VALUE"""),"Refraction of light 2")</f>
        <v/>
      </c>
      <c r="B154" s="6">
        <f>IFERROR(__xludf.DUMMYFUNCTION("""COMPUTED_VALUE"""),"Resource")</f>
        <v/>
      </c>
      <c r="C154" s="6">
        <f>IFERROR(__xludf.DUMMYFUNCTION("""COMPUTED_VALUE"""),"This lesson.graasp")</f>
        <v/>
      </c>
      <c r="D154" s="7">
        <f>IFERROR(__xludf.DUMMYFUNCTION("""COMPUTED_VALUE"""),"&lt;p&gt;In this lesson you will discover more about this. You will find out whether your thoughts are correct. Press  ""The colour of light"" to go on.&lt;br&gt;&lt;/p&gt;")</f>
        <v/>
      </c>
      <c r="E154" s="7">
        <f>IFERROR(__xludf.DUMMYFUNCTION("""COMPUTED_VALUE"""),"No artifact embedded")</f>
        <v/>
      </c>
      <c r="F154" s="7" t="inlineStr">
        <is>
          <t>Students are given tasks to explore rainbows and light, with some items including interactive apps for note-taking and collaboration.</t>
        </is>
      </c>
      <c r="G154" s="8" t="inlineStr">
        <is>
          <t>1</t>
        </is>
      </c>
      <c r="H154" s="8" t="inlineStr">
        <is>
          <t>0</t>
        </is>
      </c>
      <c r="I154" s="8" t="inlineStr">
        <is>
          <t>0</t>
        </is>
      </c>
      <c r="J154" s="8" t="inlineStr">
        <is>
          <t>0</t>
        </is>
      </c>
      <c r="K154" s="9" t="inlineStr">
        <is>
          <t>1</t>
        </is>
      </c>
      <c r="L154" s="9" t="inlineStr">
        <is>
          <t>0</t>
        </is>
      </c>
      <c r="M154" s="9" t="inlineStr">
        <is>
          <t>0</t>
        </is>
      </c>
      <c r="N154" s="9" t="inlineStr">
        <is>
          <t>0</t>
        </is>
      </c>
      <c r="O154" s="10" t="inlineStr">
        <is>
          <t>1</t>
        </is>
      </c>
      <c r="P154" s="10" t="inlineStr">
        <is>
          <t>0</t>
        </is>
      </c>
      <c r="Q154" s="10" t="inlineStr">
        <is>
          <t>0</t>
        </is>
      </c>
      <c r="R154" s="10" t="inlineStr">
        <is>
          <t>0</t>
        </is>
      </c>
      <c r="S154" s="10" t="inlineStr">
        <is>
          <t>0</t>
        </is>
      </c>
    </row>
    <row r="155" ht="252" customHeight="1">
      <c r="A155" s="6">
        <f>IFERROR(__xludf.DUMMYFUNCTION("""COMPUTED_VALUE"""),"Refraction of light 2")</f>
        <v/>
      </c>
      <c r="B155" s="6">
        <f>IFERROR(__xludf.DUMMYFUNCTION("""COMPUTED_VALUE"""),"Space")</f>
        <v/>
      </c>
      <c r="C155" s="6">
        <f>IFERROR(__xludf.DUMMYFUNCTION("""COMPUTED_VALUE"""),"The colour of light")</f>
        <v/>
      </c>
      <c r="D155" s="7">
        <f>IFERROR(__xludf.DUMMYFUNCTION("""COMPUTED_VALUE"""),"&lt;p&gt;Do you still know that in the lesson about ""&lt;a href=""http://graasp.eu/ils/5ad5e389bbb2a7100dfbb901/?lang=en"" target=""_blank""&gt;The colour of light&lt;/a&gt;"" you discovered that white light actually is a mixture of colours? And do you still know that lig"&amp;"ht consists of waves and that every colour has a different wavelength? &lt;/p&gt;")</f>
        <v/>
      </c>
      <c r="E155" s="7">
        <f>IFERROR(__xludf.DUMMYFUNCTION("""COMPUTED_VALUE"""),"No artifact embedded")</f>
        <v/>
      </c>
      <c r="F155" s="7" t="inlineStr">
        <is>
          <t>Students received tasks with varying instructions, some with embedded artifacts like the Golabz app for note-taking.</t>
        </is>
      </c>
      <c r="G155" s="8" t="inlineStr">
        <is>
          <t>1</t>
        </is>
      </c>
      <c r="H155" s="8" t="inlineStr">
        <is>
          <t>0</t>
        </is>
      </c>
      <c r="I155" s="8" t="inlineStr">
        <is>
          <t>0</t>
        </is>
      </c>
      <c r="J155" s="8" t="inlineStr">
        <is>
          <t>0</t>
        </is>
      </c>
      <c r="K155" s="9" t="inlineStr">
        <is>
          <t>1</t>
        </is>
      </c>
      <c r="L155" s="9" t="inlineStr">
        <is>
          <t>0</t>
        </is>
      </c>
      <c r="M155" s="9" t="inlineStr">
        <is>
          <t>0</t>
        </is>
      </c>
      <c r="N155" s="9" t="inlineStr">
        <is>
          <t>0</t>
        </is>
      </c>
      <c r="O155" s="10" t="inlineStr">
        <is>
          <t>1</t>
        </is>
      </c>
      <c r="P155" s="10" t="inlineStr">
        <is>
          <t>0</t>
        </is>
      </c>
      <c r="Q155" s="10" t="inlineStr">
        <is>
          <t>0</t>
        </is>
      </c>
      <c r="R155" s="10" t="inlineStr">
        <is>
          <t>0</t>
        </is>
      </c>
      <c r="S155" s="10" t="inlineStr">
        <is>
          <t>0</t>
        </is>
      </c>
    </row>
    <row r="156" ht="169" customHeight="1">
      <c r="A156" s="6">
        <f>IFERROR(__xludf.DUMMYFUNCTION("""COMPUTED_VALUE"""),"Refraction of light 2")</f>
        <v/>
      </c>
      <c r="B156" s="6">
        <f>IFERROR(__xludf.DUMMYFUNCTION("""COMPUTED_VALUE"""),"Resource")</f>
        <v/>
      </c>
      <c r="C156" s="6">
        <f>IFERROR(__xludf.DUMMYFUNCTION("""COMPUTED_VALUE"""),"Question LB2 en.PNG")</f>
        <v/>
      </c>
      <c r="D156" s="7">
        <f>IFERROR(__xludf.DUMMYFUNCTION("""COMPUTED_VALUE"""),"n another lesson you learned something about light that shines through transparent materials? Do you remember? What will happen with the light ray if you turn on the light? Type your answer below the pictures")</f>
        <v/>
      </c>
      <c r="E156" s="7">
        <f>IFERROR(__xludf.DUMMYFUNCTION("""COMPUTED_VALUE"""),"image/png – A high-quality image with support for transparency, often used in design and web applications.")</f>
        <v/>
      </c>
      <c r="F156" s="7" t="inlineStr">
        <is>
          <t>Students are given tasks to recall lessons about light. Items 1 and 2 have no artifacts, while Item 3 includes a PNG image.</t>
        </is>
      </c>
      <c r="G156" s="8" t="inlineStr">
        <is>
          <t>0</t>
        </is>
      </c>
      <c r="H156" s="8" t="inlineStr">
        <is>
          <t>0</t>
        </is>
      </c>
      <c r="I156" s="8" t="inlineStr">
        <is>
          <t>0</t>
        </is>
      </c>
      <c r="J156" s="8" t="inlineStr">
        <is>
          <t>1</t>
        </is>
      </c>
      <c r="K156" s="9" t="inlineStr">
        <is>
          <t>1</t>
        </is>
      </c>
      <c r="L156" s="9" t="inlineStr">
        <is>
          <t>1</t>
        </is>
      </c>
      <c r="M156" s="9" t="inlineStr">
        <is>
          <t>0</t>
        </is>
      </c>
      <c r="N156" s="9" t="inlineStr">
        <is>
          <t>0</t>
        </is>
      </c>
      <c r="O156" s="10" t="inlineStr">
        <is>
          <t>1</t>
        </is>
      </c>
      <c r="P156" s="10" t="inlineStr">
        <is>
          <t>1</t>
        </is>
      </c>
      <c r="Q156" s="10" t="inlineStr">
        <is>
          <t>0</t>
        </is>
      </c>
      <c r="R156" s="10" t="inlineStr">
        <is>
          <t>0</t>
        </is>
      </c>
      <c r="S156" s="10" t="inlineStr">
        <is>
          <t>0</t>
        </is>
      </c>
    </row>
    <row r="157" ht="329" customHeight="1">
      <c r="A157" s="6">
        <f>IFERROR(__xludf.DUMMYFUNCTION("""COMPUTED_VALUE"""),"Refraction of light 2")</f>
        <v/>
      </c>
      <c r="B157" s="6">
        <f>IFERROR(__xludf.DUMMYFUNCTION("""COMPUTED_VALUE"""),"Application")</f>
        <v/>
      </c>
      <c r="C157" s="6">
        <f>IFERROR(__xludf.DUMMYFUNCTION("""COMPUTED_VALUE"""),"Input Box")</f>
        <v/>
      </c>
      <c r="D157" s="7">
        <f>IFERROR(__xludf.DUMMYFUNCTION("""COMPUTED_VALUE"""),"No task description")</f>
        <v/>
      </c>
      <c r="E1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7" s="7" t="inlineStr">
        <is>
          <t>Students recall lessons on light, colors, and waves, with tasks and embedded artifacts including images and interactive apps.</t>
        </is>
      </c>
      <c r="G157" s="8" t="inlineStr">
        <is>
          <t>0</t>
        </is>
      </c>
      <c r="H157" s="8" t="inlineStr">
        <is>
          <t>1</t>
        </is>
      </c>
      <c r="I157" s="8" t="inlineStr">
        <is>
          <t>1</t>
        </is>
      </c>
      <c r="J157" s="8" t="inlineStr">
        <is>
          <t>1</t>
        </is>
      </c>
      <c r="K157" s="9" t="inlineStr">
        <is>
          <t>1</t>
        </is>
      </c>
      <c r="L157" s="9" t="inlineStr">
        <is>
          <t>1</t>
        </is>
      </c>
      <c r="M157" s="9" t="inlineStr">
        <is>
          <t>1</t>
        </is>
      </c>
      <c r="N157" s="9" t="inlineStr">
        <is>
          <t>1</t>
        </is>
      </c>
      <c r="O157" s="10" t="inlineStr">
        <is>
          <t>0</t>
        </is>
      </c>
      <c r="P157" s="10" t="inlineStr">
        <is>
          <t>0</t>
        </is>
      </c>
      <c r="Q157" s="10" t="inlineStr">
        <is>
          <t>0</t>
        </is>
      </c>
      <c r="R157" s="10" t="inlineStr">
        <is>
          <t>0</t>
        </is>
      </c>
      <c r="S157" s="10" t="inlineStr">
        <is>
          <t>1</t>
        </is>
      </c>
    </row>
    <row r="158" ht="296" customHeight="1">
      <c r="A158" s="6">
        <f>IFERROR(__xludf.DUMMYFUNCTION("""COMPUTED_VALUE"""),"Refraction of light 2")</f>
        <v/>
      </c>
      <c r="B158" s="6">
        <f>IFERROR(__xludf.DUMMYFUNCTION("""COMPUTED_VALUE"""),"Space")</f>
        <v/>
      </c>
      <c r="C158" s="6">
        <f>IFERROR(__xludf.DUMMYFUNCTION("""COMPUTED_VALUE"""),"Doing research - step 1")</f>
        <v/>
      </c>
      <c r="D158" s="7">
        <f>IFERROR(__xludf.DUMMYFUNCTION("""COMPUTED_VALUE"""),"&lt;p&gt;You will soon find out whether your answer to the question is correct. Click in the program below two times on ""Prisms"". Drag the triangle from the lower area to the area above and place it in front of the light. Then switch the light on. Look what h"&amp;"appens. &lt;strong&gt;The next assignment is below the program. You need to scroll down. &lt;/strong&gt;&lt;/p&gt;")</f>
        <v/>
      </c>
      <c r="E158" s="7">
        <f>IFERROR(__xludf.DUMMYFUNCTION("""COMPUTED_VALUE"""),"No artifact embedded")</f>
        <v/>
      </c>
      <c r="F158" s="7" t="inlineStr">
        <is>
          <t>Students are given tasks with interactive artifacts, including images and apps, to explore concepts like light refraction and collaboration tools.</t>
        </is>
      </c>
      <c r="G158" s="8" t="inlineStr">
        <is>
          <t>0</t>
        </is>
      </c>
      <c r="H158" s="8" t="inlineStr">
        <is>
          <t>1</t>
        </is>
      </c>
      <c r="I158" s="8" t="inlineStr">
        <is>
          <t>0</t>
        </is>
      </c>
      <c r="J158" s="8" t="inlineStr">
        <is>
          <t>1</t>
        </is>
      </c>
      <c r="K158" s="9" t="inlineStr">
        <is>
          <t>1</t>
        </is>
      </c>
      <c r="L158" s="9" t="inlineStr">
        <is>
          <t>0</t>
        </is>
      </c>
      <c r="M158" s="9" t="inlineStr">
        <is>
          <t>0</t>
        </is>
      </c>
      <c r="N158" s="9" t="inlineStr">
        <is>
          <t>0</t>
        </is>
      </c>
      <c r="O158" s="10" t="inlineStr">
        <is>
          <t>1</t>
        </is>
      </c>
      <c r="P158" s="10" t="inlineStr">
        <is>
          <t>0</t>
        </is>
      </c>
      <c r="Q158" s="10" t="inlineStr">
        <is>
          <t>1</t>
        </is>
      </c>
      <c r="R158" s="10" t="inlineStr">
        <is>
          <t>0</t>
        </is>
      </c>
      <c r="S158" s="10" t="inlineStr">
        <is>
          <t>0</t>
        </is>
      </c>
    </row>
    <row r="159" ht="205" customHeight="1">
      <c r="A159" s="6">
        <f>IFERROR(__xludf.DUMMYFUNCTION("""COMPUTED_VALUE"""),"Refraction of light 2")</f>
        <v/>
      </c>
      <c r="B159" s="6">
        <f>IFERROR(__xludf.DUMMYFUNCTION("""COMPUTED_VALUE"""),"Application")</f>
        <v/>
      </c>
      <c r="C159" s="6">
        <f>IFERROR(__xludf.DUMMYFUNCTION("""COMPUTED_VALUE"""),"Bending Light")</f>
        <v/>
      </c>
      <c r="D159" s="7">
        <f>IFERROR(__xludf.DUMMYFUNCTION("""COMPUTED_VALUE"""),"No task description")</f>
        <v/>
      </c>
      <c r="E159"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59" s="7" t="inlineStr">
        <is>
          <t>Students received task descriptions and used embedded artifacts like Golabz apps for note-taking, collaboration, and interactive simulations on light refraction.</t>
        </is>
      </c>
      <c r="G159" s="8" t="inlineStr">
        <is>
          <t>0</t>
        </is>
      </c>
      <c r="H159" s="8" t="inlineStr">
        <is>
          <t>1</t>
        </is>
      </c>
      <c r="I159" s="8" t="inlineStr">
        <is>
          <t>1</t>
        </is>
      </c>
      <c r="J159" s="8" t="inlineStr">
        <is>
          <t>1</t>
        </is>
      </c>
      <c r="K159" s="9" t="inlineStr">
        <is>
          <t>1</t>
        </is>
      </c>
      <c r="L159" s="9" t="inlineStr">
        <is>
          <t>0</t>
        </is>
      </c>
      <c r="M159" s="9" t="inlineStr">
        <is>
          <t>0</t>
        </is>
      </c>
      <c r="N159" s="9" t="inlineStr">
        <is>
          <t>0</t>
        </is>
      </c>
      <c r="O159" s="10" t="inlineStr">
        <is>
          <t>1</t>
        </is>
      </c>
      <c r="P159" s="10" t="inlineStr">
        <is>
          <t>0</t>
        </is>
      </c>
      <c r="Q159" s="10" t="inlineStr">
        <is>
          <t>1</t>
        </is>
      </c>
      <c r="R159" s="10" t="inlineStr">
        <is>
          <t>0</t>
        </is>
      </c>
      <c r="S159" s="10" t="inlineStr">
        <is>
          <t>0</t>
        </is>
      </c>
    </row>
    <row r="160" ht="169" customHeight="1">
      <c r="A160" s="6">
        <f>IFERROR(__xludf.DUMMYFUNCTION("""COMPUTED_VALUE"""),"Refraction of light 2")</f>
        <v/>
      </c>
      <c r="B160" s="6">
        <f>IFERROR(__xludf.DUMMYFUNCTION("""COMPUTED_VALUE"""),"Resource")</f>
        <v/>
      </c>
      <c r="C160" s="6">
        <f>IFERROR(__xludf.DUMMYFUNCTION("""COMPUTED_VALUE"""),"Opdrachten.graasp")</f>
        <v/>
      </c>
      <c r="D160" s="7">
        <f>IFERROR(__xludf.DUMMYFUNCTION("""COMPUTED_VALUE"""),"&lt;p&gt;Now change the colour of the light by moving the red box below the multi-coloured bar. What strikes you? Write your answer below and after that click on ""&lt;strong&gt;Doing research - step 2&lt;/strong&gt;"".&lt;/p&gt;")</f>
        <v/>
      </c>
      <c r="E160" s="7">
        <f>IFERROR(__xludf.DUMMYFUNCTION("""COMPUTED_VALUE"""),"No artifact embedded")</f>
        <v/>
      </c>
      <c r="F160" s="7" t="inlineStr">
        <is>
          <t>Students interact with a program, dragging triangles and switching lights, then explore light refraction using the Golabz app, and finally change light colors and record observations.</t>
        </is>
      </c>
      <c r="G160" s="8" t="inlineStr">
        <is>
          <t>0</t>
        </is>
      </c>
      <c r="H160" s="8" t="inlineStr">
        <is>
          <t>1</t>
        </is>
      </c>
      <c r="I160" s="8" t="inlineStr">
        <is>
          <t>1</t>
        </is>
      </c>
      <c r="J160" s="8" t="inlineStr">
        <is>
          <t>1</t>
        </is>
      </c>
      <c r="K160" s="9" t="inlineStr">
        <is>
          <t>1</t>
        </is>
      </c>
      <c r="L160" s="9" t="inlineStr">
        <is>
          <t>1</t>
        </is>
      </c>
      <c r="M160" s="9" t="inlineStr">
        <is>
          <t>0</t>
        </is>
      </c>
      <c r="N160" s="9" t="inlineStr">
        <is>
          <t>0</t>
        </is>
      </c>
      <c r="O160" s="10" t="inlineStr">
        <is>
          <t>1</t>
        </is>
      </c>
      <c r="P160" s="10" t="inlineStr">
        <is>
          <t>1</t>
        </is>
      </c>
      <c r="Q160" s="10" t="inlineStr">
        <is>
          <t>1</t>
        </is>
      </c>
      <c r="R160" s="10" t="inlineStr">
        <is>
          <t>0</t>
        </is>
      </c>
      <c r="S160" s="10" t="inlineStr">
        <is>
          <t>0</t>
        </is>
      </c>
    </row>
    <row r="161" ht="329" customHeight="1">
      <c r="A161" s="6">
        <f>IFERROR(__xludf.DUMMYFUNCTION("""COMPUTED_VALUE"""),"Refraction of light 2")</f>
        <v/>
      </c>
      <c r="B161" s="6">
        <f>IFERROR(__xludf.DUMMYFUNCTION("""COMPUTED_VALUE"""),"Application")</f>
        <v/>
      </c>
      <c r="C161" s="6">
        <f>IFERROR(__xludf.DUMMYFUNCTION("""COMPUTED_VALUE"""),"Input Box")</f>
        <v/>
      </c>
      <c r="D161" s="7">
        <f>IFERROR(__xludf.DUMMYFUNCTION("""COMPUTED_VALUE"""),"No task description")</f>
        <v/>
      </c>
      <c r="E16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1" s="7" t="inlineStr">
        <is>
          <t>Students explore light refraction and color change using Golabz apps, take notes, and collaborate.</t>
        </is>
      </c>
      <c r="G161" s="8" t="inlineStr">
        <is>
          <t>0</t>
        </is>
      </c>
      <c r="H161" s="8" t="inlineStr">
        <is>
          <t>1</t>
        </is>
      </c>
      <c r="I161" s="8" t="inlineStr">
        <is>
          <t>1</t>
        </is>
      </c>
      <c r="J161" s="8" t="inlineStr">
        <is>
          <t>1</t>
        </is>
      </c>
      <c r="K161" s="9" t="inlineStr">
        <is>
          <t>0</t>
        </is>
      </c>
      <c r="L161" s="9" t="inlineStr">
        <is>
          <t>1</t>
        </is>
      </c>
      <c r="M161" s="9" t="inlineStr">
        <is>
          <t>1</t>
        </is>
      </c>
      <c r="N161" s="9" t="inlineStr">
        <is>
          <t>1</t>
        </is>
      </c>
      <c r="O161" s="10" t="inlineStr">
        <is>
          <t>0</t>
        </is>
      </c>
      <c r="P161" s="10" t="inlineStr">
        <is>
          <t>0</t>
        </is>
      </c>
      <c r="Q161" s="10" t="inlineStr">
        <is>
          <t>0</t>
        </is>
      </c>
      <c r="R161" s="10" t="inlineStr">
        <is>
          <t>0</t>
        </is>
      </c>
      <c r="S161" s="10" t="inlineStr">
        <is>
          <t>1</t>
        </is>
      </c>
    </row>
    <row r="162" ht="25" customHeight="1">
      <c r="A162" s="6">
        <f>IFERROR(__xludf.DUMMYFUNCTION("""COMPUTED_VALUE"""),"Refraction of light 2")</f>
        <v/>
      </c>
      <c r="B162" s="6">
        <f>IFERROR(__xludf.DUMMYFUNCTION("""COMPUTED_VALUE"""),"Space")</f>
        <v/>
      </c>
      <c r="C162" s="6">
        <f>IFERROR(__xludf.DUMMYFUNCTION("""COMPUTED_VALUE"""),"Doing research - step 2")</f>
        <v/>
      </c>
      <c r="D162" s="7">
        <f>IFERROR(__xludf.DUMMYFUNCTION("""COMPUTED_VALUE"""),"No task description")</f>
        <v/>
      </c>
      <c r="E162" s="7">
        <f>IFERROR(__xludf.DUMMYFUNCTION("""COMPUTED_VALUE"""),"No artifact embedded")</f>
        <v/>
      </c>
      <c r="F162" s="7" t="inlineStr">
        <is>
          <t>Students are instructed to change a light's color and write observations. Embedded artifacts include a note-taking app with potential collaboration features.</t>
        </is>
      </c>
      <c r="G162" s="8" t="inlineStr">
        <is>
          <t>1</t>
        </is>
      </c>
      <c r="H162" s="8" t="inlineStr">
        <is>
          <t>0</t>
        </is>
      </c>
      <c r="I162" s="8" t="inlineStr">
        <is>
          <t>0</t>
        </is>
      </c>
      <c r="J162" s="8" t="inlineStr">
        <is>
          <t>0</t>
        </is>
      </c>
      <c r="K162" s="9" t="inlineStr">
        <is>
          <t>0</t>
        </is>
      </c>
      <c r="L162" s="9" t="inlineStr">
        <is>
          <t>0</t>
        </is>
      </c>
      <c r="M162" s="9" t="inlineStr">
        <is>
          <t>0</t>
        </is>
      </c>
      <c r="N162" s="9" t="inlineStr">
        <is>
          <t>0</t>
        </is>
      </c>
      <c r="O162" s="10" t="inlineStr">
        <is>
          <t>0</t>
        </is>
      </c>
      <c r="P162" s="10" t="inlineStr">
        <is>
          <t>0</t>
        </is>
      </c>
      <c r="Q162" s="10" t="inlineStr">
        <is>
          <t>0</t>
        </is>
      </c>
      <c r="R162" s="10" t="inlineStr">
        <is>
          <t>0</t>
        </is>
      </c>
      <c r="S162" s="10" t="inlineStr">
        <is>
          <t>0</t>
        </is>
      </c>
    </row>
    <row r="163" ht="205" customHeight="1">
      <c r="A163" s="6">
        <f>IFERROR(__xludf.DUMMYFUNCTION("""COMPUTED_VALUE"""),"Refraction of light 2")</f>
        <v/>
      </c>
      <c r="B163" s="6">
        <f>IFERROR(__xludf.DUMMYFUNCTION("""COMPUTED_VALUE"""),"Resource")</f>
        <v/>
      </c>
      <c r="C163" s="6">
        <f>IFERROR(__xludf.DUMMYFUNCTION("""COMPUTED_VALUE"""),"Assignment LB2.PNG")</f>
        <v/>
      </c>
      <c r="D163" s="7">
        <f>IFERROR(__xludf.DUMMYFUNCTION("""COMPUTED_VALUE"""),"Below you see the same program again' Press twice on ""Prisms"". Now change the colour of the light to white by pressing on the box on the right, l— lEl lEl Drag a triangle in front of the light and switch the light on, Describe below what you observe,")</f>
        <v/>
      </c>
      <c r="E163" s="7">
        <f>IFERROR(__xludf.DUMMYFUNCTION("""COMPUTED_VALUE"""),"image/png – A high-quality image with support for transparency, often used in design and web applications.")</f>
        <v/>
      </c>
      <c r="F163" s="7" t="inlineStr">
        <is>
          <t>Students were given tasks with embedded artifacts, including interactive apps and images, to complete specific instructions, such as note-taking and collaborating.</t>
        </is>
      </c>
      <c r="G163" s="8" t="inlineStr">
        <is>
          <t>0</t>
        </is>
      </c>
      <c r="H163" s="8" t="inlineStr">
        <is>
          <t>1</t>
        </is>
      </c>
      <c r="I163" s="8" t="inlineStr">
        <is>
          <t>1</t>
        </is>
      </c>
      <c r="J163" s="8" t="inlineStr">
        <is>
          <t>1</t>
        </is>
      </c>
      <c r="K163" s="9" t="inlineStr">
        <is>
          <t>1</t>
        </is>
      </c>
      <c r="L163" s="9" t="inlineStr">
        <is>
          <t>1</t>
        </is>
      </c>
      <c r="M163" s="9" t="inlineStr">
        <is>
          <t>0</t>
        </is>
      </c>
      <c r="N163" s="9" t="inlineStr">
        <is>
          <t>0</t>
        </is>
      </c>
      <c r="O163" s="10" t="inlineStr">
        <is>
          <t>0</t>
        </is>
      </c>
      <c r="P163" s="10" t="inlineStr">
        <is>
          <t>0</t>
        </is>
      </c>
      <c r="Q163" s="10" t="inlineStr">
        <is>
          <t>1</t>
        </is>
      </c>
      <c r="R163" s="10" t="inlineStr">
        <is>
          <t>0</t>
        </is>
      </c>
      <c r="S163" s="10" t="inlineStr">
        <is>
          <t>0</t>
        </is>
      </c>
    </row>
    <row r="164" ht="329" customHeight="1">
      <c r="A164" s="6">
        <f>IFERROR(__xludf.DUMMYFUNCTION("""COMPUTED_VALUE"""),"Refraction of light 2")</f>
        <v/>
      </c>
      <c r="B164" s="6">
        <f>IFERROR(__xludf.DUMMYFUNCTION("""COMPUTED_VALUE"""),"Application")</f>
        <v/>
      </c>
      <c r="C164" s="6">
        <f>IFERROR(__xludf.DUMMYFUNCTION("""COMPUTED_VALUE"""),"Input Box")</f>
        <v/>
      </c>
      <c r="D164" s="7">
        <f>IFERROR(__xludf.DUMMYFUNCTION("""COMPUTED_VALUE"""),"No task description")</f>
        <v/>
      </c>
      <c r="E16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4" s="7" t="inlineStr">
        <is>
          <t>Students are given tasks and artifacts. Item2's task involves interacting with a program and describing observations, accompanied by a PNG image artifact.</t>
        </is>
      </c>
      <c r="G164" s="8" t="inlineStr">
        <is>
          <t>0</t>
        </is>
      </c>
      <c r="H164" s="8" t="inlineStr">
        <is>
          <t>1</t>
        </is>
      </c>
      <c r="I164" s="8" t="inlineStr">
        <is>
          <t>1</t>
        </is>
      </c>
      <c r="J164" s="8" t="inlineStr">
        <is>
          <t>1</t>
        </is>
      </c>
      <c r="K164" s="9" t="inlineStr">
        <is>
          <t>0</t>
        </is>
      </c>
      <c r="L164" s="9" t="inlineStr">
        <is>
          <t>1</t>
        </is>
      </c>
      <c r="M164" s="9" t="inlineStr">
        <is>
          <t>1</t>
        </is>
      </c>
      <c r="N164" s="9" t="inlineStr">
        <is>
          <t>1</t>
        </is>
      </c>
      <c r="O164" s="10" t="inlineStr">
        <is>
          <t>0</t>
        </is>
      </c>
      <c r="P164" s="10" t="inlineStr">
        <is>
          <t>0</t>
        </is>
      </c>
      <c r="Q164" s="10" t="inlineStr">
        <is>
          <t>0</t>
        </is>
      </c>
      <c r="R164" s="10" t="inlineStr">
        <is>
          <t>0</t>
        </is>
      </c>
      <c r="S164" s="10" t="inlineStr">
        <is>
          <t>1</t>
        </is>
      </c>
    </row>
    <row r="165" ht="205" customHeight="1">
      <c r="A165" s="6">
        <f>IFERROR(__xludf.DUMMYFUNCTION("""COMPUTED_VALUE"""),"Refraction of light 2")</f>
        <v/>
      </c>
      <c r="B165" s="6">
        <f>IFERROR(__xludf.DUMMYFUNCTION("""COMPUTED_VALUE"""),"Application")</f>
        <v/>
      </c>
      <c r="C165" s="6">
        <f>IFERROR(__xludf.DUMMYFUNCTION("""COMPUTED_VALUE"""),"Bending Light")</f>
        <v/>
      </c>
      <c r="D165" s="7">
        <f>IFERROR(__xludf.DUMMYFUNCTION("""COMPUTED_VALUE"""),"No task description")</f>
        <v/>
      </c>
      <c r="E165"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65" s="7" t="inlineStr">
        <is>
          <t>Students are instructed to interact with a program, pressing buttons, dragging shapes, and observing results, with embedded artifacts including images and interactive apps.</t>
        </is>
      </c>
      <c r="G165" s="8" t="inlineStr">
        <is>
          <t>0</t>
        </is>
      </c>
      <c r="H165" s="8" t="inlineStr">
        <is>
          <t>1</t>
        </is>
      </c>
      <c r="I165" s="8" t="inlineStr">
        <is>
          <t>1</t>
        </is>
      </c>
      <c r="J165" s="8" t="inlineStr">
        <is>
          <t>1</t>
        </is>
      </c>
      <c r="K165" s="9" t="inlineStr">
        <is>
          <t>1</t>
        </is>
      </c>
      <c r="L165" s="9" t="inlineStr">
        <is>
          <t>0</t>
        </is>
      </c>
      <c r="M165" s="9" t="inlineStr">
        <is>
          <t>0</t>
        </is>
      </c>
      <c r="N165" s="9" t="inlineStr">
        <is>
          <t>0</t>
        </is>
      </c>
      <c r="O165" s="10" t="inlineStr">
        <is>
          <t>1</t>
        </is>
      </c>
      <c r="P165" s="10" t="inlineStr">
        <is>
          <t>0</t>
        </is>
      </c>
      <c r="Q165" s="10" t="inlineStr">
        <is>
          <t>1</t>
        </is>
      </c>
      <c r="R165" s="10" t="inlineStr">
        <is>
          <t>0</t>
        </is>
      </c>
      <c r="S165" s="10" t="inlineStr">
        <is>
          <t>0</t>
        </is>
      </c>
    </row>
    <row r="166" ht="121" customHeight="1">
      <c r="A166" s="6">
        <f>IFERROR(__xludf.DUMMYFUNCTION("""COMPUTED_VALUE"""),"Refraction of light 2")</f>
        <v/>
      </c>
      <c r="B166" s="6">
        <f>IFERROR(__xludf.DUMMYFUNCTION("""COMPUTED_VALUE"""),"Resource")</f>
        <v/>
      </c>
      <c r="C166" s="6">
        <f>IFERROR(__xludf.DUMMYFUNCTION("""COMPUTED_VALUE"""),"Assignment.graasp")</f>
        <v/>
      </c>
      <c r="D166" s="7">
        <f>IFERROR(__xludf.DUMMYFUNCTION("""COMPUTED_VALUE"""),"&lt;p&gt;Make further explorations by changing things in the program above. If you're done press ""&lt;strong&gt;What did you discover?&lt;/strong&gt;""&lt;br&gt;&lt;/p&gt;")</f>
        <v/>
      </c>
      <c r="E166" s="7">
        <f>IFERROR(__xludf.DUMMYFUNCTION("""COMPUTED_VALUE"""),"No artifact embedded")</f>
        <v/>
      </c>
      <c r="F166" s="7" t="inlineStr">
        <is>
          <t>Students use Golabz apps to take notes, collaborate, and explore light refraction, with some tasks requiring further exploration and discovery.</t>
        </is>
      </c>
      <c r="G166" s="8" t="inlineStr">
        <is>
          <t>0</t>
        </is>
      </c>
      <c r="H166" s="8" t="inlineStr">
        <is>
          <t>1</t>
        </is>
      </c>
      <c r="I166" s="8" t="inlineStr">
        <is>
          <t>1</t>
        </is>
      </c>
      <c r="J166" s="8" t="inlineStr">
        <is>
          <t>1</t>
        </is>
      </c>
      <c r="K166" s="9" t="inlineStr">
        <is>
          <t>1</t>
        </is>
      </c>
      <c r="L166" s="9" t="inlineStr">
        <is>
          <t>1</t>
        </is>
      </c>
      <c r="M166" s="9" t="inlineStr">
        <is>
          <t>0</t>
        </is>
      </c>
      <c r="N166" s="9" t="inlineStr">
        <is>
          <t>0</t>
        </is>
      </c>
      <c r="O166" s="10" t="inlineStr">
        <is>
          <t>0</t>
        </is>
      </c>
      <c r="P166" s="10" t="inlineStr">
        <is>
          <t>0</t>
        </is>
      </c>
      <c r="Q166" s="10" t="inlineStr">
        <is>
          <t>1</t>
        </is>
      </c>
      <c r="R166" s="10" t="inlineStr">
        <is>
          <t>0</t>
        </is>
      </c>
      <c r="S166" s="10" t="inlineStr">
        <is>
          <t>0</t>
        </is>
      </c>
    </row>
    <row r="167" ht="263" customHeight="1">
      <c r="A167" s="6">
        <f>IFERROR(__xludf.DUMMYFUNCTION("""COMPUTED_VALUE"""),"Refraction of light 2")</f>
        <v/>
      </c>
      <c r="B167" s="6">
        <f>IFERROR(__xludf.DUMMYFUNCTION("""COMPUTED_VALUE"""),"Space")</f>
        <v/>
      </c>
      <c r="C167" s="6">
        <f>IFERROR(__xludf.DUMMYFUNCTION("""COMPUTED_VALUE"""),"What did you discover?")</f>
        <v/>
      </c>
      <c r="D167" s="7">
        <f>IFERROR(__xludf.DUMMYFUNCTION("""COMPUTED_VALUE"""),"&lt;p&gt;White light is a mixture of colours and each colour has it's own wavelength. See the picture below. When the light waves are refracted every wavelength is refracted differently. Therefore all the colours in the white light are refracted in a different "&amp;"angle. This makes that you can see the colours after the white light is refracted.  &lt;/p&gt;")</f>
        <v/>
      </c>
      <c r="E167" s="7">
        <f>IFERROR(__xludf.DUMMYFUNCTION("""COMPUTED_VALUE"""),"No artifact embedded")</f>
        <v/>
      </c>
      <c r="F167" s="7" t="inlineStr">
        <is>
          <t>Students explore light refraction using Golabz app, then make further discoveries and analyze wavelength refraction effects on white light.</t>
        </is>
      </c>
      <c r="G167" s="8" t="inlineStr">
        <is>
          <t>1</t>
        </is>
      </c>
      <c r="H167" s="8" t="inlineStr">
        <is>
          <t>0</t>
        </is>
      </c>
      <c r="I167" s="8" t="inlineStr">
        <is>
          <t>0</t>
        </is>
      </c>
      <c r="J167" s="8" t="inlineStr">
        <is>
          <t>0</t>
        </is>
      </c>
      <c r="K167" s="9" t="inlineStr">
        <is>
          <t>0</t>
        </is>
      </c>
      <c r="L167" s="9" t="inlineStr">
        <is>
          <t>0</t>
        </is>
      </c>
      <c r="M167" s="9" t="inlineStr">
        <is>
          <t>0</t>
        </is>
      </c>
      <c r="N167" s="9" t="inlineStr">
        <is>
          <t>0</t>
        </is>
      </c>
      <c r="O167" s="10" t="inlineStr">
        <is>
          <t>0</t>
        </is>
      </c>
      <c r="P167" s="10" t="inlineStr">
        <is>
          <t>0</t>
        </is>
      </c>
      <c r="Q167" s="10" t="inlineStr">
        <is>
          <t>0</t>
        </is>
      </c>
      <c r="R167" s="10" t="inlineStr">
        <is>
          <t>1</t>
        </is>
      </c>
      <c r="S167" s="10" t="inlineStr">
        <is>
          <t>0</t>
        </is>
      </c>
    </row>
    <row r="168" ht="97" customHeight="1">
      <c r="A168" s="6">
        <f>IFERROR(__xludf.DUMMYFUNCTION("""COMPUTED_VALUE"""),"Refraction of light 2")</f>
        <v/>
      </c>
      <c r="B168" s="6">
        <f>IFERROR(__xludf.DUMMYFUNCTION("""COMPUTED_VALUE"""),"Resource")</f>
        <v/>
      </c>
      <c r="C168" s="6">
        <f>IFERROR(__xludf.DUMMYFUNCTION("""COMPUTED_VALUE"""),"Lightwaves.PNG")</f>
        <v/>
      </c>
      <c r="D168" s="7">
        <f>IFERROR(__xludf.DUMMYFUNCTION("""COMPUTED_VALUE"""),"No task description")</f>
        <v/>
      </c>
      <c r="E168" s="7">
        <f>IFERROR(__xludf.DUMMYFUNCTION("""COMPUTED_VALUE"""),"image/png – A high-quality image with support for transparency, often used in design and web applications.")</f>
        <v/>
      </c>
      <c r="F168" s="7" t="inlineStr">
        <is>
          <t>Students are instructed to explore programs and discover refraction of light. Embedded artifacts include no items in Items 1 and 2, but an image in Item 3.</t>
        </is>
      </c>
      <c r="G168" s="8" t="inlineStr">
        <is>
          <t>1</t>
        </is>
      </c>
      <c r="H168" s="8" t="inlineStr">
        <is>
          <t>0</t>
        </is>
      </c>
      <c r="I168" s="8" t="inlineStr">
        <is>
          <t>0</t>
        </is>
      </c>
      <c r="J168" s="8" t="inlineStr">
        <is>
          <t>0</t>
        </is>
      </c>
      <c r="K168" s="9" t="inlineStr">
        <is>
          <t>0</t>
        </is>
      </c>
      <c r="L168" s="9" t="inlineStr">
        <is>
          <t>0</t>
        </is>
      </c>
      <c r="M168" s="9" t="inlineStr">
        <is>
          <t>0</t>
        </is>
      </c>
      <c r="N168" s="9" t="inlineStr">
        <is>
          <t>0</t>
        </is>
      </c>
      <c r="O168" s="10" t="inlineStr">
        <is>
          <t>0</t>
        </is>
      </c>
      <c r="P168" s="10" t="inlineStr">
        <is>
          <t>0</t>
        </is>
      </c>
      <c r="Q168" s="10" t="inlineStr">
        <is>
          <t>0</t>
        </is>
      </c>
      <c r="R168" s="10" t="inlineStr">
        <is>
          <t>0</t>
        </is>
      </c>
      <c r="S168" s="10" t="inlineStr">
        <is>
          <t>0</t>
        </is>
      </c>
    </row>
    <row r="169" ht="121" customHeight="1">
      <c r="A169" s="6">
        <f>IFERROR(__xludf.DUMMYFUNCTION("""COMPUTED_VALUE"""),"Refraction of light 2")</f>
        <v/>
      </c>
      <c r="B169" s="6">
        <f>IFERROR(__xludf.DUMMYFUNCTION("""COMPUTED_VALUE"""),"Resource")</f>
        <v/>
      </c>
      <c r="C169" s="6">
        <f>IFERROR(__xludf.DUMMYFUNCTION("""COMPUTED_VALUE"""),"Rainbows and refraction")</f>
        <v/>
      </c>
      <c r="D169" s="7">
        <f>IFERROR(__xludf.DUMMYFUNCTION("""COMPUTED_VALUE"""),"No task description")</f>
        <v/>
      </c>
      <c r="E169" s="7">
        <f>IFERROR(__xludf.DUMMYFUNCTION("""COMPUTED_VALUE"""),"youtube.com: A widely known video-sharing platform where users can watch videos on a vast array of topics, including educational content.")</f>
        <v/>
      </c>
      <c r="F169" s="7" t="inlineStr">
        <is>
          <t>Students were instructed about light refraction. Embedded artifacts include an image and a YouTube video.</t>
        </is>
      </c>
      <c r="G169" s="8" t="inlineStr">
        <is>
          <t>1</t>
        </is>
      </c>
      <c r="H169" s="8" t="inlineStr">
        <is>
          <t>0</t>
        </is>
      </c>
      <c r="I169" s="8" t="inlineStr">
        <is>
          <t>0</t>
        </is>
      </c>
      <c r="J169" s="8" t="inlineStr">
        <is>
          <t>0</t>
        </is>
      </c>
      <c r="K169" s="9" t="inlineStr">
        <is>
          <t>0</t>
        </is>
      </c>
      <c r="L169" s="9" t="inlineStr">
        <is>
          <t>0</t>
        </is>
      </c>
      <c r="M169" s="9" t="inlineStr">
        <is>
          <t>0</t>
        </is>
      </c>
      <c r="N169" s="9" t="inlineStr">
        <is>
          <t>0</t>
        </is>
      </c>
      <c r="O169" s="10" t="inlineStr">
        <is>
          <t>0</t>
        </is>
      </c>
      <c r="P169" s="10" t="inlineStr">
        <is>
          <t>0</t>
        </is>
      </c>
      <c r="Q169" s="10" t="inlineStr">
        <is>
          <t>0</t>
        </is>
      </c>
      <c r="R169" s="10" t="inlineStr">
        <is>
          <t>0</t>
        </is>
      </c>
      <c r="S169" s="10" t="inlineStr">
        <is>
          <t>0</t>
        </is>
      </c>
    </row>
    <row r="170" ht="133" customHeight="1">
      <c r="A170" s="6">
        <f>IFERROR(__xludf.DUMMYFUNCTION("""COMPUTED_VALUE"""),"Refraction of light 2")</f>
        <v/>
      </c>
      <c r="B170" s="6">
        <f>IFERROR(__xludf.DUMMYFUNCTION("""COMPUTED_VALUE"""),"Resource")</f>
        <v/>
      </c>
      <c r="C170" s="6">
        <f>IFERROR(__xludf.DUMMYFUNCTION("""COMPUTED_VALUE"""),"How are rainbows formed?")</f>
        <v/>
      </c>
      <c r="D170" s="7">
        <f>IFERROR(__xludf.DUMMYFUNCTION("""COMPUTED_VALUE"""),"The properties and behaviour of light, and how it interacts with droplets of water, give rise to one of nature's most colourful meteorological events - the rainbow.")</f>
        <v/>
      </c>
      <c r="E170" s="7">
        <f>IFERROR(__xludf.DUMMYFUNCTION("""COMPUTED_VALUE"""),"metoffice.gov.uk: The UK's Met Office provides information on weather phenomena, including explanations of how rainbows are formed.")</f>
        <v/>
      </c>
      <c r="F170" s="7" t="inlineStr">
        <is>
          <t>No task descriptions for Items 1 and 2. Item 3 describes rainbows. Embedded artifacts include a PNG image, YouTube, and the Met Office website.</t>
        </is>
      </c>
      <c r="G170" s="8" t="inlineStr">
        <is>
          <t>1</t>
        </is>
      </c>
      <c r="H170" s="8" t="inlineStr">
        <is>
          <t>0</t>
        </is>
      </c>
      <c r="I170" s="8" t="inlineStr">
        <is>
          <t>0</t>
        </is>
      </c>
      <c r="J170" s="8" t="inlineStr">
        <is>
          <t>0</t>
        </is>
      </c>
      <c r="K170" s="9" t="inlineStr">
        <is>
          <t>0</t>
        </is>
      </c>
      <c r="L170" s="9" t="inlineStr">
        <is>
          <t>0</t>
        </is>
      </c>
      <c r="M170" s="9" t="inlineStr">
        <is>
          <t>0</t>
        </is>
      </c>
      <c r="N170" s="9" t="inlineStr">
        <is>
          <t>0</t>
        </is>
      </c>
      <c r="O170" s="10" t="inlineStr">
        <is>
          <t>1</t>
        </is>
      </c>
      <c r="P170" s="10" t="inlineStr">
        <is>
          <t>0</t>
        </is>
      </c>
      <c r="Q170" s="10" t="inlineStr">
        <is>
          <t>0</t>
        </is>
      </c>
      <c r="R170" s="10" t="inlineStr">
        <is>
          <t>0</t>
        </is>
      </c>
      <c r="S170" s="10" t="inlineStr">
        <is>
          <t>0</t>
        </is>
      </c>
    </row>
    <row r="171" ht="296" customHeight="1">
      <c r="A171" s="6">
        <f>IFERROR(__xludf.DUMMYFUNCTION("""COMPUTED_VALUE"""),"Refraction of light 2")</f>
        <v/>
      </c>
      <c r="B171" s="6">
        <f>IFERROR(__xludf.DUMMYFUNCTION("""COMPUTED_VALUE"""),"Application")</f>
        <v/>
      </c>
      <c r="C171" s="6">
        <f>IFERROR(__xludf.DUMMYFUNCTION("""COMPUTED_VALUE"""),"Quiz Tool")</f>
        <v/>
      </c>
      <c r="D171" s="7">
        <f>IFERROR(__xludf.DUMMYFUNCTION("""COMPUTED_VALUE"""),"No task description")</f>
        <v/>
      </c>
      <c r="E17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71" s="7" t="inlineStr">
        <is>
          <t>Students were given tasks with embedded artifacts from websites like YouTube, Met Office, and Golabz app/lab, providing educational content on topics like rainbows and quizzes.</t>
        </is>
      </c>
      <c r="G171" s="8" t="inlineStr">
        <is>
          <t>1</t>
        </is>
      </c>
      <c r="H171" s="8" t="inlineStr">
        <is>
          <t>0</t>
        </is>
      </c>
      <c r="I171" s="8" t="inlineStr">
        <is>
          <t>0</t>
        </is>
      </c>
      <c r="J171" s="8" t="inlineStr">
        <is>
          <t>1</t>
        </is>
      </c>
      <c r="K171" s="9" t="inlineStr">
        <is>
          <t>1</t>
        </is>
      </c>
      <c r="L171" s="9" t="inlineStr">
        <is>
          <t>0</t>
        </is>
      </c>
      <c r="M171" s="9" t="inlineStr">
        <is>
          <t>0</t>
        </is>
      </c>
      <c r="N171" s="9" t="inlineStr">
        <is>
          <t>0</t>
        </is>
      </c>
      <c r="O171" s="10" t="inlineStr">
        <is>
          <t>0</t>
        </is>
      </c>
      <c r="P171" s="10" t="inlineStr">
        <is>
          <t>0</t>
        </is>
      </c>
      <c r="Q171" s="10" t="inlineStr">
        <is>
          <t>0</t>
        </is>
      </c>
      <c r="R171" s="10" t="inlineStr">
        <is>
          <t>0</t>
        </is>
      </c>
      <c r="S171" s="10" t="inlineStr">
        <is>
          <t>0</t>
        </is>
      </c>
    </row>
    <row r="172" ht="25" customHeight="1">
      <c r="A172" s="6">
        <f>IFERROR(__xludf.DUMMYFUNCTION("""COMPUTED_VALUE"""),"Refraction of light 2")</f>
        <v/>
      </c>
      <c r="B172" s="6">
        <f>IFERROR(__xludf.DUMMYFUNCTION("""COMPUTED_VALUE"""),"Space")</f>
        <v/>
      </c>
      <c r="C172" s="6">
        <f>IFERROR(__xludf.DUMMYFUNCTION("""COMPUTED_VALUE"""),"Student Dashboard")</f>
        <v/>
      </c>
      <c r="D172" s="7">
        <f>IFERROR(__xludf.DUMMYFUNCTION("""COMPUTED_VALUE"""),"No task description")</f>
        <v/>
      </c>
      <c r="E172" s="7">
        <f>IFERROR(__xludf.DUMMYFUNCTION("""COMPUTED_VALUE"""),"No artifact embedded")</f>
        <v/>
      </c>
      <c r="F172" s="7" t="inlineStr">
        <is>
          <t>Students are given tasks with descriptions and access to external resources like metoffice.gov.uk and Golabz app/lab for interactive learning.</t>
        </is>
      </c>
      <c r="G172" s="8" t="inlineStr">
        <is>
          <t>1</t>
        </is>
      </c>
      <c r="H172" s="8" t="inlineStr">
        <is>
          <t>0</t>
        </is>
      </c>
      <c r="I172" s="8" t="inlineStr">
        <is>
          <t>0</t>
        </is>
      </c>
      <c r="J172" s="8" t="inlineStr">
        <is>
          <t>0</t>
        </is>
      </c>
      <c r="K172" s="9" t="inlineStr">
        <is>
          <t>0</t>
        </is>
      </c>
      <c r="L172" s="9" t="inlineStr">
        <is>
          <t>0</t>
        </is>
      </c>
      <c r="M172" s="9" t="inlineStr">
        <is>
          <t>0</t>
        </is>
      </c>
      <c r="N172" s="9" t="inlineStr">
        <is>
          <t>0</t>
        </is>
      </c>
      <c r="O172" s="10" t="inlineStr">
        <is>
          <t>0</t>
        </is>
      </c>
      <c r="P172" s="10" t="inlineStr">
        <is>
          <t>0</t>
        </is>
      </c>
      <c r="Q172" s="10" t="inlineStr">
        <is>
          <t>0</t>
        </is>
      </c>
      <c r="R172" s="10" t="inlineStr">
        <is>
          <t>0</t>
        </is>
      </c>
      <c r="S172" s="10" t="inlineStr">
        <is>
          <t>0</t>
        </is>
      </c>
    </row>
    <row r="173" ht="49" customHeight="1">
      <c r="A173" s="6">
        <f>IFERROR(__xludf.DUMMYFUNCTION("""COMPUTED_VALUE"""),"ILS test")</f>
        <v/>
      </c>
      <c r="B173" s="6">
        <f>IFERROR(__xludf.DUMMYFUNCTION("""COMPUTED_VALUE"""),"Space")</f>
        <v/>
      </c>
      <c r="C173" s="6">
        <f>IFERROR(__xludf.DUMMYFUNCTION("""COMPUTED_VALUE"""),"phase 1")</f>
        <v/>
      </c>
      <c r="D173" s="7">
        <f>IFERROR(__xludf.DUMMYFUNCTION("""COMPUTED_VALUE"""),"&lt;p&gt;This is a description for the orientation.&lt;/p&gt;")</f>
        <v/>
      </c>
      <c r="E173" s="7">
        <f>IFERROR(__xludf.DUMMYFUNCTION("""COMPUTED_VALUE"""),"No artifact embedded")</f>
        <v/>
      </c>
      <c r="F173" s="7" t="inlineStr">
        <is>
          <t>No task descriptions were provided, except for Item3. Only Item1 has an embedded artifact, describing the Golabz app/lab quiz features.</t>
        </is>
      </c>
      <c r="G173" s="8" t="inlineStr">
        <is>
          <t>1</t>
        </is>
      </c>
      <c r="H173" s="8" t="inlineStr">
        <is>
          <t>0</t>
        </is>
      </c>
      <c r="I173" s="8" t="inlineStr">
        <is>
          <t>0</t>
        </is>
      </c>
      <c r="J173" s="8" t="inlineStr">
        <is>
          <t>0</t>
        </is>
      </c>
      <c r="K173" s="9" t="inlineStr">
        <is>
          <t>0</t>
        </is>
      </c>
      <c r="L173" s="9" t="inlineStr">
        <is>
          <t>0</t>
        </is>
      </c>
      <c r="M173" s="9" t="inlineStr">
        <is>
          <t>0</t>
        </is>
      </c>
      <c r="N173" s="9" t="inlineStr">
        <is>
          <t>0</t>
        </is>
      </c>
      <c r="O173" s="10" t="inlineStr">
        <is>
          <t>1</t>
        </is>
      </c>
      <c r="P173" s="10" t="inlineStr">
        <is>
          <t>0</t>
        </is>
      </c>
      <c r="Q173" s="10" t="inlineStr">
        <is>
          <t>0</t>
        </is>
      </c>
      <c r="R173" s="10" t="inlineStr">
        <is>
          <t>0</t>
        </is>
      </c>
      <c r="S173" s="10" t="inlineStr">
        <is>
          <t>0</t>
        </is>
      </c>
    </row>
    <row r="174" ht="409.5" customHeight="1">
      <c r="A174" s="6">
        <f>IFERROR(__xludf.DUMMYFUNCTION("""COMPUTED_VALUE"""),"ILS test")</f>
        <v/>
      </c>
      <c r="B174" s="6">
        <f>IFERROR(__xludf.DUMMYFUNCTION("""COMPUTED_VALUE"""),"Application")</f>
        <v/>
      </c>
      <c r="C174" s="6">
        <f>IFERROR(__xludf.DUMMYFUNCTION("""COMPUTED_VALUE"""),"Bond app")</f>
        <v/>
      </c>
      <c r="D174" s="7">
        <f>IFERROR(__xludf.DUMMYFUNCTION("""COMPUTED_VALUE"""),"No task description")</f>
        <v/>
      </c>
      <c r="E174" s="7">
        <f>IFERROR(__xludf.DUMMYFUNCTION("""COMPUTED_VALUE"""),"Golabz app/lab: ""&lt;p&gt;Bond (from bonding in chemistry) helps students learn about solubility and precipitation of salts. Bond contains a database with thousands of salts and the most common ions, with information about solubility and colours. The setup is "&amp;"similar to what students would do in a real chemistry lab. They select two solutions, mix them and then observe whether a reaction takes place and a precipitation occurs. When that is the case students have to select the ions that make up the precipitated"&amp;" salt, enter the charges for the ions, and finally determine the coefficients to complete the reaction.&lt;/p&gt;&lt;p&gt;Teachers can configure the solutions students can select from by clicking on the gear icon. During configuration it is also possible to define &amp;q"&amp;"uot;mystery&amp;quot; solutions. Enter an (arbitrary) name after the Mystery field for the solution, and the chemical formula on the bottle for that solution will be replaced by the name entered.&lt;/p&gt;&lt;p&gt;.&lt;/p&gt;""")</f>
        <v/>
      </c>
      <c r="F174" s="7" t="inlineStr">
        <is>
          <t>Students receive task descriptions and access embedded artifacts, including the Golabz app "Bond" for learning chemistry concepts like solubility and precipitation.</t>
        </is>
      </c>
      <c r="G174" s="8" t="inlineStr">
        <is>
          <t>0</t>
        </is>
      </c>
      <c r="H174" s="8" t="inlineStr">
        <is>
          <t>1</t>
        </is>
      </c>
      <c r="I174" s="8" t="inlineStr">
        <is>
          <t>1</t>
        </is>
      </c>
      <c r="J174" s="8" t="inlineStr">
        <is>
          <t>1</t>
        </is>
      </c>
      <c r="K174" s="9" t="inlineStr">
        <is>
          <t>1</t>
        </is>
      </c>
      <c r="L174" s="9" t="inlineStr">
        <is>
          <t>0</t>
        </is>
      </c>
      <c r="M174" s="9" t="inlineStr">
        <is>
          <t>0</t>
        </is>
      </c>
      <c r="N174" s="9" t="inlineStr">
        <is>
          <t>0</t>
        </is>
      </c>
      <c r="O174" s="10" t="inlineStr">
        <is>
          <t>1</t>
        </is>
      </c>
      <c r="P174" s="10" t="inlineStr">
        <is>
          <t>0</t>
        </is>
      </c>
      <c r="Q174" s="10" t="inlineStr">
        <is>
          <t>1</t>
        </is>
      </c>
      <c r="R174" s="10" t="inlineStr">
        <is>
          <t>0</t>
        </is>
      </c>
      <c r="S174" s="10" t="inlineStr">
        <is>
          <t>0</t>
        </is>
      </c>
    </row>
    <row r="175" ht="157" customHeight="1">
      <c r="A175" s="6">
        <f>IFERROR(__xludf.DUMMYFUNCTION("""COMPUTED_VALUE"""),"ILS test")</f>
        <v/>
      </c>
      <c r="B175" s="6">
        <f>IFERROR(__xludf.DUMMYFUNCTION("""COMPUTED_VALUE"""),"Resource")</f>
        <v/>
      </c>
      <c r="C175" s="6">
        <f>IFERROR(__xludf.DUMMYFUNCTION("""COMPUTED_VALUE"""),"This is a doc test for the ils.docx")</f>
        <v/>
      </c>
      <c r="D175" s="7">
        <f>IFERROR(__xludf.DUMMYFUNCTION("""COMPUTED_VALUE"""),"This is a doc test for the ils !")</f>
        <v/>
      </c>
      <c r="E175" s="7">
        <f>IFERROR(__xludf.DUMMYFUNCTION("""COMPUTED_VALUE"""),"application/vnd.openxmlformats-officedocument.wordprocessingml.document – A Microsoft Word document (DOCX), typically containing formatted text, images, and tables.")</f>
        <v/>
      </c>
      <c r="F175" s="7" t="inlineStr">
        <is>
          <t>Students received task descriptions and interacted with artifacts like Golabz app/lab and a Microsoft Word document.</t>
        </is>
      </c>
      <c r="G175" s="8" t="inlineStr">
        <is>
          <t>1</t>
        </is>
      </c>
      <c r="H175" s="8" t="inlineStr">
        <is>
          <t>0</t>
        </is>
      </c>
      <c r="I175" s="8" t="inlineStr">
        <is>
          <t>0</t>
        </is>
      </c>
      <c r="J175" s="8" t="inlineStr">
        <is>
          <t>0</t>
        </is>
      </c>
      <c r="K175" s="9" t="inlineStr">
        <is>
          <t>1</t>
        </is>
      </c>
      <c r="L175" s="9" t="inlineStr">
        <is>
          <t>0</t>
        </is>
      </c>
      <c r="M175" s="9" t="inlineStr">
        <is>
          <t>0</t>
        </is>
      </c>
      <c r="N175" s="9" t="inlineStr">
        <is>
          <t>0</t>
        </is>
      </c>
      <c r="O175" s="10" t="inlineStr">
        <is>
          <t>0</t>
        </is>
      </c>
      <c r="P175" s="10" t="inlineStr">
        <is>
          <t>0</t>
        </is>
      </c>
      <c r="Q175" s="10" t="inlineStr">
        <is>
          <t>0</t>
        </is>
      </c>
      <c r="R175" s="10" t="inlineStr">
        <is>
          <t>0</t>
        </is>
      </c>
      <c r="S175" s="10" t="inlineStr">
        <is>
          <t>0</t>
        </is>
      </c>
    </row>
    <row r="176" ht="145" customHeight="1">
      <c r="A176" s="6">
        <f>IFERROR(__xludf.DUMMYFUNCTION("""COMPUTED_VALUE"""),"ILS test")</f>
        <v/>
      </c>
      <c r="B176" s="6">
        <f>IFERROR(__xludf.DUMMYFUNCTION("""COMPUTED_VALUE"""),"Resource")</f>
        <v/>
      </c>
      <c r="C176" s="6">
        <f>IFERROR(__xludf.DUMMYFUNCTION("""COMPUTED_VALUE"""),"graasp doc test.graasp")</f>
        <v/>
      </c>
      <c r="D176" s="7">
        <f>IFERROR(__xludf.DUMMYFUNCTION("""COMPUTED_VALUE"""),"&lt;p&gt;This is a &lt;a href=""http://grassp.eu"" target=""_blank""&gt;Graasp&lt;/a&gt; document where one can have words in &lt;strong&gt;bold&lt;/strong&gt; and &lt;em&gt;italics&lt;/em&gt;.&lt;br&gt;&lt;/p&gt;")</f>
        <v/>
      </c>
      <c r="E176" s="7">
        <f>IFERROR(__xludf.DUMMYFUNCTION("""COMPUTED_VALUE"""),"No artifact embedded")</f>
        <v/>
      </c>
      <c r="F176" s="7" t="inlineStr">
        <is>
          <t>Students received task descriptions with embedded artifacts, including a chemistry lab app and Microsoft Word document.</t>
        </is>
      </c>
      <c r="G176" s="8" t="inlineStr">
        <is>
          <t>1</t>
        </is>
      </c>
      <c r="H176" s="8" t="inlineStr">
        <is>
          <t>0</t>
        </is>
      </c>
      <c r="I176" s="8" t="inlineStr">
        <is>
          <t>0</t>
        </is>
      </c>
      <c r="J176" s="8" t="inlineStr">
        <is>
          <t>0</t>
        </is>
      </c>
      <c r="K176" s="9" t="inlineStr">
        <is>
          <t>1</t>
        </is>
      </c>
      <c r="L176" s="9" t="inlineStr">
        <is>
          <t>0</t>
        </is>
      </c>
      <c r="M176" s="9" t="inlineStr">
        <is>
          <t>0</t>
        </is>
      </c>
      <c r="N176" s="9" t="inlineStr">
        <is>
          <t>0</t>
        </is>
      </c>
      <c r="O176" s="10" t="inlineStr">
        <is>
          <t>0</t>
        </is>
      </c>
      <c r="P176" s="10" t="inlineStr">
        <is>
          <t>0</t>
        </is>
      </c>
      <c r="Q176" s="10" t="inlineStr">
        <is>
          <t>0</t>
        </is>
      </c>
      <c r="R176" s="10" t="inlineStr">
        <is>
          <t>0</t>
        </is>
      </c>
      <c r="S176" s="10" t="inlineStr">
        <is>
          <t>0</t>
        </is>
      </c>
    </row>
    <row r="177" ht="409.5" customHeight="1">
      <c r="A177" s="6">
        <f>IFERROR(__xludf.DUMMYFUNCTION("""COMPUTED_VALUE"""),"ILS test")</f>
        <v/>
      </c>
      <c r="B177" s="6">
        <f>IFERROR(__xludf.DUMMYFUNCTION("""COMPUTED_VALUE"""),"Application")</f>
        <v/>
      </c>
      <c r="C177" s="6">
        <f>IFERROR(__xludf.DUMMYFUNCTION("""COMPUTED_VALUE"""),"Hypothesis Scratchpad")</f>
        <v/>
      </c>
      <c r="D177" s="7">
        <f>IFERROR(__xludf.DUMMYFUNCTION("""COMPUTED_VALUE"""),"No task description")</f>
        <v/>
      </c>
      <c r="E177"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77" s="7" t="inlineStr">
        <is>
          <t>Students were given task descriptions with embedded artifacts, including Word documents and interactive tools like Hypothesis Scratchpad.</t>
        </is>
      </c>
      <c r="G177" s="8" t="inlineStr">
        <is>
          <t>0</t>
        </is>
      </c>
      <c r="H177" s="8" t="inlineStr">
        <is>
          <t>1</t>
        </is>
      </c>
      <c r="I177" s="8" t="inlineStr">
        <is>
          <t>1</t>
        </is>
      </c>
      <c r="J177" s="8" t="inlineStr">
        <is>
          <t>1</t>
        </is>
      </c>
      <c r="K177" s="9" t="inlineStr">
        <is>
          <t>1</t>
        </is>
      </c>
      <c r="L177" s="9" t="inlineStr">
        <is>
          <t>1</t>
        </is>
      </c>
      <c r="M177" s="9" t="inlineStr">
        <is>
          <t>1</t>
        </is>
      </c>
      <c r="N177" s="9" t="inlineStr">
        <is>
          <t>1</t>
        </is>
      </c>
      <c r="O177" s="10" t="inlineStr">
        <is>
          <t>0</t>
        </is>
      </c>
      <c r="P177" s="10" t="inlineStr">
        <is>
          <t>1</t>
        </is>
      </c>
      <c r="Q177" s="10" t="inlineStr">
        <is>
          <t>1</t>
        </is>
      </c>
      <c r="R177" s="10" t="inlineStr">
        <is>
          <t>0</t>
        </is>
      </c>
      <c r="S177" s="10" t="inlineStr">
        <is>
          <t>0</t>
        </is>
      </c>
    </row>
    <row r="178" ht="109" customHeight="1">
      <c r="A178" s="6">
        <f>IFERROR(__xludf.DUMMYFUNCTION("""COMPUTED_VALUE"""),"ILS test")</f>
        <v/>
      </c>
      <c r="B178" s="6">
        <f>IFERROR(__xludf.DUMMYFUNCTION("""COMPUTED_VALUE"""),"Topic")</f>
        <v/>
      </c>
      <c r="C178" s="6">
        <f>IFERROR(__xludf.DUMMYFUNCTION("""COMPUTED_VALUE"""),"discussion test")</f>
        <v/>
      </c>
      <c r="D178" s="7">
        <f>IFERROR(__xludf.DUMMYFUNCTION("""COMPUTED_VALUE"""),"No task description")</f>
        <v/>
      </c>
      <c r="E178" s="7">
        <f>IFERROR(__xludf.DUMMYFUNCTION("""COMPUTED_VALUE"""),"text/html – A webpage or web document that contains structured text, images, and links, designed for display in a web browser.")</f>
        <v/>
      </c>
      <c r="F178" s="7" t="inlineStr">
        <is>
          <t>Students are given tasks with embedded artifacts, including a Graasp document, Golabz app, and HTML webpage.</t>
        </is>
      </c>
      <c r="G178" s="8" t="inlineStr">
        <is>
          <t>1</t>
        </is>
      </c>
      <c r="H178" s="8" t="inlineStr">
        <is>
          <t>0</t>
        </is>
      </c>
      <c r="I178" s="8" t="inlineStr">
        <is>
          <t>0</t>
        </is>
      </c>
      <c r="J178" s="8" t="inlineStr">
        <is>
          <t>0</t>
        </is>
      </c>
      <c r="K178" s="9" t="inlineStr">
        <is>
          <t>0</t>
        </is>
      </c>
      <c r="L178" s="9" t="inlineStr">
        <is>
          <t>0</t>
        </is>
      </c>
      <c r="M178" s="9" t="inlineStr">
        <is>
          <t>0</t>
        </is>
      </c>
      <c r="N178" s="9" t="inlineStr">
        <is>
          <t>0</t>
        </is>
      </c>
      <c r="O178" s="10" t="inlineStr">
        <is>
          <t>0</t>
        </is>
      </c>
      <c r="P178" s="10" t="inlineStr">
        <is>
          <t>0</t>
        </is>
      </c>
      <c r="Q178" s="10" t="inlineStr">
        <is>
          <t>0</t>
        </is>
      </c>
      <c r="R178" s="10" t="inlineStr">
        <is>
          <t>0</t>
        </is>
      </c>
      <c r="S178" s="10" t="inlineStr">
        <is>
          <t>0</t>
        </is>
      </c>
    </row>
    <row r="179" ht="85" customHeight="1">
      <c r="A179" s="6">
        <f>IFERROR(__xludf.DUMMYFUNCTION("""COMPUTED_VALUE"""),"ILS test")</f>
        <v/>
      </c>
      <c r="B179" s="6">
        <f>IFERROR(__xludf.DUMMYFUNCTION("""COMPUTED_VALUE"""),"Resource")</f>
        <v/>
      </c>
      <c r="C179" s="6">
        <f>IFERROR(__xludf.DUMMYFUNCTION("""COMPUTED_VALUE"""),"Home | Golabz")</f>
        <v/>
      </c>
      <c r="D179" s="7">
        <f>IFERROR(__xludf.DUMMYFUNCTION("""COMPUTED_VALUE"""),"No task description")</f>
        <v/>
      </c>
      <c r="E179" s="7">
        <f>IFERROR(__xludf.DUMMYFUNCTION("""COMPUTED_VALUE"""),"golabz.eu: A platform for finding and sharing online labs and inquiry learning applications.")</f>
        <v/>
      </c>
      <c r="F179" s="7" t="inlineStr">
        <is>
          <t>No instructions provided; embedded artifacts include Golabz app, HTML webpage, and golabz.eu platform.</t>
        </is>
      </c>
      <c r="G179" s="8" t="inlineStr">
        <is>
          <t>1</t>
        </is>
      </c>
      <c r="H179" s="8" t="inlineStr">
        <is>
          <t>0</t>
        </is>
      </c>
      <c r="I179" s="8" t="inlineStr">
        <is>
          <t>0</t>
        </is>
      </c>
      <c r="J179" s="8" t="inlineStr">
        <is>
          <t>1</t>
        </is>
      </c>
      <c r="K179" s="9" t="inlineStr">
        <is>
          <t>0</t>
        </is>
      </c>
      <c r="L179" s="9" t="inlineStr">
        <is>
          <t>0</t>
        </is>
      </c>
      <c r="M179" s="9" t="inlineStr">
        <is>
          <t>0</t>
        </is>
      </c>
      <c r="N179" s="9" t="inlineStr">
        <is>
          <t>0</t>
        </is>
      </c>
      <c r="O179" s="10" t="inlineStr">
        <is>
          <t>0</t>
        </is>
      </c>
      <c r="P179" s="10" t="inlineStr">
        <is>
          <t>0</t>
        </is>
      </c>
      <c r="Q179" s="10" t="inlineStr">
        <is>
          <t>0</t>
        </is>
      </c>
      <c r="R179" s="10" t="inlineStr">
        <is>
          <t>0</t>
        </is>
      </c>
      <c r="S179" s="10" t="inlineStr">
        <is>
          <t>0</t>
        </is>
      </c>
    </row>
    <row r="180" ht="25" customHeight="1">
      <c r="A180" s="6">
        <f>IFERROR(__xludf.DUMMYFUNCTION("""COMPUTED_VALUE"""),"ILS test")</f>
        <v/>
      </c>
      <c r="B180" s="6">
        <f>IFERROR(__xludf.DUMMYFUNCTION("""COMPUTED_VALUE"""),"Space")</f>
        <v/>
      </c>
      <c r="C180" s="6">
        <f>IFERROR(__xludf.DUMMYFUNCTION("""COMPUTED_VALUE"""),"phase2")</f>
        <v/>
      </c>
      <c r="D180" s="7">
        <f>IFERROR(__xludf.DUMMYFUNCTION("""COMPUTED_VALUE"""),"No task description")</f>
        <v/>
      </c>
      <c r="E180" s="7">
        <f>IFERROR(__xludf.DUMMYFUNCTION("""COMPUTED_VALUE"""),"No artifact embedded")</f>
        <v/>
      </c>
      <c r="F180" s="7" t="inlineStr">
        <is>
          <t>No instructions are provided; artifacts include HTML webpages, a lab-sharing platform (golabz.eu), and no artifact in the third item.</t>
        </is>
      </c>
      <c r="G180" s="8" t="inlineStr">
        <is>
          <t>1</t>
        </is>
      </c>
      <c r="H180" s="8" t="inlineStr">
        <is>
          <t>0</t>
        </is>
      </c>
      <c r="I180" s="8" t="inlineStr">
        <is>
          <t>0</t>
        </is>
      </c>
      <c r="J180" s="8" t="inlineStr">
        <is>
          <t>0</t>
        </is>
      </c>
      <c r="K180" s="9" t="inlineStr">
        <is>
          <t>0</t>
        </is>
      </c>
      <c r="L180" s="9" t="inlineStr">
        <is>
          <t>0</t>
        </is>
      </c>
      <c r="M180" s="9" t="inlineStr">
        <is>
          <t>0</t>
        </is>
      </c>
      <c r="N180" s="9" t="inlineStr">
        <is>
          <t>0</t>
        </is>
      </c>
      <c r="O180" s="10" t="inlineStr">
        <is>
          <t>0</t>
        </is>
      </c>
      <c r="P180" s="10" t="inlineStr">
        <is>
          <t>0</t>
        </is>
      </c>
      <c r="Q180" s="10" t="inlineStr">
        <is>
          <t>0</t>
        </is>
      </c>
      <c r="R180" s="10" t="inlineStr">
        <is>
          <t>0</t>
        </is>
      </c>
      <c r="S180" s="10" t="inlineStr">
        <is>
          <t>0</t>
        </is>
      </c>
    </row>
    <row r="181" ht="329" customHeight="1">
      <c r="A181" s="6">
        <f>IFERROR(__xludf.DUMMYFUNCTION("""COMPUTED_VALUE"""),"ILS test")</f>
        <v/>
      </c>
      <c r="B181" s="6">
        <f>IFERROR(__xludf.DUMMYFUNCTION("""COMPUTED_VALUE"""),"Application")</f>
        <v/>
      </c>
      <c r="C181" s="6">
        <f>IFERROR(__xludf.DUMMYFUNCTION("""COMPUTED_VALUE"""),"Input Box")</f>
        <v/>
      </c>
      <c r="D181" s="7">
        <f>IFERROR(__xludf.DUMMYFUNCTION("""COMPUTED_VALUE"""),"No task description")</f>
        <v/>
      </c>
      <c r="E1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1" s="7" t="inlineStr">
        <is>
          <t>No task descriptions provided; artifacts include Golabz platform and a note-taking app with optional collaboration mode.</t>
        </is>
      </c>
      <c r="G181" s="8" t="inlineStr">
        <is>
          <t>0</t>
        </is>
      </c>
      <c r="H181" s="8" t="inlineStr">
        <is>
          <t>1</t>
        </is>
      </c>
      <c r="I181" s="8" t="inlineStr">
        <is>
          <t>1</t>
        </is>
      </c>
      <c r="J181" s="8" t="inlineStr">
        <is>
          <t>1</t>
        </is>
      </c>
      <c r="K181" s="9" t="inlineStr">
        <is>
          <t>0</t>
        </is>
      </c>
      <c r="L181" s="9" t="inlineStr">
        <is>
          <t>1</t>
        </is>
      </c>
      <c r="M181" s="9" t="inlineStr">
        <is>
          <t>1</t>
        </is>
      </c>
      <c r="N181" s="9" t="inlineStr">
        <is>
          <t>1</t>
        </is>
      </c>
      <c r="O181" s="10" t="inlineStr">
        <is>
          <t>0</t>
        </is>
      </c>
      <c r="P181" s="10" t="inlineStr">
        <is>
          <t>0</t>
        </is>
      </c>
      <c r="Q181" s="10" t="inlineStr">
        <is>
          <t>0</t>
        </is>
      </c>
      <c r="R181" s="10" t="inlineStr">
        <is>
          <t>0</t>
        </is>
      </c>
      <c r="S181" s="10" t="inlineStr">
        <is>
          <t>1</t>
        </is>
      </c>
    </row>
    <row r="182" ht="241" customHeight="1">
      <c r="A182" s="6">
        <f>IFERROR(__xludf.DUMMYFUNCTION("""COMPUTED_VALUE"""),"ILS test")</f>
        <v/>
      </c>
      <c r="B182" s="6">
        <f>IFERROR(__xludf.DUMMYFUNCTION("""COMPUTED_VALUE"""),"Application")</f>
        <v/>
      </c>
      <c r="C182" s="6">
        <f>IFERROR(__xludf.DUMMYFUNCTION("""COMPUTED_VALUE"""),"Quest")</f>
        <v/>
      </c>
      <c r="D182" s="7">
        <f>IFERROR(__xludf.DUMMYFUNCTION("""COMPUTED_VALUE"""),"No task description")</f>
        <v/>
      </c>
      <c r="E182"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182" s="7" t="inlineStr">
        <is>
          <t>No task descriptions are provided, but artifacts include Golabz apps for note-taking and creating surveys.</t>
        </is>
      </c>
      <c r="G182" s="8" t="inlineStr">
        <is>
          <t>0</t>
        </is>
      </c>
      <c r="H182" s="8" t="inlineStr">
        <is>
          <t>0</t>
        </is>
      </c>
      <c r="I182" s="8" t="inlineStr">
        <is>
          <t>0</t>
        </is>
      </c>
      <c r="J182" s="8" t="inlineStr">
        <is>
          <t>1</t>
        </is>
      </c>
      <c r="K182" s="9" t="inlineStr">
        <is>
          <t>0</t>
        </is>
      </c>
      <c r="L182" s="9" t="inlineStr">
        <is>
          <t>0</t>
        </is>
      </c>
      <c r="M182" s="9" t="inlineStr">
        <is>
          <t>0</t>
        </is>
      </c>
      <c r="N182" s="9" t="inlineStr">
        <is>
          <t>0</t>
        </is>
      </c>
      <c r="O182" s="10" t="inlineStr">
        <is>
          <t>0</t>
        </is>
      </c>
      <c r="P182" s="10" t="inlineStr">
        <is>
          <t>0</t>
        </is>
      </c>
      <c r="Q182" s="10" t="inlineStr">
        <is>
          <t>0</t>
        </is>
      </c>
      <c r="R182" s="10" t="inlineStr">
        <is>
          <t>0</t>
        </is>
      </c>
      <c r="S182" s="10" t="inlineStr">
        <is>
          <t>0</t>
        </is>
      </c>
    </row>
    <row r="183" ht="329" customHeight="1">
      <c r="A183" s="6">
        <f>IFERROR(__xludf.DUMMYFUNCTION("""COMPUTED_VALUE"""),"ILS test")</f>
        <v/>
      </c>
      <c r="B183" s="6">
        <f>IFERROR(__xludf.DUMMYFUNCTION("""COMPUTED_VALUE"""),"Application")</f>
        <v/>
      </c>
      <c r="C183" s="6">
        <f>IFERROR(__xludf.DUMMYFUNCTION("""COMPUTED_VALUE"""),"Input Box (1)")</f>
        <v/>
      </c>
      <c r="D183" s="7">
        <f>IFERROR(__xludf.DUMMYFUNCTION("""COMPUTED_VALUE"""),"&lt;p&gt;&lt;em&gt;Merci &lt;/em&gt;d'&lt;strong&gt;écrire un commentaire ;-)&lt;/strong&gt;&lt;/p&gt;")</f>
        <v/>
      </c>
      <c r="E18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3" s="7" t="inlineStr">
        <is>
          <t>Students have no task descriptions, but use Golabz apps like Input Box and Quest for note-taking and surveys.</t>
        </is>
      </c>
      <c r="G183" s="8" t="inlineStr">
        <is>
          <t>0</t>
        </is>
      </c>
      <c r="H183" s="8" t="inlineStr">
        <is>
          <t>1</t>
        </is>
      </c>
      <c r="I183" s="8" t="inlineStr">
        <is>
          <t>1</t>
        </is>
      </c>
      <c r="J183" s="8" t="inlineStr">
        <is>
          <t>1</t>
        </is>
      </c>
      <c r="K183" s="9" t="inlineStr">
        <is>
          <t>1</t>
        </is>
      </c>
      <c r="L183" s="9" t="inlineStr">
        <is>
          <t>1</t>
        </is>
      </c>
      <c r="M183" s="9" t="inlineStr">
        <is>
          <t>1</t>
        </is>
      </c>
      <c r="N183" s="9" t="inlineStr">
        <is>
          <t>1</t>
        </is>
      </c>
      <c r="O183" s="10" t="inlineStr">
        <is>
          <t>0</t>
        </is>
      </c>
      <c r="P183" s="10" t="inlineStr">
        <is>
          <t>0</t>
        </is>
      </c>
      <c r="Q183" s="10" t="inlineStr">
        <is>
          <t>0</t>
        </is>
      </c>
      <c r="R183" s="10" t="inlineStr">
        <is>
          <t>0</t>
        </is>
      </c>
      <c r="S183" s="10" t="inlineStr">
        <is>
          <t>1</t>
        </is>
      </c>
    </row>
    <row r="184" ht="409.5" customHeight="1">
      <c r="A184" s="6">
        <f>IFERROR(__xludf.DUMMYFUNCTION("""COMPUTED_VALUE"""),"ILS test")</f>
        <v/>
      </c>
      <c r="B184" s="6">
        <f>IFERROR(__xludf.DUMMYFUNCTION("""COMPUTED_VALUE"""),"Application")</f>
        <v/>
      </c>
      <c r="C184" s="6">
        <f>IFERROR(__xludf.DUMMYFUNCTION("""COMPUTED_VALUE"""),"Hypothesis Scratchpad")</f>
        <v/>
      </c>
      <c r="D184" s="7">
        <f>IFERROR(__xludf.DUMMYFUNCTION("""COMPUTED_VALUE"""),"&lt;p&gt;Create your hypothesis&lt;/p&gt;")</f>
        <v/>
      </c>
      <c r="E184"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84" s="7" t="inlineStr">
        <is>
          <t>Students are given tasks with Golabz app/lab tools: Quest, Input Box, and Hypothesis Scratchpad for surveys, note-taking, and hypothesis formulation.</t>
        </is>
      </c>
      <c r="G184" s="8" t="inlineStr">
        <is>
          <t>0</t>
        </is>
      </c>
      <c r="H184" s="8" t="inlineStr">
        <is>
          <t>1</t>
        </is>
      </c>
      <c r="I184" s="8" t="inlineStr">
        <is>
          <t>1</t>
        </is>
      </c>
      <c r="J184" s="8" t="inlineStr">
        <is>
          <t>1</t>
        </is>
      </c>
      <c r="K184" s="9" t="inlineStr">
        <is>
          <t>1</t>
        </is>
      </c>
      <c r="L184" s="9" t="inlineStr">
        <is>
          <t>1</t>
        </is>
      </c>
      <c r="M184" s="9" t="inlineStr">
        <is>
          <t>0</t>
        </is>
      </c>
      <c r="N184" s="9" t="inlineStr">
        <is>
          <t>1</t>
        </is>
      </c>
      <c r="O184" s="10" t="inlineStr">
        <is>
          <t>1</t>
        </is>
      </c>
      <c r="P184" s="10" t="inlineStr">
        <is>
          <t>1</t>
        </is>
      </c>
      <c r="Q184" s="10" t="inlineStr">
        <is>
          <t>1</t>
        </is>
      </c>
      <c r="R184" s="10" t="inlineStr">
        <is>
          <t>0</t>
        </is>
      </c>
      <c r="S184" s="10" t="inlineStr">
        <is>
          <t>0</t>
        </is>
      </c>
    </row>
    <row r="185" ht="409.5" customHeight="1">
      <c r="A185" s="6">
        <f>IFERROR(__xludf.DUMMYFUNCTION("""COMPUTED_VALUE"""),"ILS test")</f>
        <v/>
      </c>
      <c r="B185" s="6">
        <f>IFERROR(__xludf.DUMMYFUNCTION("""COMPUTED_VALUE"""),"Application")</f>
        <v/>
      </c>
      <c r="C185" s="6">
        <f>IFERROR(__xludf.DUMMYFUNCTION("""COMPUTED_VALUE"""),"Create a concept mapper")</f>
        <v/>
      </c>
      <c r="D185" s="7">
        <f>IFERROR(__xludf.DUMMYFUNCTION("""COMPUTED_VALUE"""),"No task description")</f>
        <v/>
      </c>
      <c r="E185"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85" s="7" t="inlineStr">
        <is>
          <t>Students are instructed to write comments, create hypotheses, and no task is described for Item3. Embedded artifacts include note-taking, hypothesis-forming, and concept-mapping apps.</t>
        </is>
      </c>
      <c r="G185" s="8" t="inlineStr">
        <is>
          <t>0</t>
        </is>
      </c>
      <c r="H185" s="8" t="inlineStr">
        <is>
          <t>1</t>
        </is>
      </c>
      <c r="I185" s="8" t="inlineStr">
        <is>
          <t>1</t>
        </is>
      </c>
      <c r="J185" s="8" t="inlineStr">
        <is>
          <t>1</t>
        </is>
      </c>
      <c r="K185" s="9" t="inlineStr">
        <is>
          <t>0</t>
        </is>
      </c>
      <c r="L185" s="9" t="inlineStr">
        <is>
          <t>1</t>
        </is>
      </c>
      <c r="M185" s="9" t="inlineStr">
        <is>
          <t>0</t>
        </is>
      </c>
      <c r="N185" s="9" t="inlineStr">
        <is>
          <t>1</t>
        </is>
      </c>
      <c r="O185" s="10" t="inlineStr">
        <is>
          <t>0</t>
        </is>
      </c>
      <c r="P185" s="10" t="inlineStr">
        <is>
          <t>1</t>
        </is>
      </c>
      <c r="Q185" s="10" t="inlineStr">
        <is>
          <t>0</t>
        </is>
      </c>
      <c r="R185" s="10" t="inlineStr">
        <is>
          <t>0</t>
        </is>
      </c>
      <c r="S185" s="10" t="inlineStr">
        <is>
          <t>0</t>
        </is>
      </c>
    </row>
    <row r="186" ht="409.5" customHeight="1">
      <c r="A186" s="6">
        <f>IFERROR(__xludf.DUMMYFUNCTION("""COMPUTED_VALUE"""),"ILS test")</f>
        <v/>
      </c>
      <c r="B186" s="6">
        <f>IFERROR(__xludf.DUMMYFUNCTION("""COMPUTED_VALUE"""),"Application")</f>
        <v/>
      </c>
      <c r="C186" s="6">
        <f>IFERROR(__xludf.DUMMYFUNCTION("""COMPUTED_VALUE"""),"Table Tool")</f>
        <v/>
      </c>
      <c r="D186" s="7">
        <f>IFERROR(__xludf.DUMMYFUNCTION("""COMPUTED_VALUE"""),"No task description")</f>
        <v/>
      </c>
      <c r="E18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86" s="7" t="inlineStr">
        <is>
          <t>Students create hypotheses and concept maps using Golabz apps with drag-and-drop features.</t>
        </is>
      </c>
      <c r="G186" s="8" t="inlineStr">
        <is>
          <t>0</t>
        </is>
      </c>
      <c r="H186" s="8" t="inlineStr">
        <is>
          <t>1</t>
        </is>
      </c>
      <c r="I186" s="8" t="inlineStr">
        <is>
          <t>1</t>
        </is>
      </c>
      <c r="J186" s="8" t="inlineStr">
        <is>
          <t>1</t>
        </is>
      </c>
      <c r="K186" s="9" t="inlineStr">
        <is>
          <t>0</t>
        </is>
      </c>
      <c r="L186" s="9" t="inlineStr">
        <is>
          <t>0</t>
        </is>
      </c>
      <c r="M186" s="9" t="inlineStr">
        <is>
          <t>1</t>
        </is>
      </c>
      <c r="N186" s="9" t="inlineStr">
        <is>
          <t>1</t>
        </is>
      </c>
      <c r="O186" s="10" t="inlineStr">
        <is>
          <t>0</t>
        </is>
      </c>
      <c r="P186" s="10" t="inlineStr">
        <is>
          <t>0</t>
        </is>
      </c>
      <c r="Q186" s="10" t="inlineStr">
        <is>
          <t>0</t>
        </is>
      </c>
      <c r="R186" s="10" t="inlineStr">
        <is>
          <t>0</t>
        </is>
      </c>
      <c r="S186" s="10" t="inlineStr">
        <is>
          <t>0</t>
        </is>
      </c>
    </row>
    <row r="187" ht="409.5" customHeight="1">
      <c r="A187" s="6">
        <f>IFERROR(__xludf.DUMMYFUNCTION("""COMPUTED_VALUE"""),"ILS test")</f>
        <v/>
      </c>
      <c r="B187" s="6">
        <f>IFERROR(__xludf.DUMMYFUNCTION("""COMPUTED_VALUE"""),"Application")</f>
        <v/>
      </c>
      <c r="C187" s="6">
        <f>IFERROR(__xludf.DUMMYFUNCTION("""COMPUTED_VALUE"""),"data viewer graphique de courses")</f>
        <v/>
      </c>
      <c r="D187" s="7">
        <f>IFERROR(__xludf.DUMMYFUNCTION("""COMPUTED_VALUE"""),"&lt;p&gt;Q&lt;/p&gt;")</f>
        <v/>
      </c>
      <c r="E187"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187" s="7" t="inlineStr">
        <is>
          <t>No task descriptions are provided; embedded artifacts include Golabz tools: Concept Mapper, Table, and Data Viewer.</t>
        </is>
      </c>
      <c r="G187" s="8" t="inlineStr">
        <is>
          <t>0</t>
        </is>
      </c>
      <c r="H187" s="8" t="inlineStr">
        <is>
          <t>1</t>
        </is>
      </c>
      <c r="I187" s="8" t="inlineStr">
        <is>
          <t>1</t>
        </is>
      </c>
      <c r="J187" s="8" t="inlineStr">
        <is>
          <t>1</t>
        </is>
      </c>
      <c r="K187" s="9" t="inlineStr">
        <is>
          <t>0</t>
        </is>
      </c>
      <c r="L187" s="9" t="inlineStr">
        <is>
          <t>0</t>
        </is>
      </c>
      <c r="M187" s="9" t="inlineStr">
        <is>
          <t>1</t>
        </is>
      </c>
      <c r="N187" s="9" t="inlineStr">
        <is>
          <t>1</t>
        </is>
      </c>
      <c r="O187" s="10" t="inlineStr">
        <is>
          <t>0</t>
        </is>
      </c>
      <c r="P187" s="10" t="inlineStr">
        <is>
          <t>0</t>
        </is>
      </c>
      <c r="Q187" s="10" t="inlineStr">
        <is>
          <t>1</t>
        </is>
      </c>
      <c r="R187" s="10" t="inlineStr">
        <is>
          <t>0</t>
        </is>
      </c>
      <c r="S187" s="10" t="inlineStr">
        <is>
          <t>0</t>
        </is>
      </c>
    </row>
    <row r="188" ht="25" customHeight="1">
      <c r="A188" s="6">
        <f>IFERROR(__xludf.DUMMYFUNCTION("""COMPUTED_VALUE"""),"ILS test")</f>
        <v/>
      </c>
      <c r="B188" s="6">
        <f>IFERROR(__xludf.DUMMYFUNCTION("""COMPUTED_VALUE"""),"Space")</f>
        <v/>
      </c>
      <c r="C188" s="6">
        <f>IFERROR(__xludf.DUMMYFUNCTION("""COMPUTED_VALUE"""),"Conclusion")</f>
        <v/>
      </c>
      <c r="D188" s="7">
        <f>IFERROR(__xludf.DUMMYFUNCTION("""COMPUTED_VALUE"""),"No task description")</f>
        <v/>
      </c>
      <c r="E188" s="7">
        <f>IFERROR(__xludf.DUMMYFUNCTION("""COMPUTED_VALUE"""),"No artifact embedded")</f>
        <v/>
      </c>
      <c r="F188" s="7" t="inlineStr">
        <is>
          <t>Students receive no task descriptions. Embedded artifacts include Golabz apps for table and data visualization tools with configuration instructions.</t>
        </is>
      </c>
      <c r="G188" s="8" t="inlineStr">
        <is>
          <t>1</t>
        </is>
      </c>
      <c r="H188" s="8" t="inlineStr">
        <is>
          <t>0</t>
        </is>
      </c>
      <c r="I188" s="8" t="inlineStr">
        <is>
          <t>0</t>
        </is>
      </c>
      <c r="J188" s="8" t="inlineStr">
        <is>
          <t>0</t>
        </is>
      </c>
      <c r="K188" s="9" t="inlineStr">
        <is>
          <t>0</t>
        </is>
      </c>
      <c r="L188" s="9" t="inlineStr">
        <is>
          <t>0</t>
        </is>
      </c>
      <c r="M188" s="9" t="inlineStr">
        <is>
          <t>0</t>
        </is>
      </c>
      <c r="N188" s="9" t="inlineStr">
        <is>
          <t>0</t>
        </is>
      </c>
      <c r="O188" s="10" t="inlineStr">
        <is>
          <t>0</t>
        </is>
      </c>
      <c r="P188" s="10" t="inlineStr">
        <is>
          <t>0</t>
        </is>
      </c>
      <c r="Q188" s="10" t="inlineStr">
        <is>
          <t>0</t>
        </is>
      </c>
      <c r="R188" s="10" t="inlineStr">
        <is>
          <t>0</t>
        </is>
      </c>
      <c r="S188" s="10" t="inlineStr">
        <is>
          <t>0</t>
        </is>
      </c>
    </row>
    <row r="189" ht="25" customHeight="1">
      <c r="A189" s="6">
        <f>IFERROR(__xludf.DUMMYFUNCTION("""COMPUTED_VALUE"""),"ILS test")</f>
        <v/>
      </c>
      <c r="B189" s="6">
        <f>IFERROR(__xludf.DUMMYFUNCTION("""COMPUTED_VALUE"""),"Space")</f>
        <v/>
      </c>
      <c r="C189" s="6">
        <f>IFERROR(__xludf.DUMMYFUNCTION("""COMPUTED_VALUE"""),"Discussion")</f>
        <v/>
      </c>
      <c r="D189" s="7">
        <f>IFERROR(__xludf.DUMMYFUNCTION("""COMPUTED_VALUE"""),"No task description")</f>
        <v/>
      </c>
      <c r="E189" s="7">
        <f>IFERROR(__xludf.DUMMYFUNCTION("""COMPUTED_VALUE"""),"No artifact embedded")</f>
        <v/>
      </c>
      <c r="F189" s="7" t="inlineStr">
        <is>
          <t>Students were given a task with an embedded Golabz app/lab, "Data Viewer", to visualize data from experiments.</t>
        </is>
      </c>
      <c r="G189" s="8" t="inlineStr">
        <is>
          <t>1</t>
        </is>
      </c>
      <c r="H189" s="8" t="inlineStr">
        <is>
          <t>0</t>
        </is>
      </c>
      <c r="I189" s="8" t="inlineStr">
        <is>
          <t>0</t>
        </is>
      </c>
      <c r="J189" s="8" t="inlineStr">
        <is>
          <t>0</t>
        </is>
      </c>
      <c r="K189" s="9" t="inlineStr">
        <is>
          <t>0</t>
        </is>
      </c>
      <c r="L189" s="9" t="inlineStr">
        <is>
          <t>0</t>
        </is>
      </c>
      <c r="M189" s="9" t="inlineStr">
        <is>
          <t>0</t>
        </is>
      </c>
      <c r="N189" s="9" t="inlineStr">
        <is>
          <t>0</t>
        </is>
      </c>
      <c r="O189" s="10" t="inlineStr">
        <is>
          <t>0</t>
        </is>
      </c>
      <c r="P189" s="10" t="inlineStr">
        <is>
          <t>0</t>
        </is>
      </c>
      <c r="Q189" s="10" t="inlineStr">
        <is>
          <t>0</t>
        </is>
      </c>
      <c r="R189" s="10" t="inlineStr">
        <is>
          <t>0</t>
        </is>
      </c>
      <c r="S189" s="10" t="inlineStr">
        <is>
          <t>0</t>
        </is>
      </c>
    </row>
    <row r="190" ht="25" customHeight="1">
      <c r="A190" s="6">
        <f>IFERROR(__xludf.DUMMYFUNCTION("""COMPUTED_VALUE"""),"EPFL: Ecole Polytechnique de Lausanne")</f>
        <v/>
      </c>
      <c r="B190" s="6">
        <f>IFERROR(__xludf.DUMMYFUNCTION("""COMPUTED_VALUE"""),"Space")</f>
        <v/>
      </c>
      <c r="C190" s="6">
        <f>IFERROR(__xludf.DUMMYFUNCTION("""COMPUTED_VALUE"""),"Introduction")</f>
        <v/>
      </c>
      <c r="D190" s="7">
        <f>IFERROR(__xludf.DUMMYFUNCTION("""COMPUTED_VALUE"""),"No task description")</f>
        <v/>
      </c>
      <c r="E190" s="7">
        <f>IFERROR(__xludf.DUMMYFUNCTION("""COMPUTED_VALUE"""),"No artifact embedded")</f>
        <v/>
      </c>
      <c r="F190" s="7" t="inlineStr">
        <is>
          <t>No instructions or artifacts are provided for Items 1, 2, and 3.</t>
        </is>
      </c>
      <c r="G190" s="8" t="inlineStr">
        <is>
          <t>1</t>
        </is>
      </c>
      <c r="H190" s="8" t="inlineStr">
        <is>
          <t>0</t>
        </is>
      </c>
      <c r="I190" s="8" t="inlineStr">
        <is>
          <t>0</t>
        </is>
      </c>
      <c r="J190" s="8" t="inlineStr">
        <is>
          <t>0</t>
        </is>
      </c>
      <c r="K190" s="9" t="inlineStr">
        <is>
          <t>0</t>
        </is>
      </c>
      <c r="L190" s="9" t="inlineStr">
        <is>
          <t>0</t>
        </is>
      </c>
      <c r="M190" s="9" t="inlineStr">
        <is>
          <t>0</t>
        </is>
      </c>
      <c r="N190" s="9" t="inlineStr">
        <is>
          <t>0</t>
        </is>
      </c>
      <c r="O190" s="10" t="inlineStr">
        <is>
          <t>0</t>
        </is>
      </c>
      <c r="P190" s="10" t="inlineStr">
        <is>
          <t>0</t>
        </is>
      </c>
      <c r="Q190" s="10" t="inlineStr">
        <is>
          <t>0</t>
        </is>
      </c>
      <c r="R190" s="10" t="inlineStr">
        <is>
          <t>0</t>
        </is>
      </c>
      <c r="S190" s="10" t="inlineStr">
        <is>
          <t>0</t>
        </is>
      </c>
    </row>
    <row r="191" ht="307" customHeight="1">
      <c r="A191" s="6">
        <f>IFERROR(__xludf.DUMMYFUNCTION("""COMPUTED_VALUE"""),"EPFL: Ecole Polytechnique de Lausanne")</f>
        <v/>
      </c>
      <c r="B191" s="6">
        <f>IFERROR(__xludf.DUMMYFUNCTION("""COMPUTED_VALUE"""),"Resource")</f>
        <v/>
      </c>
      <c r="C191" s="6">
        <f>IFERROR(__xludf.DUMMYFUNCTION("""COMPUTED_VALUE"""),"intro.graasp")</f>
        <v/>
      </c>
      <c r="D191" s="7">
        <f>IFERROR(__xludf.DUMMYFUNCTION("""COMPUTED_VALUE"""),"&lt;p&gt;The École polytechnique fédérale de Lausanne (EPFL) is a research institute and university in Lausanne, Switzerland, that specializes in natural sciences and engineering.[4] It is one of the two Swiss Federal Institutes of Technology, and it has three "&amp;"main missions: education, research and technology transfer at the highest international level.&lt;/p&gt;")</f>
        <v/>
      </c>
      <c r="E191" s="7">
        <f>IFERROR(__xludf.DUMMYFUNCTION("""COMPUTED_VALUE"""),"No artifact embedded")</f>
        <v/>
      </c>
      <c r="F191" s="7" t="inlineStr">
        <is>
          <t>No task descriptions or artifacts are provided for Items 1 and 2. Item 3 describes EPFL university.</t>
        </is>
      </c>
      <c r="G191" s="8" t="inlineStr">
        <is>
          <t>1</t>
        </is>
      </c>
      <c r="H191" s="8" t="inlineStr">
        <is>
          <t>0</t>
        </is>
      </c>
      <c r="I191" s="8" t="inlineStr">
        <is>
          <t>0</t>
        </is>
      </c>
      <c r="J191" s="8" t="inlineStr">
        <is>
          <t>0</t>
        </is>
      </c>
      <c r="K191" s="9" t="inlineStr">
        <is>
          <t>0</t>
        </is>
      </c>
      <c r="L191" s="9" t="inlineStr">
        <is>
          <t>0</t>
        </is>
      </c>
      <c r="M191" s="9" t="inlineStr">
        <is>
          <t>0</t>
        </is>
      </c>
      <c r="N191" s="9" t="inlineStr">
        <is>
          <t>0</t>
        </is>
      </c>
      <c r="O191" s="10" t="inlineStr">
        <is>
          <t>0</t>
        </is>
      </c>
      <c r="P191" s="10" t="inlineStr">
        <is>
          <t>0</t>
        </is>
      </c>
      <c r="Q191" s="10" t="inlineStr">
        <is>
          <t>0</t>
        </is>
      </c>
      <c r="R191" s="10" t="inlineStr">
        <is>
          <t>0</t>
        </is>
      </c>
      <c r="S191" s="10" t="inlineStr">
        <is>
          <t>0</t>
        </is>
      </c>
    </row>
    <row r="192" ht="121" customHeight="1">
      <c r="A192" s="6">
        <f>IFERROR(__xludf.DUMMYFUNCTION("""COMPUTED_VALUE"""),"EPFL: Ecole Polytechnique de Lausanne")</f>
        <v/>
      </c>
      <c r="B192" s="6">
        <f>IFERROR(__xludf.DUMMYFUNCTION("""COMPUTED_VALUE"""),"Resource")</f>
        <v/>
      </c>
      <c r="C192" s="6">
        <f>IFERROR(__xludf.DUMMYFUNCTION("""COMPUTED_VALUE"""),"Welcome To EPFL - 2018")</f>
        <v/>
      </c>
      <c r="D192" s="7">
        <f>IFERROR(__xludf.DUMMYFUNCTION("""COMPUTED_VALUE"""),"No task description")</f>
        <v/>
      </c>
      <c r="E192" s="7">
        <f>IFERROR(__xludf.DUMMYFUNCTION("""COMPUTED_VALUE"""),"youtube.com: A widely known video-sharing platform where users can watch videos on a vast array of topics, including educational content.")</f>
        <v/>
      </c>
      <c r="F192" s="7" t="inlineStr">
        <is>
          <t>Students received tasks with varying levels of detail and artifacts. Items 1 and 3 lacked descriptions, while Item 2 described EPFL. Only Item 3 had an embedded artifact description, referencing youtube.com.</t>
        </is>
      </c>
      <c r="G192" s="8" t="inlineStr">
        <is>
          <t>1</t>
        </is>
      </c>
      <c r="H192" s="8" t="inlineStr">
        <is>
          <t>0</t>
        </is>
      </c>
      <c r="I192" s="8" t="inlineStr">
        <is>
          <t>0</t>
        </is>
      </c>
      <c r="J192" s="8" t="inlineStr">
        <is>
          <t>0</t>
        </is>
      </c>
      <c r="K192" s="9" t="inlineStr">
        <is>
          <t>0</t>
        </is>
      </c>
      <c r="L192" s="9" t="inlineStr">
        <is>
          <t>0</t>
        </is>
      </c>
      <c r="M192" s="9" t="inlineStr">
        <is>
          <t>0</t>
        </is>
      </c>
      <c r="N192" s="9" t="inlineStr">
        <is>
          <t>0</t>
        </is>
      </c>
      <c r="O192" s="10" t="inlineStr">
        <is>
          <t>0</t>
        </is>
      </c>
      <c r="P192" s="10" t="inlineStr">
        <is>
          <t>0</t>
        </is>
      </c>
      <c r="Q192" s="10" t="inlineStr">
        <is>
          <t>0</t>
        </is>
      </c>
      <c r="R192" s="10" t="inlineStr">
        <is>
          <t>0</t>
        </is>
      </c>
      <c r="S192" s="10" t="inlineStr">
        <is>
          <t>0</t>
        </is>
      </c>
    </row>
    <row r="193" ht="25" customHeight="1">
      <c r="A193" s="6">
        <f>IFERROR(__xludf.DUMMYFUNCTION("""COMPUTED_VALUE"""),"EPFL: Ecole Polytechnique de Lausanne")</f>
        <v/>
      </c>
      <c r="B193" s="6">
        <f>IFERROR(__xludf.DUMMYFUNCTION("""COMPUTED_VALUE"""),"Space")</f>
        <v/>
      </c>
      <c r="C193" s="6">
        <f>IFERROR(__xludf.DUMMYFUNCTION("""COMPUTED_VALUE"""),"Histoire")</f>
        <v/>
      </c>
      <c r="D193" s="7">
        <f>IFERROR(__xludf.DUMMYFUNCTION("""COMPUTED_VALUE"""),"&lt;p&gt;This is a chapter&lt;/p&gt;")</f>
        <v/>
      </c>
      <c r="E193" s="7">
        <f>IFERROR(__xludf.DUMMYFUNCTION("""COMPUTED_VALUE"""),"No artifact embedded")</f>
        <v/>
      </c>
      <c r="F193" s="7" t="inlineStr">
        <is>
          <t>Students were given task descriptions and embedded artifacts, including text and YouTube links, for Items 1-3.</t>
        </is>
      </c>
      <c r="G193" s="8" t="inlineStr">
        <is>
          <t>1</t>
        </is>
      </c>
      <c r="H193" s="8" t="inlineStr">
        <is>
          <t>0</t>
        </is>
      </c>
      <c r="I193" s="8" t="inlineStr">
        <is>
          <t>0</t>
        </is>
      </c>
      <c r="J193" s="8" t="inlineStr">
        <is>
          <t>0</t>
        </is>
      </c>
      <c r="K193" s="9" t="inlineStr">
        <is>
          <t>1</t>
        </is>
      </c>
      <c r="L193" s="9" t="inlineStr">
        <is>
          <t>0</t>
        </is>
      </c>
      <c r="M193" s="9" t="inlineStr">
        <is>
          <t>0</t>
        </is>
      </c>
      <c r="N193" s="9" t="inlineStr">
        <is>
          <t>0</t>
        </is>
      </c>
      <c r="O193" s="10" t="inlineStr">
        <is>
          <t>0</t>
        </is>
      </c>
      <c r="P193" s="10" t="inlineStr">
        <is>
          <t>0</t>
        </is>
      </c>
      <c r="Q193" s="10" t="inlineStr">
        <is>
          <t>0</t>
        </is>
      </c>
      <c r="R193" s="10" t="inlineStr">
        <is>
          <t>0</t>
        </is>
      </c>
      <c r="S193" s="10" t="inlineStr">
        <is>
          <t>0</t>
        </is>
      </c>
    </row>
    <row r="194" ht="409.5" customHeight="1">
      <c r="A194" s="6">
        <f>IFERROR(__xludf.DUMMYFUNCTION("""COMPUTED_VALUE"""),"EPFL: Ecole Polytechnique de Lausanne")</f>
        <v/>
      </c>
      <c r="B194" s="6">
        <f>IFERROR(__xludf.DUMMYFUNCTION("""COMPUTED_VALUE"""),"Resource")</f>
        <v/>
      </c>
      <c r="C194" s="6">
        <f>IFERROR(__xludf.DUMMYFUNCTION("""COMPUTED_VALUE"""),"history.graasp")</f>
        <v/>
      </c>
      <c r="D194" s="7">
        <f>IFERROR(__xludf.DUMMYFUNCTION("""COMPUTED_VALUE"""),"&lt;p&gt;The roots of modern-day EPFL can be traced back to the foundation of a private school under the name École spéciale de Lausanne in 1853 at the initiative of Lois Rivier, a graduate of the École Centrale Paris and John Gay, the then professor and rector"&amp;" of the Académie de Lausanne. At its inception it had only 11 students and the offices was located at Rue du Valentin in Lausanne. In 1869, it became the technical department of the public Académie de Lausanne. When the Académie was reorganised and acquir"&amp;"ed the status of a university in 1890, the technical faculty changed its name to École d'ingénieurs de l'Université de Lausanne. In 1946, it was renamed the École polytechnique de l'Université de Lausanne (EPUL). In 1969, the EPUL was separated from the r"&amp;"est of the University of Lausanne and became a federal institute under its current name. EPFL, like ETH Zurich, is thus directly controlled by the Swiss federal government. In contrast, all other universities in Switzerland are controlled by their respect"&amp;"ive cantonal governments. Following the nomination of Patrick Aebischer as president in 2000, EPFL has started to develop into the field of life sciences. It absorbed the Swiss Institute for Experimental Cancer Research (ISREC) in 2008.[12]&lt;/p&gt;")</f>
        <v/>
      </c>
      <c r="E194" s="7">
        <f>IFERROR(__xludf.DUMMYFUNCTION("""COMPUTED_VALUE"""),"No artifact embedded")</f>
        <v/>
      </c>
      <c r="F194" s="7" t="inlineStr">
        <is>
          <t>Students were given varying tasks with some having no description or embedded artifacts. Item1 had a YouTube link, while Items 2 and 3 had text descriptions only.</t>
        </is>
      </c>
      <c r="G194" s="8" t="inlineStr">
        <is>
          <t>1</t>
        </is>
      </c>
      <c r="H194" s="8" t="inlineStr">
        <is>
          <t>0</t>
        </is>
      </c>
      <c r="I194" s="8" t="inlineStr">
        <is>
          <t>0</t>
        </is>
      </c>
      <c r="J194" s="8" t="inlineStr">
        <is>
          <t>0</t>
        </is>
      </c>
      <c r="K194" s="9" t="inlineStr">
        <is>
          <t>0</t>
        </is>
      </c>
      <c r="L194" s="9" t="inlineStr">
        <is>
          <t>0</t>
        </is>
      </c>
      <c r="M194" s="9" t="inlineStr">
        <is>
          <t>0</t>
        </is>
      </c>
      <c r="N194" s="9" t="inlineStr">
        <is>
          <t>0</t>
        </is>
      </c>
      <c r="O194" s="10" t="inlineStr">
        <is>
          <t>0</t>
        </is>
      </c>
      <c r="P194" s="10" t="inlineStr">
        <is>
          <t>0</t>
        </is>
      </c>
      <c r="Q194" s="10" t="inlineStr">
        <is>
          <t>0</t>
        </is>
      </c>
      <c r="R194" s="10" t="inlineStr">
        <is>
          <t>0</t>
        </is>
      </c>
      <c r="S194" s="10" t="inlineStr">
        <is>
          <t>0</t>
        </is>
      </c>
    </row>
    <row r="195" ht="121" customHeight="1">
      <c r="A195" s="6">
        <f>IFERROR(__xludf.DUMMYFUNCTION("""COMPUTED_VALUE"""),"EPFL: Ecole Polytechnique de Lausanne")</f>
        <v/>
      </c>
      <c r="B195" s="6">
        <f>IFERROR(__xludf.DUMMYFUNCTION("""COMPUTED_VALUE"""),"Resource")</f>
        <v/>
      </c>
      <c r="C195" s="6">
        <f>IFERROR(__xludf.DUMMYFUNCTION("""COMPUTED_VALUE"""),"Ecole_spéciale_de_Lausanne_1857.jpg")</f>
        <v/>
      </c>
      <c r="D195" s="7">
        <f>IFERROR(__xludf.DUMMYFUNCTION("""COMPUTED_VALUE"""),"&lt;p&gt;École spéciale de Lausanne 1857&lt;/p&gt;")</f>
        <v/>
      </c>
      <c r="E195" s="7">
        <f>IFERROR(__xludf.DUMMYFUNCTION("""COMPUTED_VALUE"""),"image/jpeg – A digital photograph or web image stored in a compressed format, often used for photography and web graphics.")</f>
        <v/>
      </c>
      <c r="F195" s="7" t="inlineStr">
        <is>
          <t>Students received task descriptions with no artifacts embedded, except Item 3, which included a JPEG image.</t>
        </is>
      </c>
      <c r="G195" s="8" t="inlineStr">
        <is>
          <t>1</t>
        </is>
      </c>
      <c r="H195" s="8" t="inlineStr">
        <is>
          <t>0</t>
        </is>
      </c>
      <c r="I195" s="8" t="inlineStr">
        <is>
          <t>0</t>
        </is>
      </c>
      <c r="J195" s="8" t="inlineStr">
        <is>
          <t>0</t>
        </is>
      </c>
      <c r="K195" s="9" t="inlineStr">
        <is>
          <t>0</t>
        </is>
      </c>
      <c r="L195" s="9" t="inlineStr">
        <is>
          <t>0</t>
        </is>
      </c>
      <c r="M195" s="9" t="inlineStr">
        <is>
          <t>0</t>
        </is>
      </c>
      <c r="N195" s="9" t="inlineStr">
        <is>
          <t>0</t>
        </is>
      </c>
      <c r="O195" s="10" t="inlineStr">
        <is>
          <t>0</t>
        </is>
      </c>
      <c r="P195" s="10" t="inlineStr">
        <is>
          <t>0</t>
        </is>
      </c>
      <c r="Q195" s="10" t="inlineStr">
        <is>
          <t>0</t>
        </is>
      </c>
      <c r="R195" s="10" t="inlineStr">
        <is>
          <t>0</t>
        </is>
      </c>
      <c r="S195" s="10" t="inlineStr">
        <is>
          <t>0</t>
        </is>
      </c>
    </row>
    <row r="196" ht="409.5" customHeight="1">
      <c r="A196" s="6">
        <f>IFERROR(__xludf.DUMMYFUNCTION("""COMPUTED_VALUE"""),"EPFL: Ecole Polytechnique de Lausanne")</f>
        <v/>
      </c>
      <c r="B196" s="6">
        <f>IFERROR(__xludf.DUMMYFUNCTION("""COMPUTED_VALUE"""),"Resource")</f>
        <v/>
      </c>
      <c r="C196" s="6">
        <f>IFERROR(__xludf.DUMMYFUNCTION("""COMPUTED_VALUE"""),"histoire_1.graasp")</f>
        <v/>
      </c>
      <c r="D196" s="7">
        <f>IFERROR(__xludf.DUMMYFUNCTION("""COMPUTED_VALUE"""),"&lt;p&gt;In 1946, there were 360 students. In 1969, EPFL had 1,400 students and 55 professors. In the past two decades the university has grown rapidly and as of 2012 roughly 14,000 people study or work on campus, about 9,300 of these being Bachelor, Master or "&amp;"PhD students. As EPFL first became a federal institute under its current name in 1969, with a student body of then less than 1500, the university is included in the Times Higher Education list of top 100 universities under 50 years old. The environment at"&amp;" modern day EPFL is highly international with the school now attracting top students and researchers from all over the world. More than 125 countries are represented on the campus and the university has two official languages, French and English.&lt;/p&gt;")</f>
        <v/>
      </c>
      <c r="E196" s="7">
        <f>IFERROR(__xludf.DUMMYFUNCTION("""COMPUTED_VALUE"""),"No artifact embedded")</f>
        <v/>
      </c>
      <c r="F196" s="7" t="inlineStr">
        <is>
          <t>No instructions are provided to students; only task descriptions of EPFL's history with some items having image artifacts embedded.</t>
        </is>
      </c>
      <c r="G196" s="8" t="inlineStr">
        <is>
          <t>1</t>
        </is>
      </c>
      <c r="H196" s="8" t="inlineStr">
        <is>
          <t>0</t>
        </is>
      </c>
      <c r="I196" s="8" t="inlineStr">
        <is>
          <t>0</t>
        </is>
      </c>
      <c r="J196" s="8" t="inlineStr">
        <is>
          <t>0</t>
        </is>
      </c>
      <c r="K196" s="9" t="inlineStr">
        <is>
          <t>0</t>
        </is>
      </c>
      <c r="L196" s="9" t="inlineStr">
        <is>
          <t>0</t>
        </is>
      </c>
      <c r="M196" s="9" t="inlineStr">
        <is>
          <t>0</t>
        </is>
      </c>
      <c r="N196" s="9" t="inlineStr">
        <is>
          <t>0</t>
        </is>
      </c>
      <c r="O196" s="10" t="inlineStr">
        <is>
          <t>0</t>
        </is>
      </c>
      <c r="P196" s="10" t="inlineStr">
        <is>
          <t>0</t>
        </is>
      </c>
      <c r="Q196" s="10" t="inlineStr">
        <is>
          <t>0</t>
        </is>
      </c>
      <c r="R196" s="10" t="inlineStr">
        <is>
          <t>0</t>
        </is>
      </c>
      <c r="S196" s="10" t="inlineStr">
        <is>
          <t>0</t>
        </is>
      </c>
    </row>
    <row r="197" ht="25" customHeight="1">
      <c r="A197" s="6">
        <f>IFERROR(__xludf.DUMMYFUNCTION("""COMPUTED_VALUE"""),"EPFL: Ecole Polytechnique de Lausanne")</f>
        <v/>
      </c>
      <c r="B197" s="6">
        <f>IFERROR(__xludf.DUMMYFUNCTION("""COMPUTED_VALUE"""),"Space")</f>
        <v/>
      </c>
      <c r="C197" s="6">
        <f>IFERROR(__xludf.DUMMYFUNCTION("""COMPUTED_VALUE"""),"Admission and education")</f>
        <v/>
      </c>
      <c r="D197" s="7">
        <f>IFERROR(__xludf.DUMMYFUNCTION("""COMPUTED_VALUE"""),"&lt;p&gt;This is a chapter&lt;/p&gt;")</f>
        <v/>
      </c>
      <c r="E197" s="7">
        <f>IFERROR(__xludf.DUMMYFUNCTION("""COMPUTED_VALUE"""),"No artifact embedded")</f>
        <v/>
      </c>
      <c r="F197" s="7" t="inlineStr">
        <is>
          <t>Students received task descriptions with optional image/jpeg artifacts.</t>
        </is>
      </c>
      <c r="G197" s="8" t="inlineStr">
        <is>
          <t>1</t>
        </is>
      </c>
      <c r="H197" s="8" t="inlineStr">
        <is>
          <t>0</t>
        </is>
      </c>
      <c r="I197" s="8" t="inlineStr">
        <is>
          <t>0</t>
        </is>
      </c>
      <c r="J197" s="8" t="inlineStr">
        <is>
          <t>0</t>
        </is>
      </c>
      <c r="K197" s="9" t="inlineStr">
        <is>
          <t>1</t>
        </is>
      </c>
      <c r="L197" s="9" t="inlineStr">
        <is>
          <t>0</t>
        </is>
      </c>
      <c r="M197" s="9" t="inlineStr">
        <is>
          <t>0</t>
        </is>
      </c>
      <c r="N197" s="9" t="inlineStr">
        <is>
          <t>0</t>
        </is>
      </c>
      <c r="O197" s="10" t="inlineStr">
        <is>
          <t>0</t>
        </is>
      </c>
      <c r="P197" s="10" t="inlineStr">
        <is>
          <t>0</t>
        </is>
      </c>
      <c r="Q197" s="10" t="inlineStr">
        <is>
          <t>0</t>
        </is>
      </c>
      <c r="R197" s="10" t="inlineStr">
        <is>
          <t>0</t>
        </is>
      </c>
      <c r="S197" s="10" t="inlineStr">
        <is>
          <t>0</t>
        </is>
      </c>
    </row>
    <row r="198" ht="409.5" customHeight="1">
      <c r="A198" s="6">
        <f>IFERROR(__xludf.DUMMYFUNCTION("""COMPUTED_VALUE"""),"EPFL: Ecole Polytechnique de Lausanne")</f>
        <v/>
      </c>
      <c r="B198" s="6">
        <f>IFERROR(__xludf.DUMMYFUNCTION("""COMPUTED_VALUE"""),"Resource")</f>
        <v/>
      </c>
      <c r="C198" s="6">
        <f>IFERROR(__xludf.DUMMYFUNCTION("""COMPUTED_VALUE"""),"epfl.txt")</f>
        <v/>
      </c>
      <c r="D198" s="7">
        <f>IFERROR(__xludf.DUMMYFUNCTION("""COMPUTED_VALUE"""),"Like every public university in Switzerland, EPFL is obliged to grant admission to every Swiss resident who took the maturitÃ© high-school certificate recognized by the Swiss Federation. However, international students are required to have a final grade a"&amp;"verage of 80% or above of the maximum grade of the upper secondary school national system. As such, for Swiss students, EPFL is not selective in its undergraduate admission procedures. The real selection process happens during the first year of study. Thi"&amp;"s period is called the propaedeutic cycle and the students must pass a block examination of all the courses taken during the first year at the end of the cycle. If the weighted average is insufficient, a student is required to retake the entire first year"&amp;" of coursework if they wish to continue their studies at the school. Roughly 50% of students fail the first year of study, and many of them choose to drop out rather than repeat the first year.[13] The failure rate for the propaedeutic cycle differs betwe"&amp;"en fields of study, it is highest for Mathematics, Physics and Electrical Engineering majors where only 30""""40% of students pass the first year. For foreign students, the selection procedure towards the undergraduate program is rather strict, and since "&amp;"most undergraduate courses are taught in French, foreign students must provide documentation of having acquired a level B2 proficiency as measured on the CEF scale, though C1 proficiency is recommended. As at all universities in Switzerland, the academic "&amp;"year is divided into two semesters. Regular time to reach graduation is six semesters for the Bachelor of Science degree and four additional semesters for the Master of Science degree. Though only 58% of the student's who manage to graduate are able to gr"&amp;"aduate within this time-period.[13] The possibility to study abroad for one or two semesters is offered during the 3rd year of study under certain conditions as EPFL maintains several long-standing student exchange programs, such as the junior year engine"&amp;"ering and science program with Carnegie Mellon University in the United States, as well as a graduate Aeronautics and Aerospace program with the ISAE in France. The final semester is dedicated to writing a thesis. Entrepreneurship is actively encouraged t"&amp;"o foster a start-up culture among the student body as evident by the EPFL Innovation Park being an integral part of campus. Since 1997, 12 start-ups have been created per year on average by EPFL students and faculty. In the year 2013, a total of 105 milli"&amp;"on CHF was raised by EPFL start-ups.[14]")</f>
        <v/>
      </c>
      <c r="E198" s="7">
        <f>IFERROR(__xludf.DUMMYFUNCTION("""COMPUTED_VALUE"""),"text/plain – A simple text file containing unformatted text, often used for notes, logs, or source code.")</f>
        <v/>
      </c>
      <c r="F198" s="7" t="inlineStr">
        <is>
          <t>No instructions are provided to students. Embedded artifacts include no files in Items 1 and 2, and a plain text file in Item 3.</t>
        </is>
      </c>
      <c r="G198" s="8" t="inlineStr">
        <is>
          <t>1</t>
        </is>
      </c>
      <c r="H198" s="8" t="inlineStr">
        <is>
          <t>0</t>
        </is>
      </c>
      <c r="I198" s="8" t="inlineStr">
        <is>
          <t>0</t>
        </is>
      </c>
      <c r="J198" s="8" t="inlineStr">
        <is>
          <t>0</t>
        </is>
      </c>
      <c r="K198" s="9" t="inlineStr">
        <is>
          <t>0</t>
        </is>
      </c>
      <c r="L198" s="9" t="inlineStr">
        <is>
          <t>0</t>
        </is>
      </c>
      <c r="M198" s="9" t="inlineStr">
        <is>
          <t>0</t>
        </is>
      </c>
      <c r="N198" s="9" t="inlineStr">
        <is>
          <t>0</t>
        </is>
      </c>
      <c r="O198" s="10" t="inlineStr">
        <is>
          <t>0</t>
        </is>
      </c>
      <c r="P198" s="10" t="inlineStr">
        <is>
          <t>0</t>
        </is>
      </c>
      <c r="Q198" s="10" t="inlineStr">
        <is>
          <t>0</t>
        </is>
      </c>
      <c r="R198" s="10" t="inlineStr">
        <is>
          <t>0</t>
        </is>
      </c>
      <c r="S198" s="10" t="inlineStr">
        <is>
          <t>0</t>
        </is>
      </c>
    </row>
    <row r="199" ht="109" customHeight="1">
      <c r="A199" s="6">
        <f>IFERROR(__xludf.DUMMYFUNCTION("""COMPUTED_VALUE"""),"EPFL: Ecole Polytechnique de Lausanne")</f>
        <v/>
      </c>
      <c r="B199" s="6">
        <f>IFERROR(__xludf.DUMMYFUNCTION("""COMPUTED_VALUE"""),"Resource")</f>
        <v/>
      </c>
      <c r="C199" s="6">
        <f>IFERROR(__xludf.DUMMYFUNCTION("""COMPUTED_VALUE"""),"table.html")</f>
        <v/>
      </c>
      <c r="D199" s="7">
        <f>IFERROR(__xludf.DUMMYFUNCTION("""COMPUTED_VALUE"""),"&lt;p&gt;Une desc qui casse tout ?&lt;/p&gt;")</f>
        <v/>
      </c>
      <c r="E199" s="7">
        <f>IFERROR(__xludf.DUMMYFUNCTION("""COMPUTED_VALUE"""),"text/html – A webpage or web document that contains structured text, images, and links, designed for display in a web browser.")</f>
        <v/>
      </c>
      <c r="F199" s="7" t="inlineStr">
        <is>
          <t>No instructions are provided; embedded artifacts include text/plain and text/html files.</t>
        </is>
      </c>
      <c r="G199" s="8" t="inlineStr">
        <is>
          <t>1</t>
        </is>
      </c>
      <c r="H199" s="8" t="inlineStr">
        <is>
          <t>0</t>
        </is>
      </c>
      <c r="I199" s="8" t="inlineStr">
        <is>
          <t>0</t>
        </is>
      </c>
      <c r="J199" s="8" t="inlineStr">
        <is>
          <t>0</t>
        </is>
      </c>
      <c r="K199" s="9" t="inlineStr">
        <is>
          <t>0</t>
        </is>
      </c>
      <c r="L199" s="9" t="inlineStr">
        <is>
          <t>0</t>
        </is>
      </c>
      <c r="M199" s="9" t="inlineStr">
        <is>
          <t>0</t>
        </is>
      </c>
      <c r="N199" s="9" t="inlineStr">
        <is>
          <t>0</t>
        </is>
      </c>
      <c r="O199" s="10" t="inlineStr">
        <is>
          <t>1</t>
        </is>
      </c>
      <c r="P199" s="10" t="inlineStr">
        <is>
          <t>0</t>
        </is>
      </c>
      <c r="Q199" s="10" t="inlineStr">
        <is>
          <t>0</t>
        </is>
      </c>
      <c r="R199" s="10" t="inlineStr">
        <is>
          <t>0</t>
        </is>
      </c>
      <c r="S199" s="10" t="inlineStr">
        <is>
          <t>0</t>
        </is>
      </c>
    </row>
    <row r="200" ht="25" customHeight="1">
      <c r="A200" s="6">
        <f>IFERROR(__xludf.DUMMYFUNCTION("""COMPUTED_VALUE"""),"EPFL: Ecole Polytechnique de Lausanne")</f>
        <v/>
      </c>
      <c r="B200" s="6">
        <f>IFERROR(__xludf.DUMMYFUNCTION("""COMPUTED_VALUE"""),"Space")</f>
        <v/>
      </c>
      <c r="C200" s="6">
        <f>IFERROR(__xludf.DUMMYFUNCTION("""COMPUTED_VALUE"""),"Rankings")</f>
        <v/>
      </c>
      <c r="D200" s="7">
        <f>IFERROR(__xludf.DUMMYFUNCTION("""COMPUTED_VALUE"""),"&lt;p&gt;This is a chapter&lt;/p&gt;")</f>
        <v/>
      </c>
      <c r="E200" s="7">
        <f>IFERROR(__xludf.DUMMYFUNCTION("""COMPUTED_VALUE"""),"No artifact embedded")</f>
        <v/>
      </c>
      <c r="F200" s="7" t="inlineStr">
        <is>
          <t>Students are given instructions with varying embedded artifacts: text/plain, text/html, and none.</t>
        </is>
      </c>
      <c r="G200" s="8" t="inlineStr">
        <is>
          <t>1</t>
        </is>
      </c>
      <c r="H200" s="8" t="inlineStr">
        <is>
          <t>0</t>
        </is>
      </c>
      <c r="I200" s="8" t="inlineStr">
        <is>
          <t>0</t>
        </is>
      </c>
      <c r="J200" s="8" t="inlineStr">
        <is>
          <t>0</t>
        </is>
      </c>
      <c r="K200" s="9" t="inlineStr">
        <is>
          <t>1</t>
        </is>
      </c>
      <c r="L200" s="9" t="inlineStr">
        <is>
          <t>0</t>
        </is>
      </c>
      <c r="M200" s="9" t="inlineStr">
        <is>
          <t>0</t>
        </is>
      </c>
      <c r="N200" s="9" t="inlineStr">
        <is>
          <t>0</t>
        </is>
      </c>
      <c r="O200" s="10" t="inlineStr">
        <is>
          <t>0</t>
        </is>
      </c>
      <c r="P200" s="10" t="inlineStr">
        <is>
          <t>0</t>
        </is>
      </c>
      <c r="Q200" s="10" t="inlineStr">
        <is>
          <t>0</t>
        </is>
      </c>
      <c r="R200" s="10" t="inlineStr">
        <is>
          <t>0</t>
        </is>
      </c>
      <c r="S200" s="10" t="inlineStr">
        <is>
          <t>0</t>
        </is>
      </c>
    </row>
    <row r="201" ht="409.5" customHeight="1">
      <c r="A201" s="6">
        <f>IFERROR(__xludf.DUMMYFUNCTION("""COMPUTED_VALUE"""),"EPFL: Ecole Polytechnique de Lausanne")</f>
        <v/>
      </c>
      <c r="B201" s="6">
        <f>IFERROR(__xludf.DUMMYFUNCTION("""COMPUTED_VALUE"""),"Resource")</f>
        <v/>
      </c>
      <c r="C201" s="6">
        <f>IFERROR(__xludf.DUMMYFUNCTION("""COMPUTED_VALUE"""),"rankings.graasp")</f>
        <v/>
      </c>
      <c r="D201" s="7">
        <f>IFERROR(__xludf.DUMMYFUNCTION("""COMPUTED_VALUE"""),"&lt;p&gt;The three most widely observed international university rankings, QS World University Rankings, Academic Ranking of World Universities and Times Higher Education World University Rankings ranks EPFL 5th, 2nd and 5th respectively in Europe in their 2017"&amp;" rankings. In the rankings EPFL competes with Cambridge, Oxford, Imperial College London and its sister institution, ETH Zurich, for the European top five spots in Engineering and Technology.&lt;/p&gt;&lt;p&gt;QS World University Ranking 2017/2018 ranks EPFL as the w"&amp;"orld's 12th best university across all fields, and world 11th in the Natural Sciences subcategory.[15] Academic Ranking of World Universities 2016 ranks EPFL world 11th and Europe 2nd in the Engineering, Technology and Computer Sciences category.[16] THE "&amp;"World University Rankings 2016–2017 ranks EPFL world 11th in the Engineering and Technology subcategory.[17]&lt;br&gt;EPFL typically scores high on faculty to student ratio, international outlook and scientific impact. The specialized CWTS Leiden Ranking[18] th"&amp;"at ""aims to provide highly accurate measurements of the scientific impact of universities"" ranks EPFL world 13th, and 1st in Europe in the 2013 rankings for all the sciences.&lt;br&gt;Although EPFL generally ranks among the worlds best universities on measure"&amp;"s such as citation index, international outlook and scientific impact, due to the young age and small size of the school, it tends to rank comparatively low in name-brand surveys. A recent example of this being the Times 2017 reputation ranking where EPFL"&amp;" was ranked world 45th, comparatively low for EPFL.[19] In recent years, multiple EPFL faculty members have been selected as Young Global Leader or as Young Scientist by the World Economic Forum, increasing the visibility of EPFL outside tech circles.[20]"&amp;"&lt;br&gt;The Times 100 Under 50 Rankings is a ranking of the top 100 universities in the world under 50 years old. Since EPFL in its current form was formed in 1969, EPFL is included in this ranking. EPFL was ranked 1st in the world for three years in a row in"&amp;" 2015,[21] 2016 [22][23] and 2017.[24] Times Higher Education also ranked EPFL as the most international university in the world two years in a row 2014[25] and 2015.[26]&lt;/p&gt;")</f>
        <v/>
      </c>
      <c r="E201" s="7">
        <f>IFERROR(__xludf.DUMMYFUNCTION("""COMPUTED_VALUE"""),"No artifact embedded")</f>
        <v/>
      </c>
      <c r="F201" s="7" t="inlineStr">
        <is>
          <t>Students received task descriptions with optional HTML webpage artifacts.</t>
        </is>
      </c>
      <c r="G201" s="8" t="inlineStr">
        <is>
          <t>1</t>
        </is>
      </c>
      <c r="H201" s="8" t="inlineStr">
        <is>
          <t>0</t>
        </is>
      </c>
      <c r="I201" s="8" t="inlineStr">
        <is>
          <t>0</t>
        </is>
      </c>
      <c r="J201" s="8" t="inlineStr">
        <is>
          <t>0</t>
        </is>
      </c>
      <c r="K201" s="9" t="inlineStr">
        <is>
          <t>0</t>
        </is>
      </c>
      <c r="L201" s="9" t="inlineStr">
        <is>
          <t>0</t>
        </is>
      </c>
      <c r="M201" s="9" t="inlineStr">
        <is>
          <t>0</t>
        </is>
      </c>
      <c r="N201" s="9" t="inlineStr">
        <is>
          <t>0</t>
        </is>
      </c>
      <c r="O201" s="10" t="inlineStr">
        <is>
          <t>0</t>
        </is>
      </c>
      <c r="P201" s="10" t="inlineStr">
        <is>
          <t>0</t>
        </is>
      </c>
      <c r="Q201" s="10" t="inlineStr">
        <is>
          <t>0</t>
        </is>
      </c>
      <c r="R201" s="10" t="inlineStr">
        <is>
          <t>0</t>
        </is>
      </c>
      <c r="S201" s="10" t="inlineStr">
        <is>
          <t>0</t>
        </is>
      </c>
    </row>
    <row r="202" ht="193" customHeight="1">
      <c r="A202" s="6">
        <f>IFERROR(__xludf.DUMMYFUNCTION("""COMPUTED_VALUE"""),"EPFL: Ecole Polytechnique de Lausanne")</f>
        <v/>
      </c>
      <c r="B202" s="6">
        <f>IFERROR(__xludf.DUMMYFUNCTION("""COMPUTED_VALUE"""),"Resource")</f>
        <v/>
      </c>
      <c r="C202" s="6">
        <f>IFERROR(__xludf.DUMMYFUNCTION("""COMPUTED_VALUE"""),"Engineering and Technology")</f>
        <v/>
      </c>
      <c r="D202" s="7">
        <f>IFERROR(__xludf.DUMMYFUNCTION("""COMPUTED_VALUE"""),"As well as this broad subject area ranking, rankings are also available for the following individual Engineering &amp; Technology subjects: Computer Science &amp; Information Systems Chemical Engineering")</f>
        <v/>
      </c>
      <c r="E202" s="7">
        <f>IFERROR(__xludf.DUMMYFUNCTION("""COMPUTED_VALUE"""),"topuniversities.com: Provides university rankings and information on higher education institutions.")</f>
        <v/>
      </c>
      <c r="F202" s="7" t="inlineStr">
        <is>
          <t>No instructions provided; embedded artifacts include university rankings websites.</t>
        </is>
      </c>
      <c r="G202" s="8" t="inlineStr">
        <is>
          <t>1</t>
        </is>
      </c>
      <c r="H202" s="8" t="inlineStr">
        <is>
          <t>0</t>
        </is>
      </c>
      <c r="I202" s="8" t="inlineStr">
        <is>
          <t>0</t>
        </is>
      </c>
      <c r="J202" s="8" t="inlineStr">
        <is>
          <t>0</t>
        </is>
      </c>
      <c r="K202" s="9" t="inlineStr">
        <is>
          <t>0</t>
        </is>
      </c>
      <c r="L202" s="9" t="inlineStr">
        <is>
          <t>0</t>
        </is>
      </c>
      <c r="M202" s="9" t="inlineStr">
        <is>
          <t>0</t>
        </is>
      </c>
      <c r="N202" s="9" t="inlineStr">
        <is>
          <t>0</t>
        </is>
      </c>
      <c r="O202" s="10" t="inlineStr">
        <is>
          <t>0</t>
        </is>
      </c>
      <c r="P202" s="10" t="inlineStr">
        <is>
          <t>0</t>
        </is>
      </c>
      <c r="Q202" s="10" t="inlineStr">
        <is>
          <t>0</t>
        </is>
      </c>
      <c r="R202" s="10" t="inlineStr">
        <is>
          <t>0</t>
        </is>
      </c>
      <c r="S202" s="10" t="inlineStr">
        <is>
          <t>0</t>
        </is>
      </c>
    </row>
    <row r="203" ht="193" customHeight="1">
      <c r="A203" s="6">
        <f>IFERROR(__xludf.DUMMYFUNCTION("""COMPUTED_VALUE"""),"EPFL: Ecole Polytechnique de Lausanne")</f>
        <v/>
      </c>
      <c r="B203" s="6">
        <f>IFERROR(__xludf.DUMMYFUNCTION("""COMPUTED_VALUE"""),"Resource")</f>
        <v/>
      </c>
      <c r="C203" s="6">
        <f>IFERROR(__xludf.DUMMYFUNCTION("""COMPUTED_VALUE"""),"Engineering and Technology (1)")</f>
        <v/>
      </c>
      <c r="D203" s="7">
        <f>IFERROR(__xludf.DUMMYFUNCTION("""COMPUTED_VALUE"""),"As well as this broad subject area ranking, rankings are also available for the following individual Engineering &amp; Technology subjects: Computer Science &amp; Information Systems Chemical Engineering")</f>
        <v/>
      </c>
      <c r="E203" s="7">
        <f>IFERROR(__xludf.DUMMYFUNCTION("""COMPUTED_VALUE"""),"topuniversities.com: Provides university rankings and information on higher education institutions.")</f>
        <v/>
      </c>
      <c r="F203" s="7" t="inlineStr">
        <is>
          <t>No instructions provided; embedded artifacts include university rankings websites (topuniversities.com).</t>
        </is>
      </c>
      <c r="G203" s="8" t="inlineStr">
        <is>
          <t>1</t>
        </is>
      </c>
      <c r="H203" s="8" t="inlineStr">
        <is>
          <t>0</t>
        </is>
      </c>
      <c r="I203" s="8" t="inlineStr">
        <is>
          <t>0</t>
        </is>
      </c>
      <c r="J203" s="8" t="inlineStr">
        <is>
          <t>0</t>
        </is>
      </c>
      <c r="K203" s="9" t="inlineStr">
        <is>
          <t>0</t>
        </is>
      </c>
      <c r="L203" s="9" t="inlineStr">
        <is>
          <t>0</t>
        </is>
      </c>
      <c r="M203" s="9" t="inlineStr">
        <is>
          <t>0</t>
        </is>
      </c>
      <c r="N203" s="9" t="inlineStr">
        <is>
          <t>0</t>
        </is>
      </c>
      <c r="O203" s="10" t="inlineStr">
        <is>
          <t>0</t>
        </is>
      </c>
      <c r="P203" s="10" t="inlineStr">
        <is>
          <t>0</t>
        </is>
      </c>
      <c r="Q203" s="10" t="inlineStr">
        <is>
          <t>0</t>
        </is>
      </c>
      <c r="R203" s="10" t="inlineStr">
        <is>
          <t>0</t>
        </is>
      </c>
      <c r="S203" s="10" t="inlineStr">
        <is>
          <t>0</t>
        </is>
      </c>
    </row>
    <row r="204" ht="25" customHeight="1">
      <c r="A204" s="6">
        <f>IFERROR(__xludf.DUMMYFUNCTION("""COMPUTED_VALUE"""),"EPFL: Ecole Polytechnique de Lausanne")</f>
        <v/>
      </c>
      <c r="B204" s="6">
        <f>IFERROR(__xludf.DUMMYFUNCTION("""COMPUTED_VALUE"""),"Space")</f>
        <v/>
      </c>
      <c r="C204" s="6">
        <f>IFERROR(__xludf.DUMMYFUNCTION("""COMPUTED_VALUE"""),"A lab")</f>
        <v/>
      </c>
      <c r="D204" s="7">
        <f>IFERROR(__xludf.DUMMYFUNCTION("""COMPUTED_VALUE"""),"&lt;p&gt;This is a chapter&lt;/p&gt;")</f>
        <v/>
      </c>
      <c r="E204" s="7">
        <f>IFERROR(__xludf.DUMMYFUNCTION("""COMPUTED_VALUE"""),"No artifact embedded")</f>
        <v/>
      </c>
      <c r="F204" s="7" t="inlineStr">
        <is>
          <t>Students are tasked with ranking engineering subjects, with artifacts from topuniversities.com providing university rankings information.</t>
        </is>
      </c>
      <c r="G204" s="8" t="inlineStr">
        <is>
          <t>1</t>
        </is>
      </c>
      <c r="H204" s="8" t="inlineStr">
        <is>
          <t>0</t>
        </is>
      </c>
      <c r="I204" s="8" t="inlineStr">
        <is>
          <t>0</t>
        </is>
      </c>
      <c r="J204" s="8" t="inlineStr">
        <is>
          <t>0</t>
        </is>
      </c>
      <c r="K204" s="9" t="inlineStr">
        <is>
          <t>1</t>
        </is>
      </c>
      <c r="L204" s="9" t="inlineStr">
        <is>
          <t>0</t>
        </is>
      </c>
      <c r="M204" s="9" t="inlineStr">
        <is>
          <t>0</t>
        </is>
      </c>
      <c r="N204" s="9" t="inlineStr">
        <is>
          <t>0</t>
        </is>
      </c>
      <c r="O204" s="10" t="inlineStr">
        <is>
          <t>0</t>
        </is>
      </c>
      <c r="P204" s="10" t="inlineStr">
        <is>
          <t>0</t>
        </is>
      </c>
      <c r="Q204" s="10" t="inlineStr">
        <is>
          <t>0</t>
        </is>
      </c>
      <c r="R204" s="10" t="inlineStr">
        <is>
          <t>0</t>
        </is>
      </c>
      <c r="S204" s="10" t="inlineStr">
        <is>
          <t>0</t>
        </is>
      </c>
    </row>
    <row r="205" ht="409.5" customHeight="1">
      <c r="A205" s="6">
        <f>IFERROR(__xludf.DUMMYFUNCTION("""COMPUTED_VALUE"""),"EPFL: Ecole Polytechnique de Lausanne")</f>
        <v/>
      </c>
      <c r="B205" s="6">
        <f>IFERROR(__xludf.DUMMYFUNCTION("""COMPUTED_VALUE"""),"Application")</f>
        <v/>
      </c>
      <c r="C205" s="6">
        <f>IFERROR(__xludf.DUMMYFUNCTION("""COMPUTED_VALUE"""),"Pile Attraction")</f>
        <v/>
      </c>
      <c r="D205" s="7">
        <f>IFERROR(__xludf.DUMMYFUNCTION("""COMPUTED_VALUE"""),"No task description")</f>
        <v/>
      </c>
      <c r="E205" s="7">
        <f>IFERROR(__xludf.DUMMYFUNCTION("""COMPUTED_VALUE"""),"Golabz app/lab: &lt;p style=""margin-left:6.0pt;""&gt;This is an interactive simulation showing objects with mutual gravitational force pulling them together. Uses the&amp;nbsp;&lt;a href=""http://www.myphysicslab.com/explain/physics-engine-en.html""&gt;myPhysicsLab 2D R"&amp;"igid Body Physics Engine&lt;/a&gt;.&lt;/p&gt;&lt;p style=""margin-left:6.0pt;""&gt;Students can change gravity, elasticity (bounciness), and damping (friction) to observe the effect and turn on the&amp;nbsp;&lt;strong&gt;show forces&lt;/strong&gt;&amp;nbsp;checkbox to see the gravitational fo"&amp;"rces between the center of mass of each object and the contact forces where objects touch each other.&lt;/p&gt;'")</f>
        <v/>
      </c>
      <c r="F205" s="7" t="inlineStr">
        <is>
          <t>Students were given tasks with descriptions and embedded artifacts, including university rankings and interactive simulations.</t>
        </is>
      </c>
      <c r="G205" s="8" t="inlineStr">
        <is>
          <t>0</t>
        </is>
      </c>
      <c r="H205" s="8" t="inlineStr">
        <is>
          <t>1</t>
        </is>
      </c>
      <c r="I205" s="8" t="inlineStr">
        <is>
          <t>0</t>
        </is>
      </c>
      <c r="J205" s="8" t="inlineStr">
        <is>
          <t>1</t>
        </is>
      </c>
      <c r="K205" s="9" t="inlineStr">
        <is>
          <t>1</t>
        </is>
      </c>
      <c r="L205" s="9" t="inlineStr">
        <is>
          <t>0</t>
        </is>
      </c>
      <c r="M205" s="9" t="inlineStr">
        <is>
          <t>0</t>
        </is>
      </c>
      <c r="N205" s="9" t="inlineStr">
        <is>
          <t>0</t>
        </is>
      </c>
      <c r="O205" s="10" t="inlineStr">
        <is>
          <t>1</t>
        </is>
      </c>
      <c r="P205" s="10" t="inlineStr">
        <is>
          <t>0</t>
        </is>
      </c>
      <c r="Q205" s="10" t="inlineStr">
        <is>
          <t>1</t>
        </is>
      </c>
      <c r="R205" s="10" t="inlineStr">
        <is>
          <t>0</t>
        </is>
      </c>
      <c r="S205" s="10" t="inlineStr">
        <is>
          <t>0</t>
        </is>
      </c>
    </row>
    <row r="206" ht="25" customHeight="1">
      <c r="A206" s="6">
        <f>IFERROR(__xludf.DUMMYFUNCTION("""COMPUTED_VALUE"""),"EPFL: Ecole Polytechnique de Lausanne")</f>
        <v/>
      </c>
      <c r="B206" s="6">
        <f>IFERROR(__xludf.DUMMYFUNCTION("""COMPUTED_VALUE"""),"Space")</f>
        <v/>
      </c>
      <c r="C206" s="6">
        <f>IFERROR(__xludf.DUMMYFUNCTION("""COMPUTED_VALUE"""),"Chapter 5")</f>
        <v/>
      </c>
      <c r="D206" s="7">
        <f>IFERROR(__xludf.DUMMYFUNCTION("""COMPUTED_VALUE"""),"&lt;p&gt;This is a chapter&lt;/p&gt;")</f>
        <v/>
      </c>
      <c r="E206" s="7">
        <f>IFERROR(__xludf.DUMMYFUNCTION("""COMPUTED_VALUE"""),"No artifact embedded")</f>
        <v/>
      </c>
      <c r="F206" s="7" t="inlineStr">
        <is>
          <t>Students received task descriptions with some having interactive simulations, like Golabz app/lab, to explore gravitational forces.</t>
        </is>
      </c>
      <c r="G206" s="8" t="inlineStr">
        <is>
          <t>1</t>
        </is>
      </c>
      <c r="H206" s="8" t="inlineStr">
        <is>
          <t>0</t>
        </is>
      </c>
      <c r="I206" s="8" t="inlineStr">
        <is>
          <t>0</t>
        </is>
      </c>
      <c r="J206" s="8" t="inlineStr">
        <is>
          <t>0</t>
        </is>
      </c>
      <c r="K206" s="9" t="inlineStr">
        <is>
          <t>1</t>
        </is>
      </c>
      <c r="L206" s="9" t="inlineStr">
        <is>
          <t>0</t>
        </is>
      </c>
      <c r="M206" s="9" t="inlineStr">
        <is>
          <t>0</t>
        </is>
      </c>
      <c r="N206" s="9" t="inlineStr">
        <is>
          <t>0</t>
        </is>
      </c>
      <c r="O206" s="10" t="inlineStr">
        <is>
          <t>0</t>
        </is>
      </c>
      <c r="P206" s="10" t="inlineStr">
        <is>
          <t>0</t>
        </is>
      </c>
      <c r="Q206" s="10" t="inlineStr">
        <is>
          <t>0</t>
        </is>
      </c>
      <c r="R206" s="10" t="inlineStr">
        <is>
          <t>0</t>
        </is>
      </c>
      <c r="S206" s="10" t="inlineStr">
        <is>
          <t>0</t>
        </is>
      </c>
    </row>
    <row r="207" ht="97" customHeight="1">
      <c r="A207" s="6">
        <f>IFERROR(__xludf.DUMMYFUNCTION("""COMPUTED_VALUE"""),"EPFL: Ecole Polytechnique de Lausanne")</f>
        <v/>
      </c>
      <c r="B207" s="6">
        <f>IFERROR(__xludf.DUMMYFUNCTION("""COMPUTED_VALUE"""),"Resource")</f>
        <v/>
      </c>
      <c r="C207" s="6">
        <f>IFERROR(__xludf.DUMMYFUNCTION("""COMPUTED_VALUE"""),"Bruno Mars - Billionaire.mp3")</f>
        <v/>
      </c>
      <c r="D207" s="7">
        <f>IFERROR(__xludf.DUMMYFUNCTION("""COMPUTED_VALUE"""),"No task description")</f>
        <v/>
      </c>
      <c r="E207" s="7">
        <f>IFERROR(__xludf.DUMMYFUNCTION("""COMPUTED_VALUE"""),"audio/mpeg – A compressed audio file (MP3), commonly used for music, podcasts, and other audio recordings.")</f>
        <v/>
      </c>
      <c r="F207" s="7" t="inlineStr">
        <is>
          <t>Students received no task descriptions, but interacted with a gravity simulation and an MP3 audio file.</t>
        </is>
      </c>
      <c r="G207" s="8" t="inlineStr">
        <is>
          <t>1</t>
        </is>
      </c>
      <c r="H207" s="8" t="inlineStr">
        <is>
          <t>0</t>
        </is>
      </c>
      <c r="I207" s="8" t="inlineStr">
        <is>
          <t>0</t>
        </is>
      </c>
      <c r="J207" s="8" t="inlineStr">
        <is>
          <t>0</t>
        </is>
      </c>
      <c r="K207" s="9" t="inlineStr">
        <is>
          <t>0</t>
        </is>
      </c>
      <c r="L207" s="9" t="inlineStr">
        <is>
          <t>0</t>
        </is>
      </c>
      <c r="M207" s="9" t="inlineStr">
        <is>
          <t>0</t>
        </is>
      </c>
      <c r="N207" s="9" t="inlineStr">
        <is>
          <t>0</t>
        </is>
      </c>
      <c r="O207" s="10" t="inlineStr">
        <is>
          <t>0</t>
        </is>
      </c>
      <c r="P207" s="10" t="inlineStr">
        <is>
          <t>0</t>
        </is>
      </c>
      <c r="Q207" s="10" t="inlineStr">
        <is>
          <t>0</t>
        </is>
      </c>
      <c r="R207" s="10" t="inlineStr">
        <is>
          <t>0</t>
        </is>
      </c>
      <c r="S207" s="10" t="inlineStr">
        <is>
          <t>0</t>
        </is>
      </c>
    </row>
    <row r="208" ht="318" customHeight="1">
      <c r="A208" s="6">
        <f>IFERROR(__xludf.DUMMYFUNCTION("""COMPUTED_VALUE"""),"EPFL: Ecole Polytechnique de Lausanne")</f>
        <v/>
      </c>
      <c r="B208" s="6">
        <f>IFERROR(__xludf.DUMMYFUNCTION("""COMPUTED_VALUE"""),"Application")</f>
        <v/>
      </c>
      <c r="C208" s="6">
        <f>IFERROR(__xludf.DUMMYFUNCTION("""COMPUTED_VALUE"""),"Balancing Act App")</f>
        <v/>
      </c>
      <c r="D208" s="7">
        <f>IFERROR(__xludf.DUMMYFUNCTION("""COMPUTED_VALUE"""),"No task description")</f>
        <v/>
      </c>
      <c r="E208" s="7">
        <f>IFERROR(__xludf.DUMMYFUNCTION("""COMPUTED_VALUE"""),"Golabz app/lab: ""&lt;p&gt;Play with objects on a teeter totter to learn about balance. Test what you've learned by trying the Balance Challenge game.&lt;br /&gt;\r\nThe primary aims of the lab are:&lt;br /&gt;\r\n1) Predict how objects of various masses can be used to mak"&amp;"e a plank balance,&lt;br /&gt;\r\n2) Predict how changing the positions of the masses on the plank will affect the motion of the plank.&lt;/p&gt;\r\n""")</f>
        <v/>
      </c>
      <c r="F208" s="7" t="inlineStr">
        <is>
          <t>Students were given task descriptions and artifacts, including an MP3 audio file and a lab simulation on balance using Golabz app.</t>
        </is>
      </c>
      <c r="G208" s="8" t="inlineStr">
        <is>
          <t>0</t>
        </is>
      </c>
      <c r="H208" s="8" t="inlineStr">
        <is>
          <t>1</t>
        </is>
      </c>
      <c r="I208" s="8" t="inlineStr">
        <is>
          <t>0</t>
        </is>
      </c>
      <c r="J208" s="8" t="inlineStr">
        <is>
          <t>1</t>
        </is>
      </c>
      <c r="K208" s="9" t="inlineStr">
        <is>
          <t>1</t>
        </is>
      </c>
      <c r="L208" s="9" t="inlineStr">
        <is>
          <t>0</t>
        </is>
      </c>
      <c r="M208" s="9" t="inlineStr">
        <is>
          <t>0</t>
        </is>
      </c>
      <c r="N208" s="9" t="inlineStr">
        <is>
          <t>0</t>
        </is>
      </c>
      <c r="O208" s="10" t="inlineStr">
        <is>
          <t>1</t>
        </is>
      </c>
      <c r="P208" s="10" t="inlineStr">
        <is>
          <t>1</t>
        </is>
      </c>
      <c r="Q208" s="10" t="inlineStr">
        <is>
          <t>1</t>
        </is>
      </c>
      <c r="R208" s="10" t="inlineStr">
        <is>
          <t>0</t>
        </is>
      </c>
      <c r="S208" s="10" t="inlineStr">
        <is>
          <t>0</t>
        </is>
      </c>
    </row>
    <row r="209" ht="121" customHeight="1">
      <c r="A209" s="6">
        <f>IFERROR(__xludf.DUMMYFUNCTION("""COMPUTED_VALUE"""),"EPFL: Ecole Polytechnique de Lausanne")</f>
        <v/>
      </c>
      <c r="B209" s="6">
        <f>IFERROR(__xludf.DUMMYFUNCTION("""COMPUTED_VALUE"""),"Resource")</f>
        <v/>
      </c>
      <c r="C209" s="6">
        <f>IFERROR(__xludf.DUMMYFUNCTION("""COMPUTED_VALUE"""),"SampleVideo_360x240_30mb.mp4")</f>
        <v/>
      </c>
      <c r="D209" s="7">
        <f>IFERROR(__xludf.DUMMYFUNCTION("""COMPUTED_VALUE"""),"No task description")</f>
        <v/>
      </c>
      <c r="E209" s="7">
        <f>IFERROR(__xludf.DUMMYFUNCTION("""COMPUTED_VALUE"""),"video/mp4 – A video file containing moving images and possibly audio, suitable for playback on most modern devices and platforms.")</f>
        <v/>
      </c>
      <c r="F209" s="7" t="inlineStr">
        <is>
          <t>No task descriptions; embedded artifacts include MP3 audio, a balance lab, and an MP4 video.</t>
        </is>
      </c>
      <c r="G209" s="8" t="inlineStr">
        <is>
          <t>1</t>
        </is>
      </c>
      <c r="H209" s="8" t="inlineStr">
        <is>
          <t>0</t>
        </is>
      </c>
      <c r="I209" s="8" t="inlineStr">
        <is>
          <t>0</t>
        </is>
      </c>
      <c r="J209" s="8" t="inlineStr">
        <is>
          <t>0</t>
        </is>
      </c>
      <c r="K209" s="9" t="inlineStr">
        <is>
          <t>0</t>
        </is>
      </c>
      <c r="L209" s="9" t="inlineStr">
        <is>
          <t>0</t>
        </is>
      </c>
      <c r="M209" s="9" t="inlineStr">
        <is>
          <t>0</t>
        </is>
      </c>
      <c r="N209" s="9" t="inlineStr">
        <is>
          <t>0</t>
        </is>
      </c>
      <c r="O209" s="10" t="inlineStr">
        <is>
          <t>0</t>
        </is>
      </c>
      <c r="P209" s="10" t="inlineStr">
        <is>
          <t>0</t>
        </is>
      </c>
      <c r="Q209" s="10" t="inlineStr">
        <is>
          <t>0</t>
        </is>
      </c>
      <c r="R209" s="10" t="inlineStr">
        <is>
          <t>0</t>
        </is>
      </c>
      <c r="S209" s="10" t="inlineStr">
        <is>
          <t>0</t>
        </is>
      </c>
    </row>
    <row r="210" ht="25" customHeight="1">
      <c r="A210" s="6">
        <f>IFERROR(__xludf.DUMMYFUNCTION("""COMPUTED_VALUE"""),"EPFL: Ecole Polytechnique de Lausanne")</f>
        <v/>
      </c>
      <c r="B210" s="6">
        <f>IFERROR(__xludf.DUMMYFUNCTION("""COMPUTED_VALUE"""),"Space")</f>
        <v/>
      </c>
      <c r="C210" s="6">
        <f>IFERROR(__xludf.DUMMYFUNCTION("""COMPUTED_VALUE"""),"App")</f>
        <v/>
      </c>
      <c r="D210" s="7">
        <f>IFERROR(__xludf.DUMMYFUNCTION("""COMPUTED_VALUE"""),"No task description")</f>
        <v/>
      </c>
      <c r="E210" s="7">
        <f>IFERROR(__xludf.DUMMYFUNCTION("""COMPUTED_VALUE"""),"No artifact embedded")</f>
        <v/>
      </c>
      <c r="F210" s="7" t="inlineStr">
        <is>
          <t>No task descriptions provided; artifacts include a balance lab, a video file, and no artifact in the third item.</t>
        </is>
      </c>
      <c r="G210" s="8" t="inlineStr">
        <is>
          <t>1</t>
        </is>
      </c>
      <c r="H210" s="8" t="inlineStr">
        <is>
          <t>0</t>
        </is>
      </c>
      <c r="I210" s="8" t="inlineStr">
        <is>
          <t>0</t>
        </is>
      </c>
      <c r="J210" s="8" t="inlineStr">
        <is>
          <t>0</t>
        </is>
      </c>
      <c r="K210" s="9" t="inlineStr">
        <is>
          <t>0</t>
        </is>
      </c>
      <c r="L210" s="9" t="inlineStr">
        <is>
          <t>0</t>
        </is>
      </c>
      <c r="M210" s="9" t="inlineStr">
        <is>
          <t>0</t>
        </is>
      </c>
      <c r="N210" s="9" t="inlineStr">
        <is>
          <t>0</t>
        </is>
      </c>
      <c r="O210" s="10" t="inlineStr">
        <is>
          <t>0</t>
        </is>
      </c>
      <c r="P210" s="10" t="inlineStr">
        <is>
          <t>0</t>
        </is>
      </c>
      <c r="Q210" s="10" t="inlineStr">
        <is>
          <t>0</t>
        </is>
      </c>
      <c r="R210" s="10" t="inlineStr">
        <is>
          <t>0</t>
        </is>
      </c>
      <c r="S210" s="10" t="inlineStr">
        <is>
          <t>0</t>
        </is>
      </c>
    </row>
    <row r="211" ht="409.5" customHeight="1">
      <c r="A211" s="6">
        <f>IFERROR(__xludf.DUMMYFUNCTION("""COMPUTED_VALUE"""),"EPFL: Ecole Polytechnique de Lausanne")</f>
        <v/>
      </c>
      <c r="B211" s="6">
        <f>IFERROR(__xludf.DUMMYFUNCTION("""COMPUTED_VALUE"""),"Application")</f>
        <v/>
      </c>
      <c r="C211" s="6">
        <f>IFERROR(__xludf.DUMMYFUNCTION("""COMPUTED_VALUE"""),"Calculator")</f>
        <v/>
      </c>
      <c r="D211" s="7">
        <f>IFERROR(__xludf.DUMMYFUNCTION("""COMPUTED_VALUE"""),"No task description")</f>
        <v/>
      </c>
      <c r="E211" s="7">
        <f>IFERROR(__xludf.DUMMYFUNCTION("""COMPUTED_VALUE"""),"Golabz app/lab: `&lt;p&gt;&lt;span&gt;&lt;span&gt;A normal calculator, which is showing the entered formula and its result, instead of only showing the last value.&lt;/span&gt;&lt;/span&gt;&lt;/p&gt;\r\n\r\n&lt;p&gt;&lt;span&gt;&lt;span&gt;It currently support two modes, standard and advanced. The standard m"&amp;"ode is aimed at primary education; it only has the basic operations (addition, subtraction, multiplication and division). The advanced mode adds square root, exponentiation and nesting.&lt;/span&gt;&lt;/span&gt;&lt;/p&gt;\r\n\r\n&lt;p&gt;If you would like to learn how to add the"&amp;" Calculator (and other apps) as general tools throughout the inquiry Space&amp;nbsp;phases, visit the Support Page's section on &lt;a href=""https://support.golabz.eu/videos?category=5""&gt;How to create an ILS&lt;/a&gt;, or use this &lt;a href=""https://support.golabz.eu/v"&amp;"ideo/add-a-general-tool-in-an-ils""&gt;direct link&lt;/a&gt;.&lt;/p&gt;\r\n`")</f>
        <v/>
      </c>
      <c r="F211" s="7" t="inlineStr">
        <is>
          <t>No task descriptions provided. Embedded artifacts include a video file and a calculator app with standard and advanced modes.</t>
        </is>
      </c>
      <c r="G211" s="8" t="inlineStr">
        <is>
          <t>1</t>
        </is>
      </c>
      <c r="H211" s="8" t="inlineStr">
        <is>
          <t>1</t>
        </is>
      </c>
      <c r="I211" s="8" t="inlineStr">
        <is>
          <t>0</t>
        </is>
      </c>
      <c r="J211" s="8" t="inlineStr">
        <is>
          <t>1</t>
        </is>
      </c>
      <c r="K211" s="9" t="inlineStr">
        <is>
          <t>0</t>
        </is>
      </c>
      <c r="L211" s="9" t="inlineStr">
        <is>
          <t>0</t>
        </is>
      </c>
      <c r="M211" s="9" t="inlineStr">
        <is>
          <t>0</t>
        </is>
      </c>
      <c r="N211" s="9" t="inlineStr">
        <is>
          <t>0</t>
        </is>
      </c>
      <c r="O211" s="10" t="inlineStr">
        <is>
          <t>0</t>
        </is>
      </c>
      <c r="P211" s="10" t="inlineStr">
        <is>
          <t>0</t>
        </is>
      </c>
      <c r="Q211" s="10" t="inlineStr">
        <is>
          <t>0</t>
        </is>
      </c>
      <c r="R211" s="10" t="inlineStr">
        <is>
          <t>0</t>
        </is>
      </c>
      <c r="S211" s="10" t="inlineStr">
        <is>
          <t>0</t>
        </is>
      </c>
    </row>
    <row r="212" ht="169" customHeight="1">
      <c r="A212" s="6">
        <f>IFERROR(__xludf.DUMMYFUNCTION("""COMPUTED_VALUE"""),"EPFL: Ecole Polytechnique de Lausanne")</f>
        <v/>
      </c>
      <c r="B212" s="6">
        <f>IFERROR(__xludf.DUMMYFUNCTION("""COMPUTED_VALUE"""),"Application")</f>
        <v/>
      </c>
      <c r="C212" s="6">
        <f>IFERROR(__xludf.DUMMYFUNCTION("""COMPUTED_VALUE"""),"sketch")</f>
        <v/>
      </c>
      <c r="D212" s="7">
        <f>IFERROR(__xludf.DUMMYFUNCTION("""COMPUTED_VALUE"""),"No task description")</f>
        <v/>
      </c>
      <c r="E212" s="7">
        <f>IFERROR(__xludf.DUMMYFUNCTION("""COMPUTED_VALUE"""),"Golabz app/lab: ""&lt;p&gt;A drawing-based learning environment for the gears domain. The primary aims of the lab are: Let students to explore the ways in which gears and chains transmit motion.&lt;/p&gt;\r\n""")</f>
        <v/>
      </c>
      <c r="F212" s="7" t="inlineStr">
        <is>
          <t>No task descriptions, but embedded artifacts include a calculator app and a gear-themed drawing lab.</t>
        </is>
      </c>
      <c r="G212" s="8" t="inlineStr">
        <is>
          <t>0</t>
        </is>
      </c>
      <c r="H212" s="8" t="inlineStr">
        <is>
          <t>1</t>
        </is>
      </c>
      <c r="I212" s="8" t="inlineStr">
        <is>
          <t>1</t>
        </is>
      </c>
      <c r="J212" s="8" t="inlineStr">
        <is>
          <t>1</t>
        </is>
      </c>
      <c r="K212" s="9" t="inlineStr">
        <is>
          <t>1</t>
        </is>
      </c>
      <c r="L212" s="9" t="inlineStr">
        <is>
          <t>0</t>
        </is>
      </c>
      <c r="M212" s="9" t="inlineStr">
        <is>
          <t>0</t>
        </is>
      </c>
      <c r="N212" s="9" t="inlineStr">
        <is>
          <t>0</t>
        </is>
      </c>
      <c r="O212" s="10" t="inlineStr">
        <is>
          <t>1</t>
        </is>
      </c>
      <c r="P212" s="10" t="inlineStr">
        <is>
          <t>0</t>
        </is>
      </c>
      <c r="Q212" s="10" t="inlineStr">
        <is>
          <t>1</t>
        </is>
      </c>
      <c r="R212" s="10" t="inlineStr">
        <is>
          <t>0</t>
        </is>
      </c>
      <c r="S212" s="10" t="inlineStr">
        <is>
          <t>0</t>
        </is>
      </c>
    </row>
    <row r="213" ht="157" customHeight="1">
      <c r="A213" s="6">
        <f>IFERROR(__xludf.DUMMYFUNCTION("""COMPUTED_VALUE"""),"EPFL: Ecole Polytechnique de Lausanne")</f>
        <v/>
      </c>
      <c r="B213" s="6">
        <f>IFERROR(__xludf.DUMMYFUNCTION("""COMPUTED_VALUE"""),"Application")</f>
        <v/>
      </c>
      <c r="C213" s="6">
        <f>IFERROR(__xludf.DUMMYFUNCTION("""COMPUTED_VALUE"""),"File Drop")</f>
        <v/>
      </c>
      <c r="D213" s="7">
        <f>IFERROR(__xludf.DUMMYFUNCTION("""COMPUTED_VALUE"""),"No task description")</f>
        <v/>
      </c>
      <c r="E213" s="7">
        <f>IFERROR(__xludf.DUMMYFUNCTION("""COMPUTED_VALUE"""),"Golabz app/lab: ""&lt;p&gt;This app allows students to upload files, e.g., assignment and reports, to the Inquiry learning Space. The app also allows teachers to download the uploaded files.&lt;/p&gt;\r\n""")</f>
        <v/>
      </c>
      <c r="F213" s="7" t="inlineStr">
        <is>
          <t>No task descriptions are provided; embedded artifacts include calculator, gears lab, and file uploader apps.</t>
        </is>
      </c>
      <c r="G213" s="8" t="inlineStr">
        <is>
          <t>0</t>
        </is>
      </c>
      <c r="H213" s="8" t="inlineStr">
        <is>
          <t>0</t>
        </is>
      </c>
      <c r="I213" s="8" t="inlineStr">
        <is>
          <t>0</t>
        </is>
      </c>
      <c r="J213" s="8" t="inlineStr">
        <is>
          <t>0</t>
        </is>
      </c>
      <c r="K213" s="9" t="inlineStr">
        <is>
          <t>0</t>
        </is>
      </c>
      <c r="L213" s="9" t="inlineStr">
        <is>
          <t>1</t>
        </is>
      </c>
      <c r="M213" s="9" t="inlineStr">
        <is>
          <t>0</t>
        </is>
      </c>
      <c r="N213" s="9" t="inlineStr">
        <is>
          <t>0</t>
        </is>
      </c>
      <c r="O213" s="10" t="inlineStr">
        <is>
          <t>0</t>
        </is>
      </c>
      <c r="P213" s="10" t="inlineStr">
        <is>
          <t>0</t>
        </is>
      </c>
      <c r="Q213" s="10" t="inlineStr">
        <is>
          <t>0</t>
        </is>
      </c>
      <c r="R213" s="10" t="inlineStr">
        <is>
          <t>0</t>
        </is>
      </c>
      <c r="S213" s="10" t="inlineStr">
        <is>
          <t>0</t>
        </is>
      </c>
    </row>
    <row r="214" ht="409.5" customHeight="1">
      <c r="A214" s="6">
        <f>IFERROR(__xludf.DUMMYFUNCTION("""COMPUTED_VALUE"""),"EPFL: Ecole Polytechnique de Lausanne")</f>
        <v/>
      </c>
      <c r="B214" s="6">
        <f>IFERROR(__xludf.DUMMYFUNCTION("""COMPUTED_VALUE"""),"Application")</f>
        <v/>
      </c>
      <c r="C214" s="6">
        <f>IFERROR(__xludf.DUMMYFUNCTION("""COMPUTED_VALUE"""),"SpeakUp")</f>
        <v/>
      </c>
      <c r="D214" s="7">
        <f>IFERROR(__xludf.DUMMYFUNCTION("""COMPUTED_VALUE"""),"No task description")</f>
        <v/>
      </c>
      <c r="E21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14" s="7" t="inlineStr">
        <is>
          <t>No task descriptions provided; embedded artifacts include Golabz labs for gears, file uploads, and social discussions.</t>
        </is>
      </c>
      <c r="G214" s="8" t="inlineStr">
        <is>
          <t>0</t>
        </is>
      </c>
      <c r="H214" s="8" t="inlineStr">
        <is>
          <t>1</t>
        </is>
      </c>
      <c r="I214" s="8" t="inlineStr">
        <is>
          <t>1</t>
        </is>
      </c>
      <c r="J214" s="8" t="inlineStr">
        <is>
          <t>1</t>
        </is>
      </c>
      <c r="K214" s="9" t="inlineStr">
        <is>
          <t>0</t>
        </is>
      </c>
      <c r="L214" s="9" t="inlineStr">
        <is>
          <t>0</t>
        </is>
      </c>
      <c r="M214" s="9" t="inlineStr">
        <is>
          <t>1</t>
        </is>
      </c>
      <c r="N214" s="9" t="inlineStr">
        <is>
          <t>1</t>
        </is>
      </c>
      <c r="O214" s="10" t="inlineStr">
        <is>
          <t>0</t>
        </is>
      </c>
      <c r="P214" s="10" t="inlineStr">
        <is>
          <t>0</t>
        </is>
      </c>
      <c r="Q214" s="10" t="inlineStr">
        <is>
          <t>0</t>
        </is>
      </c>
      <c r="R214" s="10" t="inlineStr">
        <is>
          <t>0</t>
        </is>
      </c>
      <c r="S214" s="10" t="inlineStr">
        <is>
          <t>1</t>
        </is>
      </c>
    </row>
    <row r="215" ht="25" customHeight="1">
      <c r="A215" s="6">
        <f>IFERROR(__xludf.DUMMYFUNCTION("""COMPUTED_VALUE"""),"EPFL: Ecole Polytechnique de Lausanne")</f>
        <v/>
      </c>
      <c r="B215" s="6">
        <f>IFERROR(__xludf.DUMMYFUNCTION("""COMPUTED_VALUE"""),"Application")</f>
        <v/>
      </c>
      <c r="C215" s="6">
        <f>IFERROR(__xludf.DUMMYFUNCTION("""COMPUTED_VALUE"""),"SpeakUp")</f>
        <v/>
      </c>
      <c r="D215" s="7">
        <f>IFERROR(__xludf.DUMMYFUNCTION("""COMPUTED_VALUE"""),"No task description")</f>
        <v/>
      </c>
      <c r="E215" s="7">
        <f>IFERROR(__xludf.DUMMYFUNCTION("""COMPUTED_VALUE"""),"No artifact embedded")</f>
        <v/>
      </c>
      <c r="F215" s="7" t="inlineStr">
        <is>
          <t>No task descriptions are provided. Embedded artifacts include Golabz apps: file uploader and SpeakUp for social discussions and polls.</t>
        </is>
      </c>
      <c r="G215" s="8" t="inlineStr">
        <is>
          <t>1</t>
        </is>
      </c>
      <c r="H215" s="8" t="inlineStr">
        <is>
          <t>0</t>
        </is>
      </c>
      <c r="I215" s="8" t="inlineStr">
        <is>
          <t>0</t>
        </is>
      </c>
      <c r="J215" s="8" t="inlineStr">
        <is>
          <t>0</t>
        </is>
      </c>
      <c r="K215" s="9" t="inlineStr">
        <is>
          <t>0</t>
        </is>
      </c>
      <c r="L215" s="9" t="inlineStr">
        <is>
          <t>0</t>
        </is>
      </c>
      <c r="M215" s="9" t="inlineStr">
        <is>
          <t>0</t>
        </is>
      </c>
      <c r="N215" s="9" t="inlineStr">
        <is>
          <t>0</t>
        </is>
      </c>
      <c r="O215" s="10" t="inlineStr">
        <is>
          <t>0</t>
        </is>
      </c>
      <c r="P215" s="10" t="inlineStr">
        <is>
          <t>0</t>
        </is>
      </c>
      <c r="Q215" s="10" t="inlineStr">
        <is>
          <t>0</t>
        </is>
      </c>
      <c r="R215" s="10" t="inlineStr">
        <is>
          <t>0</t>
        </is>
      </c>
      <c r="S215" s="10" t="inlineStr">
        <is>
          <t>0</t>
        </is>
      </c>
    </row>
    <row r="216" ht="318" customHeight="1">
      <c r="A216" s="6">
        <f>IFERROR(__xludf.DUMMYFUNCTION("""COMPUTED_VALUE"""),"EPFL: Ecole Polytechnique de Lausanne")</f>
        <v/>
      </c>
      <c r="B216" s="6">
        <f>IFERROR(__xludf.DUMMYFUNCTION("""COMPUTED_VALUE"""),"Resource")</f>
        <v/>
      </c>
      <c r="C216" s="6">
        <f>IFERROR(__xludf.DUMMYFUNCTION("""COMPUTED_VALUE"""),"Accueil")</f>
        <v/>
      </c>
      <c r="D216" s="7">
        <f>IFERROR(__xludf.DUMMYFUNCTION("""COMPUTED_VALUE"""),"L'Ecole polytechnique fédérale de Lausanne (EPFL) est un institut de recherche et une université à Lausanne, en Suisse, spécialisé dans les sciences naturelles et l'ingénierie. C'est l'une des deux Ecoles polytechniques fédérales suisses et elle a trois m"&amp;"issions principales : l'enseignement, la recherche et le transfert de technologie au plus haut niveau international.")</f>
        <v/>
      </c>
      <c r="E216" s="7">
        <f>IFERROR(__xludf.DUMMYFUNCTION("""COMPUTED_VALUE"""),"No artifact embedded")</f>
        <v/>
      </c>
      <c r="F216" s="7" t="inlineStr">
        <is>
          <t>No task descriptions provided. Embedded artifacts include SpeakUp app description in Item1 and none in Items 2 and 3.</t>
        </is>
      </c>
      <c r="G216" s="8" t="inlineStr">
        <is>
          <t>1</t>
        </is>
      </c>
      <c r="H216" s="8" t="inlineStr">
        <is>
          <t>0</t>
        </is>
      </c>
      <c r="I216" s="8" t="inlineStr">
        <is>
          <t>0</t>
        </is>
      </c>
      <c r="J216" s="8" t="inlineStr">
        <is>
          <t>0</t>
        </is>
      </c>
      <c r="K216" s="9" t="inlineStr">
        <is>
          <t>0</t>
        </is>
      </c>
      <c r="L216" s="9" t="inlineStr">
        <is>
          <t>0</t>
        </is>
      </c>
      <c r="M216" s="9" t="inlineStr">
        <is>
          <t>0</t>
        </is>
      </c>
      <c r="N216" s="9" t="inlineStr">
        <is>
          <t>0</t>
        </is>
      </c>
      <c r="O216" s="10" t="inlineStr">
        <is>
          <t>0</t>
        </is>
      </c>
      <c r="P216" s="10" t="inlineStr">
        <is>
          <t>0</t>
        </is>
      </c>
      <c r="Q216" s="10" t="inlineStr">
        <is>
          <t>0</t>
        </is>
      </c>
      <c r="R216" s="10" t="inlineStr">
        <is>
          <t>0</t>
        </is>
      </c>
      <c r="S216" s="10" t="inlineStr">
        <is>
          <t>0</t>
        </is>
      </c>
    </row>
    <row r="217" ht="25" customHeight="1">
      <c r="A217" s="6">
        <f>IFERROR(__xludf.DUMMYFUNCTION("""COMPUTED_VALUE"""),"EPFL: Ecole Polytechnique de Lausanne")</f>
        <v/>
      </c>
      <c r="B217" s="6">
        <f>IFERROR(__xludf.DUMMYFUNCTION("""COMPUTED_VALUE"""),"Space")</f>
        <v/>
      </c>
      <c r="C217" s="6">
        <f>IFERROR(__xludf.DUMMYFUNCTION("""COMPUTED_VALUE"""),"objects")</f>
        <v/>
      </c>
      <c r="D217" s="7">
        <f>IFERROR(__xludf.DUMMYFUNCTION("""COMPUTED_VALUE"""),"No task description")</f>
        <v/>
      </c>
      <c r="E217" s="7">
        <f>IFERROR(__xludf.DUMMYFUNCTION("""COMPUTED_VALUE"""),"No artifact embedded")</f>
        <v/>
      </c>
      <c r="F217" s="7" t="inlineStr">
        <is>
          <t>No task descriptions or artifacts are provided for Items 1 and 3. Item 2 describes EPFL, a Swiss university, with no embedded artifact.</t>
        </is>
      </c>
      <c r="G217" s="8" t="inlineStr">
        <is>
          <t>1</t>
        </is>
      </c>
      <c r="H217" s="8" t="inlineStr">
        <is>
          <t>0</t>
        </is>
      </c>
      <c r="I217" s="8" t="inlineStr">
        <is>
          <t>0</t>
        </is>
      </c>
      <c r="J217" s="8" t="inlineStr">
        <is>
          <t>0</t>
        </is>
      </c>
      <c r="K217" s="9" t="inlineStr">
        <is>
          <t>0</t>
        </is>
      </c>
      <c r="L217" s="9" t="inlineStr">
        <is>
          <t>0</t>
        </is>
      </c>
      <c r="M217" s="9" t="inlineStr">
        <is>
          <t>0</t>
        </is>
      </c>
      <c r="N217" s="9" t="inlineStr">
        <is>
          <t>0</t>
        </is>
      </c>
      <c r="O217" s="10" t="inlineStr">
        <is>
          <t>0</t>
        </is>
      </c>
      <c r="P217" s="10" t="inlineStr">
        <is>
          <t>0</t>
        </is>
      </c>
      <c r="Q217" s="10" t="inlineStr">
        <is>
          <t>0</t>
        </is>
      </c>
      <c r="R217" s="10" t="inlineStr">
        <is>
          <t>0</t>
        </is>
      </c>
      <c r="S217" s="10" t="inlineStr">
        <is>
          <t>0</t>
        </is>
      </c>
    </row>
    <row r="218" ht="85" customHeight="1">
      <c r="A218" s="6">
        <f>IFERROR(__xludf.DUMMYFUNCTION("""COMPUTED_VALUE"""),"EPFL: Ecole Polytechnique de Lausanne")</f>
        <v/>
      </c>
      <c r="B218" s="6">
        <f>IFERROR(__xludf.DUMMYFUNCTION("""COMPUTED_VALUE"""),"Resource")</f>
        <v/>
      </c>
      <c r="C218" s="6">
        <f>IFERROR(__xludf.DUMMYFUNCTION("""COMPUTED_VALUE"""),"Weiterleitungshinweis")</f>
        <v/>
      </c>
      <c r="D218" s="7">
        <f>IFERROR(__xludf.DUMMYFUNCTION("""COMPUTED_VALUE"""),"No task description")</f>
        <v/>
      </c>
      <c r="E218" s="7">
        <f>IFERROR(__xludf.DUMMYFUNCTION("""COMPUTED_VALUE"""),"google.com: A search engine that also provides various services, including image searches.")</f>
        <v/>
      </c>
      <c r="F218" s="7" t="inlineStr">
        <is>
          <t>Students received no instructions; artifacts include a Swiss university description and a Google search engine description.</t>
        </is>
      </c>
      <c r="G218" s="8" t="inlineStr">
        <is>
          <t>1</t>
        </is>
      </c>
      <c r="H218" s="8" t="inlineStr">
        <is>
          <t>0</t>
        </is>
      </c>
      <c r="I218" s="8" t="inlineStr">
        <is>
          <t>0</t>
        </is>
      </c>
      <c r="J218" s="8" t="inlineStr">
        <is>
          <t>0</t>
        </is>
      </c>
      <c r="K218" s="9" t="inlineStr">
        <is>
          <t>0</t>
        </is>
      </c>
      <c r="L218" s="9" t="inlineStr">
        <is>
          <t>0</t>
        </is>
      </c>
      <c r="M218" s="9" t="inlineStr">
        <is>
          <t>0</t>
        </is>
      </c>
      <c r="N218" s="9" t="inlineStr">
        <is>
          <t>0</t>
        </is>
      </c>
      <c r="O218" s="10" t="inlineStr">
        <is>
          <t>0</t>
        </is>
      </c>
      <c r="P218" s="10" t="inlineStr">
        <is>
          <t>0</t>
        </is>
      </c>
      <c r="Q218" s="10" t="inlineStr">
        <is>
          <t>0</t>
        </is>
      </c>
      <c r="R218" s="10" t="inlineStr">
        <is>
          <t>0</t>
        </is>
      </c>
      <c r="S218" s="10" t="inlineStr">
        <is>
          <t>0</t>
        </is>
      </c>
    </row>
    <row r="219" ht="109" customHeight="1">
      <c r="A219" s="6">
        <f>IFERROR(__xludf.DUMMYFUNCTION("""COMPUTED_VALUE"""),"EPFL: Ecole Polytechnique de Lausanne")</f>
        <v/>
      </c>
      <c r="B219" s="6">
        <f>IFERROR(__xludf.DUMMYFUNCTION("""COMPUTED_VALUE"""),"Resource")</f>
        <v/>
      </c>
      <c r="C219" s="6">
        <f>IFERROR(__xludf.DUMMYFUNCTION("""COMPUTED_VALUE"""),"wfd.html")</f>
        <v/>
      </c>
      <c r="D219" s="7">
        <f>IFERROR(__xludf.DUMMYFUNCTION("""COMPUTED_VALUE"""),"&lt;h1&gt;Hello !!!!&lt;/h1&gt;  &lt;div style=""background:red""&gt;&lt;/div&gt;&lt;h1&gt;Hello !!!!&lt;/h1&gt;  &lt;div style=""background:red""&gt;wef&lt;/div&gt;")</f>
        <v/>
      </c>
      <c r="E219" s="7">
        <f>IFERROR(__xludf.DUMMYFUNCTION("""COMPUTED_VALUE"""),"text/html – A webpage or web document that contains structured text, images, and links, designed for display in a web browser.")</f>
        <v/>
      </c>
      <c r="F219" s="7" t="inlineStr">
        <is>
          <t>Students received no task descriptions, but artifacts included a search engine and a webpage with structured text and images.</t>
        </is>
      </c>
      <c r="G219" s="8" t="inlineStr">
        <is>
          <t>1</t>
        </is>
      </c>
      <c r="H219" s="8" t="inlineStr">
        <is>
          <t>0</t>
        </is>
      </c>
      <c r="I219" s="8" t="inlineStr">
        <is>
          <t>0</t>
        </is>
      </c>
      <c r="J219" s="8" t="inlineStr">
        <is>
          <t>0</t>
        </is>
      </c>
      <c r="K219" s="9" t="inlineStr">
        <is>
          <t>0</t>
        </is>
      </c>
      <c r="L219" s="9" t="inlineStr">
        <is>
          <t>0</t>
        </is>
      </c>
      <c r="M219" s="9" t="inlineStr">
        <is>
          <t>0</t>
        </is>
      </c>
      <c r="N219" s="9" t="inlineStr">
        <is>
          <t>0</t>
        </is>
      </c>
      <c r="O219" s="10" t="inlineStr">
        <is>
          <t>0</t>
        </is>
      </c>
      <c r="P219" s="10" t="inlineStr">
        <is>
          <t>0</t>
        </is>
      </c>
      <c r="Q219" s="10" t="inlineStr">
        <is>
          <t>0</t>
        </is>
      </c>
      <c r="R219" s="10" t="inlineStr">
        <is>
          <t>0</t>
        </is>
      </c>
      <c r="S219" s="10" t="inlineStr">
        <is>
          <t>0</t>
        </is>
      </c>
    </row>
    <row r="220" ht="121" customHeight="1">
      <c r="A220" s="6">
        <f>IFERROR(__xludf.DUMMYFUNCTION("""COMPUTED_VALUE"""),"EPFL: Ecole Polytechnique de Lausanne")</f>
        <v/>
      </c>
      <c r="B220" s="6">
        <f>IFERROR(__xludf.DUMMYFUNCTION("""COMPUTED_VALUE"""),"Resource")</f>
        <v/>
      </c>
      <c r="C220" s="6">
        <f>IFERROR(__xludf.DUMMYFUNCTION("""COMPUTED_VALUE"""),"New Link")</f>
        <v/>
      </c>
      <c r="D220" s="7">
        <f>IFERROR(__xludf.DUMMYFUNCTION("""COMPUTED_VALUE"""),"No task description")</f>
        <v/>
      </c>
      <c r="E220" s="7">
        <f>IFERROR(__xludf.DUMMYFUNCTION("""COMPUTED_VALUE"""),"medium.com: A platform for writers to share articles and stories, often accompanied by images hosted on subdomains like cdn-images-1.medium.com.")</f>
        <v/>
      </c>
      <c r="F220" s="7" t="inlineStr">
        <is>
          <t>Students received incomplete tasks with embedded artifacts describing websites: google.com, text/html webpages, and medium.com.</t>
        </is>
      </c>
      <c r="G220" s="8" t="inlineStr">
        <is>
          <t>1</t>
        </is>
      </c>
      <c r="H220" s="8" t="inlineStr">
        <is>
          <t>0</t>
        </is>
      </c>
      <c r="I220" s="8" t="inlineStr">
        <is>
          <t>0</t>
        </is>
      </c>
      <c r="J220" s="8" t="inlineStr">
        <is>
          <t>0</t>
        </is>
      </c>
      <c r="K220" s="9" t="inlineStr">
        <is>
          <t>0</t>
        </is>
      </c>
      <c r="L220" s="9" t="inlineStr">
        <is>
          <t>0</t>
        </is>
      </c>
      <c r="M220" s="9" t="inlineStr">
        <is>
          <t>0</t>
        </is>
      </c>
      <c r="N220" s="9" t="inlineStr">
        <is>
          <t>0</t>
        </is>
      </c>
      <c r="O220" s="10" t="inlineStr">
        <is>
          <t>0</t>
        </is>
      </c>
      <c r="P220" s="10" t="inlineStr">
        <is>
          <t>0</t>
        </is>
      </c>
      <c r="Q220" s="10" t="inlineStr">
        <is>
          <t>0</t>
        </is>
      </c>
      <c r="R220" s="10" t="inlineStr">
        <is>
          <t>0</t>
        </is>
      </c>
      <c r="S220" s="10" t="inlineStr">
        <is>
          <t>0</t>
        </is>
      </c>
    </row>
    <row r="221" ht="409.5" customHeight="1">
      <c r="A221" s="6">
        <f>IFERROR(__xludf.DUMMYFUNCTION("""COMPUTED_VALUE"""),"EPFL: Ecole Polytechnique de Lausanne")</f>
        <v/>
      </c>
      <c r="B221" s="6">
        <f>IFERROR(__xludf.DUMMYFUNCTION("""COMPUTED_VALUE"""),"Resource")</f>
        <v/>
      </c>
      <c r="C221" s="6">
        <f>IFERROR(__xludf.DUMMYFUNCTION("""COMPUTED_VALUE"""),"werfd.txt")</f>
        <v/>
      </c>
      <c r="D221" s="7">
        <f>IFERROR(__xludf.DUMMYFUNCTION("""COMPUTED_VALUE"""),"Homepage Hacker Noon AMA W/ BLOCKSTACK CEOAILATESTTOP2.0CRYPTODEVJOIN COMMUNITY A guide to giving your cats their annual performance review Go to the profile of Thryn Thryn Dec 19, 2016  My cat Linus, who is kind of a jerk but I just love his fuzzy little"&amp;" face. As the year draws to a close, it’s time to sit down with your cats and give them feedback on how they’ve been performing. To help you prepare for the conversation, I’ve written a few guidelines from my own experiences.  Evaluate against a standard "&amp;"When thinking about how your cat is meeting expectations, ensure that you are evaluating against a standard. It should take into account the cat’s level which is ultimately based on age and breed. A level 2 cat such as a 6 month old Persian kitten will no"&amp;"t have the same performance expectations as a level 5 cat like an 8-year-old gray tabby. Ideally you’ve discussed these expectations with your cat at length. They should be reasonable and achievable while still providing enough of a challenge to allow for"&amp;" personal growth. Some sample performance goals can include: number of hours of expected sleep during the day (aim for 16–18); time spent playing in boxes; level of cuteness on a scale from 1–10 (this should be maintained with self-grooming and a general "&amp;"posture of perky ears and wide eyes).  Focus on impact In order to help your cat grow, your feedback must be specific and actionable. By using the situation-behavior-impact (SBI) model, your cat will be able to understand the rationale behind your feedbac"&amp;"k. An example conversation might go: “Skittles, when I was sleeping and you jumped on the bed and meowed in my face at 4am, it woke me up and that made me feel angry and tired all day. One way you can have more positive impact is to STFU and sleep until a"&amp;"t least 8am.”  How to frame a needs-improvement discussion This can be challenging. Your cat might get defensive, or worse, ignore you entirely and pretend that she doesn’t understand you. Don’t be fooled. She understands everything you say. When your cat"&amp;" is not meeting expectations, you’ll need to be prepared with a performance improvement plan or PIP. This PIP should include specific steps your cat will need to take in order to meet the expectations of her role and level. You can tell her, for example, "&amp;"that the number of times she jumps on the counter and gets her poo-poo paws all over your food prep areas is unacceptable and must be reduced by at least 80% over the next quarter.  It may be necessary to remind her just what a lucky SOB she is to have fo"&amp;"od and a warm place to sleep on these cold winter nights. Help your cat understand the consequences if performance does not improve. It may be necessary to remind her just what a lucky SOB she is to have food and a warm place to sleep on these cold winter"&amp;" nights. As your cat’s manager, you should also be aware of your own role in her performance. Are you present enough? Does she get adequate space to grow, play? Have you provided the necessary toys and furniture to scratch? It’s unfair to punish your cats"&amp;" for scratching the couch and destroying your nice things if you haven’t given them a proper scratching post.  Cupcake Schoolbus tries to demonstrate impact by destroying my f-ing blinds. When to give team feedback vs individual feedback You should be hav"&amp;"ing regular individual 1:1s with your cats. Any negative feedback should be given privately so as not to embarrass or shame one cat in front of the group. However, some feedback can be given in a group setting when it benefits the whole team. For example,"&amp;" you can share with all of your cats how much you appreciate their adorable fuzzy faces and how cute they are when they make biscuits on your lap before curling up for a good snuggle.  Skittles, I loved that time you tried to jump on the bookshelf but com"&amp;"pletely missed and fell. I laughed for days. Don’t leave out the positive You might be more concerned with your cat’s negative behaviors but it’s important to show appreciation where it is due. Again, follow the SBI model: “Skittles, I loved that time you"&amp;" tried to jump on the bookshelf but completely missed and fell. I laughed for days. The video got me over 50 likes on Instagram.” Remember it’s your job to support your cats as they grow, encourage them to lean in, and work hard at being cats.  Follow Lin"&amp;"us and Cupcake Schoolbus on Instagram @linus_hates_cupcake  CatsLeadershipManagementSatireWork Go to the profile of Thryn Thryn Medium member since Jul 2018 Design Manager at Google  Hacker Noon Hacker Noon how hackers start their afternoons.  Hacker Noon"&amp;" Never miss a story from Hacker Noon, when you sign up for Medium. Learn more")</f>
        <v/>
      </c>
      <c r="E221" s="7">
        <f>IFERROR(__xludf.DUMMYFUNCTION("""COMPUTED_VALUE"""),"text/plain – A simple text file containing unformatted text, often used for notes, logs, or source code.")</f>
        <v/>
      </c>
      <c r="F221" s="7" t="inlineStr">
        <is>
          <t>Students are given tasks with embedded artifacts, including webpages and articles, to guide them in evaluating cat performance reviews using the SBI model.</t>
        </is>
      </c>
      <c r="G221" s="8" t="inlineStr">
        <is>
          <t>0</t>
        </is>
      </c>
      <c r="H221" s="8" t="inlineStr">
        <is>
          <t>0</t>
        </is>
      </c>
      <c r="I221" s="8" t="inlineStr">
        <is>
          <t>0</t>
        </is>
      </c>
      <c r="J221" s="8" t="inlineStr">
        <is>
          <t>0</t>
        </is>
      </c>
      <c r="K221" s="9" t="inlineStr">
        <is>
          <t>0</t>
        </is>
      </c>
      <c r="L221" s="9" t="inlineStr">
        <is>
          <t>0</t>
        </is>
      </c>
      <c r="M221" s="9" t="inlineStr">
        <is>
          <t>0</t>
        </is>
      </c>
      <c r="N221" s="9" t="inlineStr">
        <is>
          <t>0</t>
        </is>
      </c>
      <c r="O221" s="10" t="inlineStr">
        <is>
          <t>0</t>
        </is>
      </c>
      <c r="P221" s="10" t="inlineStr">
        <is>
          <t>0</t>
        </is>
      </c>
      <c r="Q221" s="10" t="inlineStr">
        <is>
          <t>0</t>
        </is>
      </c>
      <c r="R221" s="10" t="inlineStr">
        <is>
          <t>0</t>
        </is>
      </c>
      <c r="S221" s="10" t="inlineStr">
        <is>
          <t>0</t>
        </is>
      </c>
    </row>
    <row r="222" ht="205" customHeight="1">
      <c r="A222" s="6">
        <f>IFERROR(__xludf.DUMMYFUNCTION("""COMPUTED_VALUE"""),"Modeling-based Estimation Learning Environment - MEttLE")</f>
        <v/>
      </c>
      <c r="B222" s="6">
        <f>IFERROR(__xludf.DUMMYFUNCTION("""COMPUTED_VALUE"""),"Space")</f>
        <v/>
      </c>
      <c r="C222" s="6">
        <f>IFERROR(__xludf.DUMMYFUNCTION("""COMPUTED_VALUE"""),"Introduction")</f>
        <v/>
      </c>
      <c r="D222" s="7">
        <f>IFERROR(__xludf.DUMMYFUNCTION("""COMPUTED_VALUE"""),"&lt;p&gt;In MEttLE you will:&lt;/p&gt;&lt;p&gt;1) Solve this estimation problem.&lt;/p&gt;&lt;p&gt;2) Learn the process of solving such estimation problems.&lt;/p&gt;&lt;p&gt;You can swipe up the ""Tools"" tab at the bottom of the page to add your notes at any time.&lt;/p&gt;")</f>
        <v/>
      </c>
      <c r="E222" s="7">
        <f>IFERROR(__xludf.DUMMYFUNCTION("""COMPUTED_VALUE"""),"No artifact embedded")</f>
        <v/>
      </c>
      <c r="F222" s="7" t="inlineStr">
        <is>
          <t>Students received task descriptions and embedded artifacts, including a Medium article on cat performance reviews and a text file.</t>
        </is>
      </c>
      <c r="G222" s="8" t="inlineStr">
        <is>
          <t>0</t>
        </is>
      </c>
      <c r="H222" s="8" t="inlineStr">
        <is>
          <t>1</t>
        </is>
      </c>
      <c r="I222" s="8" t="inlineStr">
        <is>
          <t>0</t>
        </is>
      </c>
      <c r="J222" s="8" t="inlineStr">
        <is>
          <t>0</t>
        </is>
      </c>
      <c r="K222" s="9" t="inlineStr">
        <is>
          <t>1</t>
        </is>
      </c>
      <c r="L222" s="9" t="inlineStr">
        <is>
          <t>1</t>
        </is>
      </c>
      <c r="M222" s="9" t="inlineStr">
        <is>
          <t>0</t>
        </is>
      </c>
      <c r="N222" s="9" t="inlineStr">
        <is>
          <t>0</t>
        </is>
      </c>
      <c r="O222" s="10" t="inlineStr">
        <is>
          <t>1</t>
        </is>
      </c>
      <c r="P222" s="10" t="inlineStr">
        <is>
          <t>0</t>
        </is>
      </c>
      <c r="Q222" s="10" t="inlineStr">
        <is>
          <t>0</t>
        </is>
      </c>
      <c r="R222" s="10" t="inlineStr">
        <is>
          <t>0</t>
        </is>
      </c>
      <c r="S222" s="10" t="inlineStr">
        <is>
          <t>0</t>
        </is>
      </c>
    </row>
    <row r="223" ht="97" customHeight="1">
      <c r="A223" s="6">
        <f>IFERROR(__xludf.DUMMYFUNCTION("""COMPUTED_VALUE"""),"Modeling-based Estimation Learning Environment - MEttLE")</f>
        <v/>
      </c>
      <c r="B223" s="6">
        <f>IFERROR(__xludf.DUMMYFUNCTION("""COMPUTED_VALUE"""),"Resource")</f>
        <v/>
      </c>
      <c r="C223" s="6">
        <f>IFERROR(__xludf.DUMMYFUNCTION("""COMPUTED_VALUE"""),"EstiMap")</f>
        <v/>
      </c>
      <c r="D223" s="7">
        <f>IFERROR(__xludf.DUMMYFUNCTION("""COMPUTED_VALUE"""),"&lt;p&gt;This map describes the process you will follow to solve the estimation problem&lt;/p&gt;")</f>
        <v/>
      </c>
      <c r="E223" s="7">
        <f>IFERROR(__xludf.DUMMYFUNCTION("""COMPUTED_VALUE"""),"image/png – A high-quality image with support for transparency, often used in design and web applications.")</f>
        <v/>
      </c>
      <c r="F223" s="7" t="inlineStr">
        <is>
          <t>Students are guided on evaluating cat performance, providing feedback using SBI model. Embedded artifacts include text files and images.</t>
        </is>
      </c>
      <c r="G223" s="8" t="inlineStr">
        <is>
          <t>1</t>
        </is>
      </c>
      <c r="H223" s="8" t="inlineStr">
        <is>
          <t>0</t>
        </is>
      </c>
      <c r="I223" s="8" t="inlineStr">
        <is>
          <t>0</t>
        </is>
      </c>
      <c r="J223" s="8" t="inlineStr">
        <is>
          <t>0</t>
        </is>
      </c>
      <c r="K223" s="9" t="inlineStr">
        <is>
          <t>1</t>
        </is>
      </c>
      <c r="L223" s="9" t="inlineStr">
        <is>
          <t>0</t>
        </is>
      </c>
      <c r="M223" s="9" t="inlineStr">
        <is>
          <t>0</t>
        </is>
      </c>
      <c r="N223" s="9" t="inlineStr">
        <is>
          <t>0</t>
        </is>
      </c>
      <c r="O223" s="10" t="inlineStr">
        <is>
          <t>0</t>
        </is>
      </c>
      <c r="P223" s="10" t="inlineStr">
        <is>
          <t>0</t>
        </is>
      </c>
      <c r="Q223" s="10" t="inlineStr">
        <is>
          <t>0</t>
        </is>
      </c>
      <c r="R223" s="10" t="inlineStr">
        <is>
          <t>0</t>
        </is>
      </c>
      <c r="S223" s="10" t="inlineStr">
        <is>
          <t>0</t>
        </is>
      </c>
    </row>
    <row r="224" ht="109" customHeight="1">
      <c r="A224" s="6">
        <f>IFERROR(__xludf.DUMMYFUNCTION("""COMPUTED_VALUE"""),"Modeling-based Estimation Learning Environment - MEttLE")</f>
        <v/>
      </c>
      <c r="B224" s="6">
        <f>IFERROR(__xludf.DUMMYFUNCTION("""COMPUTED_VALUE"""),"Space")</f>
        <v/>
      </c>
      <c r="C224" s="6">
        <f>IFERROR(__xludf.DUMMYFUNCTION("""COMPUTED_VALUE"""),"Functional Modeling")</f>
        <v/>
      </c>
      <c r="D224" s="7">
        <f>IFERROR(__xludf.DUMMYFUNCTION("""COMPUTED_VALUE"""),"&lt;p&gt;In this first phase of estimation, you will create a functional model of the electric car that you can use to estimate power.&lt;/p&gt;")</f>
        <v/>
      </c>
      <c r="E224" s="7">
        <f>IFERROR(__xludf.DUMMYFUNCTION("""COMPUTED_VALUE"""),"No artifact embedded")</f>
        <v/>
      </c>
      <c r="F224" s="7" t="inlineStr">
        <is>
          <t>Students solve estimation problems and learn the process. Embedded artifacts include a high-quality PNG image.</t>
        </is>
      </c>
      <c r="G224" s="8" t="inlineStr">
        <is>
          <t>0</t>
        </is>
      </c>
      <c r="H224" s="8" t="inlineStr">
        <is>
          <t>1</t>
        </is>
      </c>
      <c r="I224" s="8" t="inlineStr">
        <is>
          <t>1</t>
        </is>
      </c>
      <c r="J224" s="8" t="inlineStr">
        <is>
          <t>0</t>
        </is>
      </c>
      <c r="K224" s="9" t="inlineStr">
        <is>
          <t>0</t>
        </is>
      </c>
      <c r="L224" s="9" t="inlineStr">
        <is>
          <t>1</t>
        </is>
      </c>
      <c r="M224" s="9" t="inlineStr">
        <is>
          <t>0</t>
        </is>
      </c>
      <c r="N224" s="9" t="inlineStr">
        <is>
          <t>0</t>
        </is>
      </c>
      <c r="O224" s="10" t="inlineStr">
        <is>
          <t>1</t>
        </is>
      </c>
      <c r="P224" s="10" t="inlineStr">
        <is>
          <t>1</t>
        </is>
      </c>
      <c r="Q224" s="10" t="inlineStr">
        <is>
          <t>1</t>
        </is>
      </c>
      <c r="R224" s="10" t="inlineStr">
        <is>
          <t>0</t>
        </is>
      </c>
      <c r="S224" s="10" t="inlineStr">
        <is>
          <t>0</t>
        </is>
      </c>
    </row>
    <row r="225" ht="97" customHeight="1">
      <c r="A225" s="6">
        <f>IFERROR(__xludf.DUMMYFUNCTION("""COMPUTED_VALUE"""),"Modeling-based Estimation Learning Environment - MEttLE")</f>
        <v/>
      </c>
      <c r="B225" s="6">
        <f>IFERROR(__xludf.DUMMYFUNCTION("""COMPUTED_VALUE"""),"Resource")</f>
        <v/>
      </c>
      <c r="C225" s="6">
        <f>IFERROR(__xludf.DUMMYFUNCTION("""COMPUTED_VALUE"""),"EstiMap")</f>
        <v/>
      </c>
      <c r="D225" s="7">
        <f>IFERROR(__xludf.DUMMYFUNCTION("""COMPUTED_VALUE"""),"&lt;p&gt;This is where you are in the estimation process&lt;/p&gt;")</f>
        <v/>
      </c>
      <c r="E225" s="7">
        <f>IFERROR(__xludf.DUMMYFUNCTION("""COMPUTED_VALUE"""),"image/png – A high-quality image with support for transparency, often used in design and web applications.")</f>
        <v/>
      </c>
      <c r="F225" s="7" t="inlineStr">
        <is>
          <t>Students follow a 3-item process to solve an estimation problem, with Items 1 and 3 including embedded PNG images.</t>
        </is>
      </c>
      <c r="G225" s="8" t="inlineStr">
        <is>
          <t>1</t>
        </is>
      </c>
      <c r="H225" s="8" t="inlineStr">
        <is>
          <t>0</t>
        </is>
      </c>
      <c r="I225" s="8" t="inlineStr">
        <is>
          <t>0</t>
        </is>
      </c>
      <c r="J225" s="8" t="inlineStr">
        <is>
          <t>0</t>
        </is>
      </c>
      <c r="K225" s="9" t="inlineStr">
        <is>
          <t>1</t>
        </is>
      </c>
      <c r="L225" s="9" t="inlineStr">
        <is>
          <t>0</t>
        </is>
      </c>
      <c r="M225" s="9" t="inlineStr">
        <is>
          <t>0</t>
        </is>
      </c>
      <c r="N225" s="9" t="inlineStr">
        <is>
          <t>0</t>
        </is>
      </c>
      <c r="O225" s="10" t="inlineStr">
        <is>
          <t>0</t>
        </is>
      </c>
      <c r="P225" s="10" t="inlineStr">
        <is>
          <t>0</t>
        </is>
      </c>
      <c r="Q225" s="10" t="inlineStr">
        <is>
          <t>0</t>
        </is>
      </c>
      <c r="R225" s="10" t="inlineStr">
        <is>
          <t>0</t>
        </is>
      </c>
      <c r="S225" s="10" t="inlineStr">
        <is>
          <t>0</t>
        </is>
      </c>
    </row>
    <row r="226" ht="409.5" customHeight="1">
      <c r="A226" s="6">
        <f>IFERROR(__xludf.DUMMYFUNCTION("""COMPUTED_VALUE"""),"Modeling-based Estimation Learning Environment - MEttLE")</f>
        <v/>
      </c>
      <c r="B226" s="6">
        <f>IFERROR(__xludf.DUMMYFUNCTION("""COMPUTED_VALUE"""),"Application")</f>
        <v/>
      </c>
      <c r="C226" s="6">
        <f>IFERROR(__xludf.DUMMYFUNCTION("""COMPUTED_VALUE"""),"Word Bag")</f>
        <v/>
      </c>
      <c r="D226" s="7">
        <f>IFERROR(__xludf.DUMMYFUNCTION("""COMPUTED_VALUE"""),"&lt;p&gt;Create a sentence using the words below that describes how an electric car runs. This is the functional model of the electric car. You can use the reference material and scratch pads given below.&lt;/p&gt;")</f>
        <v/>
      </c>
      <c r="E22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26" s="7" t="inlineStr">
        <is>
          <t>Students create a functional model of an electric car and estimate power using given tasks and tools, with embedded artifacts including images and interactive scratchpads.</t>
        </is>
      </c>
      <c r="G226" s="8" t="inlineStr">
        <is>
          <t>0</t>
        </is>
      </c>
      <c r="H226" s="8" t="inlineStr">
        <is>
          <t>1</t>
        </is>
      </c>
      <c r="I226" s="8" t="inlineStr">
        <is>
          <t>1</t>
        </is>
      </c>
      <c r="J226" s="8" t="inlineStr">
        <is>
          <t>1</t>
        </is>
      </c>
      <c r="K226" s="9" t="inlineStr">
        <is>
          <t>1</t>
        </is>
      </c>
      <c r="L226" s="9" t="inlineStr">
        <is>
          <t>1</t>
        </is>
      </c>
      <c r="M226" s="9" t="inlineStr">
        <is>
          <t>0</t>
        </is>
      </c>
      <c r="N226" s="9" t="inlineStr">
        <is>
          <t>1</t>
        </is>
      </c>
      <c r="O226" s="10" t="inlineStr">
        <is>
          <t>1</t>
        </is>
      </c>
      <c r="P226" s="10" t="inlineStr">
        <is>
          <t>1</t>
        </is>
      </c>
      <c r="Q226" s="10" t="inlineStr">
        <is>
          <t>1</t>
        </is>
      </c>
      <c r="R226" s="10" t="inlineStr">
        <is>
          <t>0</t>
        </is>
      </c>
      <c r="S226" s="10" t="inlineStr">
        <is>
          <t>0</t>
        </is>
      </c>
    </row>
    <row r="227" ht="296" customHeight="1">
      <c r="A227" s="6">
        <f>IFERROR(__xludf.DUMMYFUNCTION("""COMPUTED_VALUE"""),"Modeling-based Estimation Learning Environment - MEttLE")</f>
        <v/>
      </c>
      <c r="B227" s="6">
        <f>IFERROR(__xludf.DUMMYFUNCTION("""COMPUTED_VALUE"""),"Application")</f>
        <v/>
      </c>
      <c r="C227" s="6">
        <f>IFERROR(__xludf.DUMMYFUNCTION("""COMPUTED_VALUE"""),"Evaluate your model")</f>
        <v/>
      </c>
      <c r="D227" s="7">
        <f>IFERROR(__xludf.DUMMYFUNCTION("""COMPUTED_VALUE"""),"&lt;p&gt;Let's evaluate whether your functional model is useful for estimating power. &lt;/p&gt;")</f>
        <v/>
      </c>
      <c r="E22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7" s="7" t="inlineStr">
        <is>
          <t>Students are given tasks with descriptions and embedded artifacts, including images, scratchpads, and quizzes.</t>
        </is>
      </c>
      <c r="G227" s="8" t="inlineStr">
        <is>
          <t>0</t>
        </is>
      </c>
      <c r="H227" s="8" t="inlineStr">
        <is>
          <t>1</t>
        </is>
      </c>
      <c r="I227" s="8" t="inlineStr">
        <is>
          <t>0</t>
        </is>
      </c>
      <c r="J227" s="8" t="inlineStr">
        <is>
          <t>1</t>
        </is>
      </c>
      <c r="K227" s="9" t="inlineStr">
        <is>
          <t>1</t>
        </is>
      </c>
      <c r="L227" s="9" t="inlineStr">
        <is>
          <t>0</t>
        </is>
      </c>
      <c r="M227" s="9" t="inlineStr">
        <is>
          <t>0</t>
        </is>
      </c>
      <c r="N227" s="9" t="inlineStr">
        <is>
          <t>0</t>
        </is>
      </c>
      <c r="O227" s="10" t="inlineStr">
        <is>
          <t>1</t>
        </is>
      </c>
      <c r="P227" s="10" t="inlineStr">
        <is>
          <t>1</t>
        </is>
      </c>
      <c r="Q227" s="10" t="inlineStr">
        <is>
          <t>1</t>
        </is>
      </c>
      <c r="R227" s="10" t="inlineStr">
        <is>
          <t>1</t>
        </is>
      </c>
      <c r="S227" s="10" t="inlineStr">
        <is>
          <t>0</t>
        </is>
      </c>
    </row>
    <row r="228" ht="109" customHeight="1">
      <c r="A228" s="6">
        <f>IFERROR(__xludf.DUMMYFUNCTION("""COMPUTED_VALUE"""),"Modeling-based Estimation Learning Environment - MEttLE")</f>
        <v/>
      </c>
      <c r="B228" s="6">
        <f>IFERROR(__xludf.DUMMYFUNCTION("""COMPUTED_VALUE"""),"Resource")</f>
        <v/>
      </c>
      <c r="C228" s="6">
        <f>IFERROR(__xludf.DUMMYFUNCTION("""COMPUTED_VALUE"""),"A utilizable functional model")</f>
        <v/>
      </c>
      <c r="D228" s="7">
        <f>IFERROR(__xludf.DUMMYFUNCTION("""COMPUTED_VALUE"""),"&lt;p&gt;Here is a functional model that you can use to estimate power.&lt;/p&gt;")</f>
        <v/>
      </c>
      <c r="E228" s="7">
        <f>IFERROR(__xludf.DUMMYFUNCTION("""COMPUTED_VALUE"""),"text/html – A webpage or web document that contains structured text, images, and links, designed for display in a web browser.")</f>
        <v/>
      </c>
      <c r="F228" s="7" t="inlineStr">
        <is>
          <t>Students create sentences describing electric cars, evaluate models, and use tools like Hypothesis Scratchpad and quizzes. Embedded artifacts include Golabz apps and a webpage with structured text and images.</t>
        </is>
      </c>
      <c r="G228" s="8" t="inlineStr">
        <is>
          <t>1</t>
        </is>
      </c>
      <c r="H228" s="8" t="inlineStr">
        <is>
          <t>0</t>
        </is>
      </c>
      <c r="I228" s="8" t="inlineStr">
        <is>
          <t>0</t>
        </is>
      </c>
      <c r="J228" s="8" t="inlineStr">
        <is>
          <t>0</t>
        </is>
      </c>
      <c r="K228" s="9" t="inlineStr">
        <is>
          <t>0</t>
        </is>
      </c>
      <c r="L228" s="9" t="inlineStr">
        <is>
          <t>0</t>
        </is>
      </c>
      <c r="M228" s="9" t="inlineStr">
        <is>
          <t>0</t>
        </is>
      </c>
      <c r="N228" s="9" t="inlineStr">
        <is>
          <t>0</t>
        </is>
      </c>
      <c r="O228" s="10" t="inlineStr">
        <is>
          <t>0</t>
        </is>
      </c>
      <c r="P228" s="10" t="inlineStr">
        <is>
          <t>0</t>
        </is>
      </c>
      <c r="Q228" s="10" t="inlineStr">
        <is>
          <t>0</t>
        </is>
      </c>
      <c r="R228" s="10" t="inlineStr">
        <is>
          <t>0</t>
        </is>
      </c>
      <c r="S228" s="10" t="inlineStr">
        <is>
          <t>0</t>
        </is>
      </c>
    </row>
    <row r="229" ht="296" customHeight="1">
      <c r="A229" s="6">
        <f>IFERROR(__xludf.DUMMYFUNCTION("""COMPUTED_VALUE"""),"Modeling-based Estimation Learning Environment - MEttLE")</f>
        <v/>
      </c>
      <c r="B229" s="6">
        <f>IFERROR(__xludf.DUMMYFUNCTION("""COMPUTED_VALUE"""),"Application")</f>
        <v/>
      </c>
      <c r="C229" s="6">
        <f>IFERROR(__xludf.DUMMYFUNCTION("""COMPUTED_VALUE"""),"Reflect and plan")</f>
        <v/>
      </c>
      <c r="D229" s="7">
        <f>IFERROR(__xludf.DUMMYFUNCTION("""COMPUTED_VALUE"""),"&lt;p&gt;Here you will reflect on what you did in this phase and what you intend to do next.&lt;/p&gt;")</f>
        <v/>
      </c>
      <c r="E22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9" s="7" t="inlineStr">
        <is>
          <t>Students evaluate a functional model, estimate power, and reflect on their process using embedded artifacts like webpages and Golabz app/lab quizzes.</t>
        </is>
      </c>
      <c r="G229" s="8" t="inlineStr">
        <is>
          <t>0</t>
        </is>
      </c>
      <c r="H229" s="8" t="inlineStr">
        <is>
          <t>0</t>
        </is>
      </c>
      <c r="I229" s="8" t="inlineStr">
        <is>
          <t>1</t>
        </is>
      </c>
      <c r="J229" s="8" t="inlineStr">
        <is>
          <t>1</t>
        </is>
      </c>
      <c r="K229" s="9" t="inlineStr">
        <is>
          <t>1</t>
        </is>
      </c>
      <c r="L229" s="9" t="inlineStr">
        <is>
          <t>1</t>
        </is>
      </c>
      <c r="M229" s="9" t="inlineStr">
        <is>
          <t>0</t>
        </is>
      </c>
      <c r="N229" s="9" t="inlineStr">
        <is>
          <t>0</t>
        </is>
      </c>
      <c r="O229" s="10" t="inlineStr">
        <is>
          <t>0</t>
        </is>
      </c>
      <c r="P229" s="10" t="inlineStr">
        <is>
          <t>0</t>
        </is>
      </c>
      <c r="Q229" s="10" t="inlineStr">
        <is>
          <t>0</t>
        </is>
      </c>
      <c r="R229" s="10" t="inlineStr">
        <is>
          <t>0</t>
        </is>
      </c>
      <c r="S229" s="10" t="inlineStr">
        <is>
          <t>1</t>
        </is>
      </c>
    </row>
    <row r="230" ht="109" customHeight="1">
      <c r="A230" s="6">
        <f>IFERROR(__xludf.DUMMYFUNCTION("""COMPUTED_VALUE"""),"Modeling-based Estimation Learning Environment - MEttLE")</f>
        <v/>
      </c>
      <c r="B230" s="6">
        <f>IFERROR(__xludf.DUMMYFUNCTION("""COMPUTED_VALUE"""),"Resource")</f>
        <v/>
      </c>
      <c r="C230" s="6">
        <f>IFERROR(__xludf.DUMMYFUNCTION("""COMPUTED_VALUE"""),"Reference Materials")</f>
        <v/>
      </c>
      <c r="D230" s="7">
        <f>IFERROR(__xludf.DUMMYFUNCTION("""COMPUTED_VALUE"""),"&lt;p&gt;Read about how an electric car works here.&lt;/p&gt;")</f>
        <v/>
      </c>
      <c r="E230" s="7">
        <f>IFERROR(__xludf.DUMMYFUNCTION("""COMPUTED_VALUE"""),"application/pdf – A portable document format (PDF) file, preserving text and layout for consistent viewing across devices.")</f>
        <v/>
      </c>
      <c r="F230" s="7" t="inlineStr">
        <is>
          <t>Students received tasks with embedded artifacts: a webpage, a quiz app, and a PDF file.</t>
        </is>
      </c>
      <c r="G230" s="8" t="inlineStr">
        <is>
          <t>1</t>
        </is>
      </c>
      <c r="H230" s="8" t="inlineStr">
        <is>
          <t>0</t>
        </is>
      </c>
      <c r="I230" s="8" t="inlineStr">
        <is>
          <t>0</t>
        </is>
      </c>
      <c r="J230" s="8" t="inlineStr">
        <is>
          <t>0</t>
        </is>
      </c>
      <c r="K230" s="9" t="inlineStr">
        <is>
          <t>1</t>
        </is>
      </c>
      <c r="L230" s="9" t="inlineStr">
        <is>
          <t>0</t>
        </is>
      </c>
      <c r="M230" s="9" t="inlineStr">
        <is>
          <t>0</t>
        </is>
      </c>
      <c r="N230" s="9" t="inlineStr">
        <is>
          <t>0</t>
        </is>
      </c>
      <c r="O230" s="10" t="inlineStr">
        <is>
          <t>0</t>
        </is>
      </c>
      <c r="P230" s="10" t="inlineStr">
        <is>
          <t>0</t>
        </is>
      </c>
      <c r="Q230" s="10" t="inlineStr">
        <is>
          <t>0</t>
        </is>
      </c>
      <c r="R230" s="10" t="inlineStr">
        <is>
          <t>0</t>
        </is>
      </c>
      <c r="S230" s="10" t="inlineStr">
        <is>
          <t>0</t>
        </is>
      </c>
    </row>
    <row r="231" ht="109" customHeight="1">
      <c r="A231" s="6">
        <f>IFERROR(__xludf.DUMMYFUNCTION("""COMPUTED_VALUE"""),"Modeling-based Estimation Learning Environment - MEttLE")</f>
        <v/>
      </c>
      <c r="B231" s="6">
        <f>IFERROR(__xludf.DUMMYFUNCTION("""COMPUTED_VALUE"""),"Resource")</f>
        <v/>
      </c>
      <c r="C231" s="6">
        <f>IFERROR(__xludf.DUMMYFUNCTION("""COMPUTED_VALUE"""),"Scratch Pad - drawing")</f>
        <v/>
      </c>
      <c r="D231" s="7">
        <f>IFERROR(__xludf.DUMMYFUNCTION("""COMPUTED_VALUE"""),"&lt;p&gt;Draw your initial thoughts and ideas.&lt;/p&gt;")</f>
        <v/>
      </c>
      <c r="E231" s="7">
        <f>IFERROR(__xludf.DUMMYFUNCTION("""COMPUTED_VALUE"""),"text/html – A webpage or web document that contains structured text, images, and links, designed for display in a web browser.")</f>
        <v/>
      </c>
      <c r="F231" s="7" t="inlineStr">
        <is>
          <t>Students reflect, read, and draw. Embedded artifacts include a quiz app, PDF file, and HTML webpage.</t>
        </is>
      </c>
      <c r="G231" s="8" t="inlineStr">
        <is>
          <t>0</t>
        </is>
      </c>
      <c r="H231" s="8" t="inlineStr">
        <is>
          <t>1</t>
        </is>
      </c>
      <c r="I231" s="8" t="inlineStr">
        <is>
          <t>1</t>
        </is>
      </c>
      <c r="J231" s="8" t="inlineStr">
        <is>
          <t>0</t>
        </is>
      </c>
      <c r="K231" s="9" t="inlineStr">
        <is>
          <t>0</t>
        </is>
      </c>
      <c r="L231" s="9" t="inlineStr">
        <is>
          <t>1</t>
        </is>
      </c>
      <c r="M231" s="9" t="inlineStr">
        <is>
          <t>0</t>
        </is>
      </c>
      <c r="N231" s="9" t="inlineStr">
        <is>
          <t>0</t>
        </is>
      </c>
      <c r="O231" s="10" t="inlineStr">
        <is>
          <t>1</t>
        </is>
      </c>
      <c r="P231" s="10" t="inlineStr">
        <is>
          <t>1</t>
        </is>
      </c>
      <c r="Q231" s="10" t="inlineStr">
        <is>
          <t>0</t>
        </is>
      </c>
      <c r="R231" s="10" t="inlineStr">
        <is>
          <t>0</t>
        </is>
      </c>
      <c r="S231" s="10" t="inlineStr">
        <is>
          <t>0</t>
        </is>
      </c>
    </row>
    <row r="232" ht="329" customHeight="1">
      <c r="A232" s="6">
        <f>IFERROR(__xludf.DUMMYFUNCTION("""COMPUTED_VALUE"""),"Modeling-based Estimation Learning Environment - MEttLE")</f>
        <v/>
      </c>
      <c r="B232" s="6">
        <f>IFERROR(__xludf.DUMMYFUNCTION("""COMPUTED_VALUE"""),"Application")</f>
        <v/>
      </c>
      <c r="C232" s="6">
        <f>IFERROR(__xludf.DUMMYFUNCTION("""COMPUTED_VALUE"""),"Scratch pad - notes")</f>
        <v/>
      </c>
      <c r="D232" s="7">
        <f>IFERROR(__xludf.DUMMYFUNCTION("""COMPUTED_VALUE"""),"&lt;p&gt;Take notes here.&lt;/p&gt;")</f>
        <v/>
      </c>
      <c r="E2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32" s="7" t="inlineStr">
        <is>
          <t>Students are instructed to: read, draw, and take notes. Embedded artifacts include PDF, webpage, and note-taking app.</t>
        </is>
      </c>
      <c r="G232" s="8" t="inlineStr">
        <is>
          <t>0</t>
        </is>
      </c>
      <c r="H232" s="8" t="inlineStr">
        <is>
          <t>1</t>
        </is>
      </c>
      <c r="I232" s="8" t="inlineStr">
        <is>
          <t>1</t>
        </is>
      </c>
      <c r="J232" s="8" t="inlineStr">
        <is>
          <t>1</t>
        </is>
      </c>
      <c r="K232" s="9" t="inlineStr">
        <is>
          <t>1</t>
        </is>
      </c>
      <c r="L232" s="9" t="inlineStr">
        <is>
          <t>1</t>
        </is>
      </c>
      <c r="M232" s="9" t="inlineStr">
        <is>
          <t>0</t>
        </is>
      </c>
      <c r="N232" s="9" t="inlineStr">
        <is>
          <t>1</t>
        </is>
      </c>
      <c r="O232" s="10" t="inlineStr">
        <is>
          <t>0</t>
        </is>
      </c>
      <c r="P232" s="10" t="inlineStr">
        <is>
          <t>0</t>
        </is>
      </c>
      <c r="Q232" s="10" t="inlineStr">
        <is>
          <t>0</t>
        </is>
      </c>
      <c r="R232" s="10" t="inlineStr">
        <is>
          <t>0</t>
        </is>
      </c>
      <c r="S232" s="10" t="inlineStr">
        <is>
          <t>1</t>
        </is>
      </c>
    </row>
    <row r="233" ht="109" customHeight="1">
      <c r="A233" s="6">
        <f>IFERROR(__xludf.DUMMYFUNCTION("""COMPUTED_VALUE"""),"Modeling-based Estimation Learning Environment - MEttLE")</f>
        <v/>
      </c>
      <c r="B233" s="6">
        <f>IFERROR(__xludf.DUMMYFUNCTION("""COMPUTED_VALUE"""),"Space")</f>
        <v/>
      </c>
      <c r="C233" s="6">
        <f>IFERROR(__xludf.DUMMYFUNCTION("""COMPUTED_VALUE"""),"Qualitative Modeling")</f>
        <v/>
      </c>
      <c r="D233" s="7">
        <f>IFERROR(__xludf.DUMMYFUNCTION("""COMPUTED_VALUE"""),"&lt;p&gt;In this second phase of estimation, you will create a qualitative model of the electric car that you can use to estimate power.&lt;/p&gt;")</f>
        <v/>
      </c>
      <c r="E233" s="7">
        <f>IFERROR(__xludf.DUMMYFUNCTION("""COMPUTED_VALUE"""),"No artifact embedded")</f>
        <v/>
      </c>
      <c r="F233" s="7" t="inlineStr">
        <is>
          <t>Students are instructed to draw, take notes, and create a qualitative model. Embedded artifacts include text/html webpage and Golabz app/lab for note-taking.</t>
        </is>
      </c>
      <c r="G233" s="8" t="inlineStr">
        <is>
          <t>0</t>
        </is>
      </c>
      <c r="H233" s="8" t="inlineStr">
        <is>
          <t>0</t>
        </is>
      </c>
      <c r="I233" s="8" t="inlineStr">
        <is>
          <t>1</t>
        </is>
      </c>
      <c r="J233" s="8" t="inlineStr">
        <is>
          <t>0</t>
        </is>
      </c>
      <c r="K233" s="9" t="inlineStr">
        <is>
          <t>0</t>
        </is>
      </c>
      <c r="L233" s="9" t="inlineStr">
        <is>
          <t>1</t>
        </is>
      </c>
      <c r="M233" s="9" t="inlineStr">
        <is>
          <t>0</t>
        </is>
      </c>
      <c r="N233" s="9" t="inlineStr">
        <is>
          <t>0</t>
        </is>
      </c>
      <c r="O233" s="10" t="inlineStr">
        <is>
          <t>1</t>
        </is>
      </c>
      <c r="P233" s="10" t="inlineStr">
        <is>
          <t>1</t>
        </is>
      </c>
      <c r="Q233" s="10" t="inlineStr">
        <is>
          <t>1</t>
        </is>
      </c>
      <c r="R233" s="10" t="inlineStr">
        <is>
          <t>0</t>
        </is>
      </c>
      <c r="S233" s="10" t="inlineStr">
        <is>
          <t>0</t>
        </is>
      </c>
    </row>
    <row r="234" ht="97" customHeight="1">
      <c r="A234" s="6">
        <f>IFERROR(__xludf.DUMMYFUNCTION("""COMPUTED_VALUE"""),"Modeling-based Estimation Learning Environment - MEttLE")</f>
        <v/>
      </c>
      <c r="B234" s="6">
        <f>IFERROR(__xludf.DUMMYFUNCTION("""COMPUTED_VALUE"""),"Resource")</f>
        <v/>
      </c>
      <c r="C234" s="6">
        <f>IFERROR(__xludf.DUMMYFUNCTION("""COMPUTED_VALUE"""),"EstiMap")</f>
        <v/>
      </c>
      <c r="D234" s="7">
        <f>IFERROR(__xludf.DUMMYFUNCTION("""COMPUTED_VALUE"""),"&lt;p&gt;This is where you are in the estimation process.&lt;/p&gt;")</f>
        <v/>
      </c>
      <c r="E234" s="7">
        <f>IFERROR(__xludf.DUMMYFUNCTION("""COMPUTED_VALUE"""),"image/png – A high-quality image with support for transparency, often used in design and web applications.")</f>
        <v/>
      </c>
      <c r="F234" s="7" t="inlineStr">
        <is>
          <t>Students take notes and create models with embedded artifacts like note-taking apps and images.</t>
        </is>
      </c>
      <c r="G234" s="8" t="inlineStr">
        <is>
          <t>1</t>
        </is>
      </c>
      <c r="H234" s="8" t="inlineStr">
        <is>
          <t>0</t>
        </is>
      </c>
      <c r="I234" s="8" t="inlineStr">
        <is>
          <t>0</t>
        </is>
      </c>
      <c r="J234" s="8" t="inlineStr">
        <is>
          <t>0</t>
        </is>
      </c>
      <c r="K234" s="9" t="inlineStr">
        <is>
          <t>0</t>
        </is>
      </c>
      <c r="L234" s="9" t="inlineStr">
        <is>
          <t>0</t>
        </is>
      </c>
      <c r="M234" s="9" t="inlineStr">
        <is>
          <t>0</t>
        </is>
      </c>
      <c r="N234" s="9" t="inlineStr">
        <is>
          <t>0</t>
        </is>
      </c>
      <c r="O234" s="10" t="inlineStr">
        <is>
          <t>0</t>
        </is>
      </c>
      <c r="P234" s="10" t="inlineStr">
        <is>
          <t>0</t>
        </is>
      </c>
      <c r="Q234" s="10" t="inlineStr">
        <is>
          <t>0</t>
        </is>
      </c>
      <c r="R234" s="10" t="inlineStr">
        <is>
          <t>0</t>
        </is>
      </c>
      <c r="S234" s="10" t="inlineStr">
        <is>
          <t>0</t>
        </is>
      </c>
    </row>
    <row r="235" ht="409.5" customHeight="1">
      <c r="A235" s="6">
        <f>IFERROR(__xludf.DUMMYFUNCTION("""COMPUTED_VALUE"""),"Modeling-based Estimation Learning Environment - MEttLE")</f>
        <v/>
      </c>
      <c r="B235" s="6">
        <f>IFERROR(__xludf.DUMMYFUNCTION("""COMPUTED_VALUE"""),"Application")</f>
        <v/>
      </c>
      <c r="C235" s="6">
        <f>IFERROR(__xludf.DUMMYFUNCTION("""COMPUTED_VALUE"""),"Simulator")</f>
        <v/>
      </c>
      <c r="D235" s="7">
        <f>IFERROR(__xludf.DUMMYFUNCTION("""COMPUTED_VALUE"""),"No task description")</f>
        <v/>
      </c>
      <c r="E235" s="7">
        <f>IFERROR(__xludf.DUMMYFUNCTION("""COMPUTED_VALUE"""),"Golabz app/lab: `&lt;p&gt;The Quest 2.0 app can be used to create questionnaires and surveys. These can contain containing multiple choice, multiple select, open answer and table like questions with multiple choice, multiple select, and smileys type answers. Te"&amp;"achers can see an overview of all submitted responses in Graasp. It is likely that in future releases new question types will be added.&lt;/p&gt;\r\n\r\n&lt;p&gt;To learn more about how to configure the app, visit the Support Page's section on &lt;a href=""https://suppo"&amp;"rt.golabz.eu/videos?category=4""&gt;How to set up Apps&lt;/a&gt;.&lt;/p&gt;\r\n\r\n&lt;p&gt;This app can also be configured to run in collaboration mode. To enable collaboration, add the &lt;a href=""https://www.golabz.eu/app/collaboration-tool""&gt;Collaboration Tool&lt;/a&gt;&amp;nbsp;to t"&amp;"he ILS in Graasp.&lt;/p&gt;\r\n\r\n&lt;p&gt;This Quest 2.0 app was developed with financial support from the Dutch&lt;a href=""https://www.techyourfuture.nl/""&gt;Tech Your Future&lt;/a&gt;&amp;nbsp;organization and replaces the former Quest app.&lt;/p&gt;\r\n\r\n&lt;p&gt;The Quest 2.0 app is n"&amp;"ot backwards compatible with the former Quest app. However, the former Quest app will keep on working in the ILSses.&lt;/p&gt;\r\n\r\n&lt;p&gt;If you want to present students with a quiz, the &lt;a href=""https://www.golabz.eu/app/quiz-tool""&gt;Quiz&lt;/a&gt; and &lt;a href=""http"&amp;"s://www.golabz.eu/app/quiz-2-0""&gt;Quiz 2.0&lt;/a&gt; apps are better suited for this purpose.&amp;nbsp;&lt;/p&gt;\r\n`")</f>
        <v/>
      </c>
      <c r="F235" s="7" t="inlineStr">
        <is>
          <t>Students create a qualitative model of an electric car and estimate power, with embedded artifacts including images and interactive questionnaires via the Golabz app/lab.</t>
        </is>
      </c>
      <c r="G235" s="8" t="inlineStr">
        <is>
          <t>1</t>
        </is>
      </c>
      <c r="H235" s="8" t="inlineStr">
        <is>
          <t>0</t>
        </is>
      </c>
      <c r="I235" s="8" t="inlineStr">
        <is>
          <t>0</t>
        </is>
      </c>
      <c r="J235" s="8" t="inlineStr">
        <is>
          <t>1</t>
        </is>
      </c>
      <c r="K235" s="9" t="inlineStr">
        <is>
          <t>0</t>
        </is>
      </c>
      <c r="L235" s="9" t="inlineStr">
        <is>
          <t>0</t>
        </is>
      </c>
      <c r="M235" s="9" t="inlineStr">
        <is>
          <t>0</t>
        </is>
      </c>
      <c r="N235" s="9" t="inlineStr">
        <is>
          <t>1</t>
        </is>
      </c>
      <c r="O235" s="10" t="inlineStr">
        <is>
          <t>0</t>
        </is>
      </c>
      <c r="P235" s="10" t="inlineStr">
        <is>
          <t>0</t>
        </is>
      </c>
      <c r="Q235" s="10" t="inlineStr">
        <is>
          <t>0</t>
        </is>
      </c>
      <c r="R235" s="10" t="inlineStr">
        <is>
          <t>0</t>
        </is>
      </c>
      <c r="S235" s="10" t="inlineStr">
        <is>
          <t>0</t>
        </is>
      </c>
    </row>
    <row r="236" ht="296" customHeight="1">
      <c r="A236" s="6">
        <f>IFERROR(__xludf.DUMMYFUNCTION("""COMPUTED_VALUE"""),"Modeling-based Estimation Learning Environment - MEttLE")</f>
        <v/>
      </c>
      <c r="B236" s="6">
        <f>IFERROR(__xludf.DUMMYFUNCTION("""COMPUTED_VALUE"""),"Application")</f>
        <v/>
      </c>
      <c r="C236" s="6">
        <f>IFERROR(__xludf.DUMMYFUNCTION("""COMPUTED_VALUE"""),"Check your understanding of parameter relationships")</f>
        <v/>
      </c>
      <c r="D236" s="7">
        <f>IFERROR(__xludf.DUMMYFUNCTION("""COMPUTED_VALUE"""),"&lt;p&gt;Answer the questions here to see if you recognize the relationship between the various parameters. Note that multiple answers maybe correct.&lt;/p&gt;")</f>
        <v/>
      </c>
      <c r="E23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36" s="7" t="inlineStr">
        <is>
          <t>Students are given tasks with descriptions and embedded artifacts, including images and Golabz apps, to complete quizzes and surveys with various question types.</t>
        </is>
      </c>
      <c r="G236" s="8" t="inlineStr">
        <is>
          <t>0</t>
        </is>
      </c>
      <c r="H236" s="8" t="inlineStr">
        <is>
          <t>0</t>
        </is>
      </c>
      <c r="I236" s="8" t="inlineStr">
        <is>
          <t>0</t>
        </is>
      </c>
      <c r="J236" s="8" t="inlineStr">
        <is>
          <t>1</t>
        </is>
      </c>
      <c r="K236" s="9" t="inlineStr">
        <is>
          <t>1</t>
        </is>
      </c>
      <c r="L236" s="9" t="inlineStr">
        <is>
          <t>1</t>
        </is>
      </c>
      <c r="M236" s="9" t="inlineStr">
        <is>
          <t>0</t>
        </is>
      </c>
      <c r="N236" s="9" t="inlineStr">
        <is>
          <t>0</t>
        </is>
      </c>
      <c r="O236" s="10" t="inlineStr">
        <is>
          <t>0</t>
        </is>
      </c>
      <c r="P236" s="10" t="inlineStr">
        <is>
          <t>0</t>
        </is>
      </c>
      <c r="Q236" s="10" t="inlineStr">
        <is>
          <t>0</t>
        </is>
      </c>
      <c r="R236" s="10" t="inlineStr">
        <is>
          <t>0</t>
        </is>
      </c>
      <c r="S236" s="10" t="inlineStr">
        <is>
          <t>0</t>
        </is>
      </c>
    </row>
    <row r="237" ht="409.5" customHeight="1">
      <c r="A237" s="6">
        <f>IFERROR(__xludf.DUMMYFUNCTION("""COMPUTED_VALUE"""),"Modeling-based Estimation Learning Environment - MEttLE")</f>
        <v/>
      </c>
      <c r="B237" s="6">
        <f>IFERROR(__xludf.DUMMYFUNCTION("""COMPUTED_VALUE"""),"Application")</f>
        <v/>
      </c>
      <c r="C237" s="6">
        <f>IFERROR(__xludf.DUMMYFUNCTION("""COMPUTED_VALUE"""),"Concept Mapper")</f>
        <v/>
      </c>
      <c r="D237" s="7">
        <f>IFERROR(__xludf.DUMMYFUNCTION("""COMPUTED_VALUE"""),"&lt;p&gt;Draw a causal map describing how the various parameters affecting the running of the car are related.&lt;/p&gt;")</f>
        <v/>
      </c>
      <c r="E237"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237" s="7" t="inlineStr">
        <is>
          <t>No task description for Item1. Other items have tasks and Golabz apps with various tools and configurations.</t>
        </is>
      </c>
      <c r="G237" s="8" t="inlineStr">
        <is>
          <t>0</t>
        </is>
      </c>
      <c r="H237" s="8" t="inlineStr">
        <is>
          <t>1</t>
        </is>
      </c>
      <c r="I237" s="8" t="inlineStr">
        <is>
          <t>1</t>
        </is>
      </c>
      <c r="J237" s="8" t="inlineStr">
        <is>
          <t>1</t>
        </is>
      </c>
      <c r="K237" s="9" t="inlineStr">
        <is>
          <t>0</t>
        </is>
      </c>
      <c r="L237" s="9" t="inlineStr">
        <is>
          <t>1</t>
        </is>
      </c>
      <c r="M237" s="9" t="inlineStr">
        <is>
          <t>0</t>
        </is>
      </c>
      <c r="N237" s="9" t="inlineStr">
        <is>
          <t>1</t>
        </is>
      </c>
      <c r="O237" s="10" t="inlineStr">
        <is>
          <t>1</t>
        </is>
      </c>
      <c r="P237" s="10" t="inlineStr">
        <is>
          <t>1</t>
        </is>
      </c>
      <c r="Q237" s="10" t="inlineStr">
        <is>
          <t>1</t>
        </is>
      </c>
      <c r="R237" s="10" t="inlineStr">
        <is>
          <t>0</t>
        </is>
      </c>
      <c r="S237" s="10" t="inlineStr">
        <is>
          <t>0</t>
        </is>
      </c>
    </row>
    <row r="238" ht="109" customHeight="1">
      <c r="A238" s="6">
        <f>IFERROR(__xludf.DUMMYFUNCTION("""COMPUTED_VALUE"""),"Modeling-based Estimation Learning Environment - MEttLE")</f>
        <v/>
      </c>
      <c r="B238" s="6">
        <f>IFERROR(__xludf.DUMMYFUNCTION("""COMPUTED_VALUE"""),"Resource")</f>
        <v/>
      </c>
      <c r="C238" s="6">
        <f>IFERROR(__xludf.DUMMYFUNCTION("""COMPUTED_VALUE"""),"Reference Materials")</f>
        <v/>
      </c>
      <c r="D238" s="7">
        <f>IFERROR(__xludf.DUMMYFUNCTION("""COMPUTED_VALUE"""),"&lt;p&gt;Read about how an electric car works here.&lt;/p&gt;")</f>
        <v/>
      </c>
      <c r="E238" s="7">
        <f>IFERROR(__xludf.DUMMYFUNCTION("""COMPUTED_VALUE"""),"application/pdf – A portable document format (PDF) file, preserving text and layout for consistent viewing across devices.")</f>
        <v/>
      </c>
      <c r="F238" s="7" t="inlineStr">
        <is>
          <t>Students are instructed to answer questions, draw a causal map, and read about electric cars using interactive tools like quizzes, concept mappers, and PDF files.</t>
        </is>
      </c>
      <c r="G238" s="8" t="inlineStr">
        <is>
          <t>1</t>
        </is>
      </c>
      <c r="H238" s="8" t="inlineStr">
        <is>
          <t>0</t>
        </is>
      </c>
      <c r="I238" s="8" t="inlineStr">
        <is>
          <t>0</t>
        </is>
      </c>
      <c r="J238" s="8" t="inlineStr">
        <is>
          <t>0</t>
        </is>
      </c>
      <c r="K238" s="9" t="inlineStr">
        <is>
          <t>1</t>
        </is>
      </c>
      <c r="L238" s="9" t="inlineStr">
        <is>
          <t>0</t>
        </is>
      </c>
      <c r="M238" s="9" t="inlineStr">
        <is>
          <t>0</t>
        </is>
      </c>
      <c r="N238" s="9" t="inlineStr">
        <is>
          <t>0</t>
        </is>
      </c>
      <c r="O238" s="10" t="inlineStr">
        <is>
          <t>0</t>
        </is>
      </c>
      <c r="P238" s="10" t="inlineStr">
        <is>
          <t>0</t>
        </is>
      </c>
      <c r="Q238" s="10" t="inlineStr">
        <is>
          <t>0</t>
        </is>
      </c>
      <c r="R238" s="10" t="inlineStr">
        <is>
          <t>0</t>
        </is>
      </c>
      <c r="S238" s="10" t="inlineStr">
        <is>
          <t>0</t>
        </is>
      </c>
    </row>
    <row r="239" ht="109" customHeight="1">
      <c r="A239" s="6">
        <f>IFERROR(__xludf.DUMMYFUNCTION("""COMPUTED_VALUE"""),"Modeling-based Estimation Learning Environment - MEttLE")</f>
        <v/>
      </c>
      <c r="B239" s="6">
        <f>IFERROR(__xludf.DUMMYFUNCTION("""COMPUTED_VALUE"""),"Resource")</f>
        <v/>
      </c>
      <c r="C239" s="6">
        <f>IFERROR(__xludf.DUMMYFUNCTION("""COMPUTED_VALUE"""),"Scratch Pad - drawing")</f>
        <v/>
      </c>
      <c r="D239" s="7">
        <f>IFERROR(__xludf.DUMMYFUNCTION("""COMPUTED_VALUE"""),"&lt;p&gt;Draw your initial thoughts and ideas.&lt;/p&gt;")</f>
        <v/>
      </c>
      <c r="E239" s="7">
        <f>IFERROR(__xludf.DUMMYFUNCTION("""COMPUTED_VALUE"""),"text/html – A webpage or web document that contains structured text, images, and links, designed for display in a web browser.")</f>
        <v/>
      </c>
      <c r="F239" s="7" t="inlineStr">
        <is>
          <t>Students are instructed to draw causal maps, read about electric cars, and share initial thoughts. Embedded artifacts include a concept mapper tool, PDF file, and HTML webpage.</t>
        </is>
      </c>
      <c r="G239" s="8" t="inlineStr">
        <is>
          <t>0</t>
        </is>
      </c>
      <c r="H239" s="8" t="inlineStr">
        <is>
          <t>1</t>
        </is>
      </c>
      <c r="I239" s="8" t="inlineStr">
        <is>
          <t>1</t>
        </is>
      </c>
      <c r="J239" s="8" t="inlineStr">
        <is>
          <t>0</t>
        </is>
      </c>
      <c r="K239" s="9" t="inlineStr">
        <is>
          <t>0</t>
        </is>
      </c>
      <c r="L239" s="9" t="inlineStr">
        <is>
          <t>1</t>
        </is>
      </c>
      <c r="M239" s="9" t="inlineStr">
        <is>
          <t>0</t>
        </is>
      </c>
      <c r="N239" s="9" t="inlineStr">
        <is>
          <t>0</t>
        </is>
      </c>
      <c r="O239" s="10" t="inlineStr">
        <is>
          <t>0</t>
        </is>
      </c>
      <c r="P239" s="10" t="inlineStr">
        <is>
          <t>1</t>
        </is>
      </c>
      <c r="Q239" s="10" t="inlineStr">
        <is>
          <t>0</t>
        </is>
      </c>
      <c r="R239" s="10" t="inlineStr">
        <is>
          <t>0</t>
        </is>
      </c>
      <c r="S239" s="10" t="inlineStr">
        <is>
          <t>0</t>
        </is>
      </c>
    </row>
    <row r="240" ht="329" customHeight="1">
      <c r="A240" s="6">
        <f>IFERROR(__xludf.DUMMYFUNCTION("""COMPUTED_VALUE"""),"Modeling-based Estimation Learning Environment - MEttLE")</f>
        <v/>
      </c>
      <c r="B240" s="6">
        <f>IFERROR(__xludf.DUMMYFUNCTION("""COMPUTED_VALUE"""),"Application")</f>
        <v/>
      </c>
      <c r="C240" s="6">
        <f>IFERROR(__xludf.DUMMYFUNCTION("""COMPUTED_VALUE"""),"Scratch pad - notes")</f>
        <v/>
      </c>
      <c r="D240" s="7">
        <f>IFERROR(__xludf.DUMMYFUNCTION("""COMPUTED_VALUE"""),"&lt;p&gt;Take notes here.&lt;/p&gt;")</f>
        <v/>
      </c>
      <c r="E24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0" s="7" t="inlineStr">
        <is>
          <t>Students are instructed to read, draw, and take notes with embedded artifacts including PDF, webpage, and note-taking app.</t>
        </is>
      </c>
      <c r="G240" s="8" t="inlineStr">
        <is>
          <t>0</t>
        </is>
      </c>
      <c r="H240" s="8" t="inlineStr">
        <is>
          <t>1</t>
        </is>
      </c>
      <c r="I240" s="8" t="inlineStr">
        <is>
          <t>1</t>
        </is>
      </c>
      <c r="J240" s="8" t="inlineStr">
        <is>
          <t>1</t>
        </is>
      </c>
      <c r="K240" s="9" t="inlineStr">
        <is>
          <t>1</t>
        </is>
      </c>
      <c r="L240" s="9" t="inlineStr">
        <is>
          <t>1</t>
        </is>
      </c>
      <c r="M240" s="9" t="inlineStr">
        <is>
          <t>0</t>
        </is>
      </c>
      <c r="N240" s="9" t="inlineStr">
        <is>
          <t>1</t>
        </is>
      </c>
      <c r="O240" s="10" t="inlineStr">
        <is>
          <t>0</t>
        </is>
      </c>
      <c r="P240" s="10" t="inlineStr">
        <is>
          <t>0</t>
        </is>
      </c>
      <c r="Q240" s="10" t="inlineStr">
        <is>
          <t>0</t>
        </is>
      </c>
      <c r="R240" s="10" t="inlineStr">
        <is>
          <t>0</t>
        </is>
      </c>
      <c r="S240" s="10" t="inlineStr">
        <is>
          <t>1</t>
        </is>
      </c>
    </row>
    <row r="241" ht="121" customHeight="1">
      <c r="A241" s="6">
        <f>IFERROR(__xludf.DUMMYFUNCTION("""COMPUTED_VALUE"""),"Modeling-based Estimation Learning Environment - MEttLE")</f>
        <v/>
      </c>
      <c r="B241" s="6">
        <f>IFERROR(__xludf.DUMMYFUNCTION("""COMPUTED_VALUE"""),"Space")</f>
        <v/>
      </c>
      <c r="C241" s="6">
        <f>IFERROR(__xludf.DUMMYFUNCTION("""COMPUTED_VALUE"""),"Quantitative Modeling")</f>
        <v/>
      </c>
      <c r="D241" s="7">
        <f>IFERROR(__xludf.DUMMYFUNCTION("""COMPUTED_VALUE"""),"&lt;p&gt;In the third phase of estimation, you will create a quantitative model of the electric car that you can use to estimate power.&lt;/p&gt;")</f>
        <v/>
      </c>
      <c r="E241" s="7">
        <f>IFERROR(__xludf.DUMMYFUNCTION("""COMPUTED_VALUE"""),"No artifact embedded")</f>
        <v/>
      </c>
      <c r="F241" s="7" t="inlineStr">
        <is>
          <t>Students are instructed to draw, take notes, and create a model. Embedded artifacts include webpages, note-taking apps, but Item 3 has none.</t>
        </is>
      </c>
      <c r="G241" s="8" t="inlineStr">
        <is>
          <t>0</t>
        </is>
      </c>
      <c r="H241" s="8" t="inlineStr">
        <is>
          <t>0</t>
        </is>
      </c>
      <c r="I241" s="8" t="inlineStr">
        <is>
          <t>1</t>
        </is>
      </c>
      <c r="J241" s="8" t="inlineStr">
        <is>
          <t>0</t>
        </is>
      </c>
      <c r="K241" s="9" t="inlineStr">
        <is>
          <t>1</t>
        </is>
      </c>
      <c r="L241" s="9" t="inlineStr">
        <is>
          <t>1</t>
        </is>
      </c>
      <c r="M241" s="9" t="inlineStr">
        <is>
          <t>0</t>
        </is>
      </c>
      <c r="N241" s="9" t="inlineStr">
        <is>
          <t>0</t>
        </is>
      </c>
      <c r="O241" s="10" t="inlineStr">
        <is>
          <t>0</t>
        </is>
      </c>
      <c r="P241" s="10" t="inlineStr">
        <is>
          <t>1</t>
        </is>
      </c>
      <c r="Q241" s="10" t="inlineStr">
        <is>
          <t>1</t>
        </is>
      </c>
      <c r="R241" s="10" t="inlineStr">
        <is>
          <t>0</t>
        </is>
      </c>
      <c r="S241" s="10" t="inlineStr">
        <is>
          <t>0</t>
        </is>
      </c>
    </row>
    <row r="242" ht="97" customHeight="1">
      <c r="A242" s="6">
        <f>IFERROR(__xludf.DUMMYFUNCTION("""COMPUTED_VALUE"""),"Modeling-based Estimation Learning Environment - MEttLE")</f>
        <v/>
      </c>
      <c r="B242" s="6">
        <f>IFERROR(__xludf.DUMMYFUNCTION("""COMPUTED_VALUE"""),"Resource")</f>
        <v/>
      </c>
      <c r="C242" s="6">
        <f>IFERROR(__xludf.DUMMYFUNCTION("""COMPUTED_VALUE"""),"EstiMap")</f>
        <v/>
      </c>
      <c r="D242" s="7">
        <f>IFERROR(__xludf.DUMMYFUNCTION("""COMPUTED_VALUE"""),"&lt;p&gt;This is where you are in the estimation process.&lt;/p&gt;")</f>
        <v/>
      </c>
      <c r="E242" s="7">
        <f>IFERROR(__xludf.DUMMYFUNCTION("""COMPUTED_VALUE"""),"image/png – A high-quality image with support for transparency, often used in design and web applications.")</f>
        <v/>
      </c>
      <c r="F242" s="7" t="inlineStr">
        <is>
          <t>Students take notes and create models. Embedded artifacts include a note-taking app, an image file, and no artifact in Item2.</t>
        </is>
      </c>
      <c r="G242" s="8" t="inlineStr">
        <is>
          <t>1</t>
        </is>
      </c>
      <c r="H242" s="8" t="inlineStr">
        <is>
          <t>0</t>
        </is>
      </c>
      <c r="I242" s="8" t="inlineStr">
        <is>
          <t>0</t>
        </is>
      </c>
      <c r="J242" s="8" t="inlineStr">
        <is>
          <t>0</t>
        </is>
      </c>
      <c r="K242" s="9" t="inlineStr">
        <is>
          <t>0</t>
        </is>
      </c>
      <c r="L242" s="9" t="inlineStr">
        <is>
          <t>0</t>
        </is>
      </c>
      <c r="M242" s="9" t="inlineStr">
        <is>
          <t>0</t>
        </is>
      </c>
      <c r="N242" s="9" t="inlineStr">
        <is>
          <t>0</t>
        </is>
      </c>
      <c r="O242" s="10" t="inlineStr">
        <is>
          <t>0</t>
        </is>
      </c>
      <c r="P242" s="10" t="inlineStr">
        <is>
          <t>0</t>
        </is>
      </c>
      <c r="Q242" s="10" t="inlineStr">
        <is>
          <t>0</t>
        </is>
      </c>
      <c r="R242" s="10" t="inlineStr">
        <is>
          <t>0</t>
        </is>
      </c>
      <c r="S242" s="10" t="inlineStr">
        <is>
          <t>0</t>
        </is>
      </c>
    </row>
    <row r="243" ht="49" customHeight="1">
      <c r="A243" s="6">
        <f>IFERROR(__xludf.DUMMYFUNCTION("""COMPUTED_VALUE"""),"Modeling-based Estimation Learning Environment - MEttLE")</f>
        <v/>
      </c>
      <c r="B243" s="6">
        <f>IFERROR(__xludf.DUMMYFUNCTION("""COMPUTED_VALUE"""),"Application")</f>
        <v/>
      </c>
      <c r="C243" s="6">
        <f>IFERROR(__xludf.DUMMYFUNCTION("""COMPUTED_VALUE"""),"EquationBuilder")</f>
        <v/>
      </c>
      <c r="D243" s="7">
        <f>IFERROR(__xludf.DUMMYFUNCTION("""COMPUTED_VALUE"""),"No task description")</f>
        <v/>
      </c>
      <c r="E243" s="7">
        <f>IFERROR(__xludf.DUMMYFUNCTION("""COMPUTED_VALUE"""),"Golabz app/lab: An app for students to build equations")</f>
        <v/>
      </c>
      <c r="F243" s="7" t="inlineStr">
        <is>
          <t>Students create a quantitative model and estimate power. Embedded artifacts include an image and a lab app.</t>
        </is>
      </c>
      <c r="G243" s="8" t="inlineStr">
        <is>
          <t>0</t>
        </is>
      </c>
      <c r="H243" s="8" t="inlineStr">
        <is>
          <t>1</t>
        </is>
      </c>
      <c r="I243" s="8" t="inlineStr">
        <is>
          <t>1</t>
        </is>
      </c>
      <c r="J243" s="8" t="inlineStr">
        <is>
          <t>1</t>
        </is>
      </c>
      <c r="K243" s="9" t="inlineStr">
        <is>
          <t>1</t>
        </is>
      </c>
      <c r="L243" s="9" t="inlineStr">
        <is>
          <t>1</t>
        </is>
      </c>
      <c r="M243" s="9" t="inlineStr">
        <is>
          <t>0</t>
        </is>
      </c>
      <c r="N243" s="9" t="inlineStr">
        <is>
          <t>0</t>
        </is>
      </c>
      <c r="O243" s="10" t="inlineStr">
        <is>
          <t>0</t>
        </is>
      </c>
      <c r="P243" s="10" t="inlineStr">
        <is>
          <t>0</t>
        </is>
      </c>
      <c r="Q243" s="10" t="inlineStr">
        <is>
          <t>1</t>
        </is>
      </c>
      <c r="R243" s="10" t="inlineStr">
        <is>
          <t>0</t>
        </is>
      </c>
      <c r="S243" s="10" t="inlineStr">
        <is>
          <t>0</t>
        </is>
      </c>
    </row>
    <row r="244" ht="109" customHeight="1">
      <c r="A244" s="6">
        <f>IFERROR(__xludf.DUMMYFUNCTION("""COMPUTED_VALUE"""),"Modeling-based Estimation Learning Environment - MEttLE")</f>
        <v/>
      </c>
      <c r="B244" s="6">
        <f>IFERROR(__xludf.DUMMYFUNCTION("""COMPUTED_VALUE"""),"Resource")</f>
        <v/>
      </c>
      <c r="C244" s="6">
        <f>IFERROR(__xludf.DUMMYFUNCTION("""COMPUTED_VALUE"""),"Reference Materials")</f>
        <v/>
      </c>
      <c r="D244" s="7">
        <f>IFERROR(__xludf.DUMMYFUNCTION("""COMPUTED_VALUE"""),"&lt;p&gt;Read about how an electric car works here.&lt;/p&gt;")</f>
        <v/>
      </c>
      <c r="E244" s="7">
        <f>IFERROR(__xludf.DUMMYFUNCTION("""COMPUTED_VALUE"""),"application/pdf – A portable document format (PDF) file, preserving text and layout for consistent viewing across devices.")</f>
        <v/>
      </c>
      <c r="F244" s="7" t="inlineStr">
        <is>
          <t>Students received tasks with embedded artifacts, including images, apps, and PDF files, to support their work on estimation, equation-building, and reading about electric cars.</t>
        </is>
      </c>
      <c r="G244" s="8" t="inlineStr">
        <is>
          <t>1</t>
        </is>
      </c>
      <c r="H244" s="8" t="inlineStr">
        <is>
          <t>0</t>
        </is>
      </c>
      <c r="I244" s="8" t="inlineStr">
        <is>
          <t>0</t>
        </is>
      </c>
      <c r="J244" s="8" t="inlineStr">
        <is>
          <t>0</t>
        </is>
      </c>
      <c r="K244" s="9" t="inlineStr">
        <is>
          <t>1</t>
        </is>
      </c>
      <c r="L244" s="9" t="inlineStr">
        <is>
          <t>0</t>
        </is>
      </c>
      <c r="M244" s="9" t="inlineStr">
        <is>
          <t>0</t>
        </is>
      </c>
      <c r="N244" s="9" t="inlineStr">
        <is>
          <t>0</t>
        </is>
      </c>
      <c r="O244" s="10" t="inlineStr">
        <is>
          <t>0</t>
        </is>
      </c>
      <c r="P244" s="10" t="inlineStr">
        <is>
          <t>0</t>
        </is>
      </c>
      <c r="Q244" s="10" t="inlineStr">
        <is>
          <t>0</t>
        </is>
      </c>
      <c r="R244" s="10" t="inlineStr">
        <is>
          <t>0</t>
        </is>
      </c>
      <c r="S244" s="10" t="inlineStr">
        <is>
          <t>0</t>
        </is>
      </c>
    </row>
    <row r="245" ht="109" customHeight="1">
      <c r="A245" s="6">
        <f>IFERROR(__xludf.DUMMYFUNCTION("""COMPUTED_VALUE"""),"Modeling-based Estimation Learning Environment - MEttLE")</f>
        <v/>
      </c>
      <c r="B245" s="6">
        <f>IFERROR(__xludf.DUMMYFUNCTION("""COMPUTED_VALUE"""),"Resource")</f>
        <v/>
      </c>
      <c r="C245" s="6">
        <f>IFERROR(__xludf.DUMMYFUNCTION("""COMPUTED_VALUE"""),"Scratch Pad - drawing")</f>
        <v/>
      </c>
      <c r="D245" s="7">
        <f>IFERROR(__xludf.DUMMYFUNCTION("""COMPUTED_VALUE"""),"&lt;p&gt;Draw your initial thoughts and ideas.&lt;/p&gt;")</f>
        <v/>
      </c>
      <c r="E245" s="7">
        <f>IFERROR(__xludf.DUMMYFUNCTION("""COMPUTED_VALUE"""),"text/html – A webpage or web document that contains structured text, images, and links, designed for display in a web browser.")</f>
        <v/>
      </c>
      <c r="F245" s="7" t="inlineStr">
        <is>
          <t>Students receive tasks with embedded artifacts: an equation-building app, a PDF file, and a webpage to inspire drawing and idea generation.</t>
        </is>
      </c>
      <c r="G245" s="8" t="inlineStr">
        <is>
          <t>0</t>
        </is>
      </c>
      <c r="H245" s="8" t="inlineStr">
        <is>
          <t>1</t>
        </is>
      </c>
      <c r="I245" s="8" t="inlineStr">
        <is>
          <t>1</t>
        </is>
      </c>
      <c r="J245" s="8" t="inlineStr">
        <is>
          <t>0</t>
        </is>
      </c>
      <c r="K245" s="9" t="inlineStr">
        <is>
          <t>0</t>
        </is>
      </c>
      <c r="L245" s="9" t="inlineStr">
        <is>
          <t>1</t>
        </is>
      </c>
      <c r="M245" s="9" t="inlineStr">
        <is>
          <t>0</t>
        </is>
      </c>
      <c r="N245" s="9" t="inlineStr">
        <is>
          <t>0</t>
        </is>
      </c>
      <c r="O245" s="10" t="inlineStr">
        <is>
          <t>0</t>
        </is>
      </c>
      <c r="P245" s="10" t="inlineStr">
        <is>
          <t>1</t>
        </is>
      </c>
      <c r="Q245" s="10" t="inlineStr">
        <is>
          <t>0</t>
        </is>
      </c>
      <c r="R245" s="10" t="inlineStr">
        <is>
          <t>0</t>
        </is>
      </c>
      <c r="S245" s="10" t="inlineStr">
        <is>
          <t>0</t>
        </is>
      </c>
    </row>
    <row r="246" ht="329" customHeight="1">
      <c r="A246" s="6">
        <f>IFERROR(__xludf.DUMMYFUNCTION("""COMPUTED_VALUE"""),"Modeling-based Estimation Learning Environment - MEttLE")</f>
        <v/>
      </c>
      <c r="B246" s="6">
        <f>IFERROR(__xludf.DUMMYFUNCTION("""COMPUTED_VALUE"""),"Application")</f>
        <v/>
      </c>
      <c r="C246" s="6">
        <f>IFERROR(__xludf.DUMMYFUNCTION("""COMPUTED_VALUE"""),"Scratch pad - notes")</f>
        <v/>
      </c>
      <c r="D246" s="7">
        <f>IFERROR(__xludf.DUMMYFUNCTION("""COMPUTED_VALUE"""),"&lt;p&gt;Take notes here.&lt;/p&gt;")</f>
        <v/>
      </c>
      <c r="E2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6" s="7" t="inlineStr">
        <is>
          <t>Students are instructed to read, draw, and take notes with embedded artifacts including PDF, HTML webpage, and a note-taking app.</t>
        </is>
      </c>
      <c r="G246" s="8" t="inlineStr">
        <is>
          <t>0</t>
        </is>
      </c>
      <c r="H246" s="8" t="inlineStr">
        <is>
          <t>1</t>
        </is>
      </c>
      <c r="I246" s="8" t="inlineStr">
        <is>
          <t>1</t>
        </is>
      </c>
      <c r="J246" s="8" t="inlineStr">
        <is>
          <t>1</t>
        </is>
      </c>
      <c r="K246" s="9" t="inlineStr">
        <is>
          <t>1</t>
        </is>
      </c>
      <c r="L246" s="9" t="inlineStr">
        <is>
          <t>1</t>
        </is>
      </c>
      <c r="M246" s="9" t="inlineStr">
        <is>
          <t>0</t>
        </is>
      </c>
      <c r="N246" s="9" t="inlineStr">
        <is>
          <t>1</t>
        </is>
      </c>
      <c r="O246" s="10" t="inlineStr">
        <is>
          <t>0</t>
        </is>
      </c>
      <c r="P246" s="10" t="inlineStr">
        <is>
          <t>0</t>
        </is>
      </c>
      <c r="Q246" s="10" t="inlineStr">
        <is>
          <t>0</t>
        </is>
      </c>
      <c r="R246" s="10" t="inlineStr">
        <is>
          <t>0</t>
        </is>
      </c>
      <c r="S246" s="10" t="inlineStr">
        <is>
          <t>1</t>
        </is>
      </c>
    </row>
    <row r="247" ht="85" customHeight="1">
      <c r="A247" s="6">
        <f>IFERROR(__xludf.DUMMYFUNCTION("""COMPUTED_VALUE"""),"Modeling-based Estimation Learning Environment - MEttLE")</f>
        <v/>
      </c>
      <c r="B247" s="6">
        <f>IFERROR(__xludf.DUMMYFUNCTION("""COMPUTED_VALUE"""),"Space")</f>
        <v/>
      </c>
      <c r="C247" s="6">
        <f>IFERROR(__xludf.DUMMYFUNCTION("""COMPUTED_VALUE"""),"Calculation")</f>
        <v/>
      </c>
      <c r="D247" s="7">
        <f>IFERROR(__xludf.DUMMYFUNCTION("""COMPUTED_VALUE"""),"&lt;p&gt;What are the reasonable values of other parameters required to calculate power?&lt;/p&gt;")</f>
        <v/>
      </c>
      <c r="E247" s="7">
        <f>IFERROR(__xludf.DUMMYFUNCTION("""COMPUTED_VALUE"""),"No artifact embedded")</f>
        <v/>
      </c>
      <c r="F247" s="7" t="inlineStr">
        <is>
          <t>Students receive task descriptions with varying embedded artifacts, including HTML webpages and note-taking apps.</t>
        </is>
      </c>
      <c r="G247" s="8" t="inlineStr">
        <is>
          <t>0</t>
        </is>
      </c>
      <c r="H247" s="8" t="inlineStr">
        <is>
          <t>0</t>
        </is>
      </c>
      <c r="I247" s="8" t="inlineStr">
        <is>
          <t>0</t>
        </is>
      </c>
      <c r="J247" s="8" t="inlineStr">
        <is>
          <t>0</t>
        </is>
      </c>
      <c r="K247" s="9" t="inlineStr">
        <is>
          <t>1</t>
        </is>
      </c>
      <c r="L247" s="9" t="inlineStr">
        <is>
          <t>0</t>
        </is>
      </c>
      <c r="M247" s="9" t="inlineStr">
        <is>
          <t>0</t>
        </is>
      </c>
      <c r="N247" s="9" t="inlineStr">
        <is>
          <t>0</t>
        </is>
      </c>
      <c r="O247" s="10" t="inlineStr">
        <is>
          <t>1</t>
        </is>
      </c>
      <c r="P247" s="10" t="inlineStr">
        <is>
          <t>1</t>
        </is>
      </c>
      <c r="Q247" s="10" t="inlineStr">
        <is>
          <t>1</t>
        </is>
      </c>
      <c r="R247" s="10" t="inlineStr">
        <is>
          <t>0</t>
        </is>
      </c>
      <c r="S247" s="10" t="inlineStr">
        <is>
          <t>0</t>
        </is>
      </c>
    </row>
    <row r="248" ht="49" customHeight="1">
      <c r="A248" s="6">
        <f>IFERROR(__xludf.DUMMYFUNCTION("""COMPUTED_VALUE"""),"Modeling-based Estimation Learning Environment - MEttLE")</f>
        <v/>
      </c>
      <c r="B248" s="6">
        <f>IFERROR(__xludf.DUMMYFUNCTION("""COMPUTED_VALUE"""),"Space")</f>
        <v/>
      </c>
      <c r="C248" s="6">
        <f>IFERROR(__xludf.DUMMYFUNCTION("""COMPUTED_VALUE"""),"Evaluation")</f>
        <v/>
      </c>
      <c r="D248" s="7">
        <f>IFERROR(__xludf.DUMMYFUNCTION("""COMPUTED_VALUE"""),"&lt;p&gt;Is the determined value of power reasonable?&lt;/p&gt;")</f>
        <v/>
      </c>
      <c r="E248" s="7">
        <f>IFERROR(__xludf.DUMMYFUNCTION("""COMPUTED_VALUE"""),"No artifact embedded")</f>
        <v/>
      </c>
      <c r="F248" s="7" t="inlineStr">
        <is>
          <t>Students take notes and calculate power, with Golabz app/lab allowing note-taking and collaboration.</t>
        </is>
      </c>
      <c r="G248" s="8" t="inlineStr">
        <is>
          <t>0</t>
        </is>
      </c>
      <c r="H248" s="8" t="inlineStr">
        <is>
          <t>0</t>
        </is>
      </c>
      <c r="I248" s="8" t="inlineStr">
        <is>
          <t>0</t>
        </is>
      </c>
      <c r="J248" s="8" t="inlineStr">
        <is>
          <t>0</t>
        </is>
      </c>
      <c r="K248" s="9" t="inlineStr">
        <is>
          <t>1</t>
        </is>
      </c>
      <c r="L248" s="9" t="inlineStr">
        <is>
          <t>0</t>
        </is>
      </c>
      <c r="M248" s="9" t="inlineStr">
        <is>
          <t>0</t>
        </is>
      </c>
      <c r="N248" s="9" t="inlineStr">
        <is>
          <t>0</t>
        </is>
      </c>
      <c r="O248" s="10" t="inlineStr">
        <is>
          <t>1</t>
        </is>
      </c>
      <c r="P248" s="10" t="inlineStr">
        <is>
          <t>1</t>
        </is>
      </c>
      <c r="Q248" s="10" t="inlineStr">
        <is>
          <t>1</t>
        </is>
      </c>
      <c r="R248" s="10" t="inlineStr">
        <is>
          <t>1</t>
        </is>
      </c>
      <c r="S248" s="10" t="inlineStr">
        <is>
          <t>1</t>
        </is>
      </c>
    </row>
    <row r="249" ht="61" customHeight="1">
      <c r="A249" s="6">
        <f>IFERROR(__xludf.DUMMYFUNCTION("""COMPUTED_VALUE"""),"Modeling-based Estimation Learning Environment - MEttLE")</f>
        <v/>
      </c>
      <c r="B249" s="6">
        <f>IFERROR(__xludf.DUMMYFUNCTION("""COMPUTED_VALUE"""),"Application")</f>
        <v/>
      </c>
      <c r="C249" s="6">
        <f>IFERROR(__xludf.DUMMYFUNCTION("""COMPUTED_VALUE"""),"My Plan")</f>
        <v/>
      </c>
      <c r="D249" s="7">
        <f>IFERROR(__xludf.DUMMYFUNCTION("""COMPUTED_VALUE"""),"&lt;p&gt;How do you think you will solve this estimation problem?&lt;/p&gt;")</f>
        <v/>
      </c>
      <c r="E249" s="7">
        <f>IFERROR(__xludf.DUMMYFUNCTION("""COMPUTED_VALUE"""),"No artifact embedded")</f>
        <v/>
      </c>
      <c r="F249" s="7" t="inlineStr">
        <is>
          <t>Students are given tasks to calculate power, assess reasonableness, and plan solutions with no embedded artifacts.</t>
        </is>
      </c>
      <c r="G249" s="8" t="inlineStr">
        <is>
          <t>0</t>
        </is>
      </c>
      <c r="H249" s="8" t="inlineStr">
        <is>
          <t>0</t>
        </is>
      </c>
      <c r="I249" s="8" t="inlineStr">
        <is>
          <t>1</t>
        </is>
      </c>
      <c r="J249" s="8" t="inlineStr">
        <is>
          <t>0</t>
        </is>
      </c>
      <c r="K249" s="9" t="inlineStr">
        <is>
          <t>1</t>
        </is>
      </c>
      <c r="L249" s="9" t="inlineStr">
        <is>
          <t>0</t>
        </is>
      </c>
      <c r="M249" s="9" t="inlineStr">
        <is>
          <t>0</t>
        </is>
      </c>
      <c r="N249" s="9" t="inlineStr">
        <is>
          <t>0</t>
        </is>
      </c>
      <c r="O249" s="10" t="inlineStr">
        <is>
          <t>1</t>
        </is>
      </c>
      <c r="P249" s="10" t="inlineStr">
        <is>
          <t>1</t>
        </is>
      </c>
      <c r="Q249" s="10" t="inlineStr">
        <is>
          <t>0</t>
        </is>
      </c>
      <c r="R249" s="10" t="inlineStr">
        <is>
          <t>0</t>
        </is>
      </c>
      <c r="S249" s="10" t="inlineStr">
        <is>
          <t>1</t>
        </is>
      </c>
    </row>
    <row r="250" ht="25" customHeight="1">
      <c r="A250" s="6">
        <f>IFERROR(__xludf.DUMMYFUNCTION("""COMPUTED_VALUE"""),"RATE OF DIFFUSION")</f>
        <v/>
      </c>
      <c r="B250" s="6">
        <f>IFERROR(__xludf.DUMMYFUNCTION("""COMPUTED_VALUE"""),"Space")</f>
        <v/>
      </c>
      <c r="C250" s="6">
        <f>IFERROR(__xludf.DUMMYFUNCTION("""COMPUTED_VALUE"""),"About")</f>
        <v/>
      </c>
      <c r="D250" s="7">
        <f>IFERROR(__xludf.DUMMYFUNCTION("""COMPUTED_VALUE"""),"No task description")</f>
        <v/>
      </c>
      <c r="E250" s="7">
        <f>IFERROR(__xludf.DUMMYFUNCTION("""COMPUTED_VALUE"""),"No artifact embedded")</f>
        <v/>
      </c>
      <c r="F250" s="7" t="inlineStr">
        <is>
          <t>Students were given tasks to evaluate power value reasonableness and solve an estimation problem, with no artifacts embedded.</t>
        </is>
      </c>
      <c r="G250" s="8" t="inlineStr">
        <is>
          <t>1</t>
        </is>
      </c>
      <c r="H250" s="8" t="inlineStr">
        <is>
          <t>0</t>
        </is>
      </c>
      <c r="I250" s="8" t="inlineStr">
        <is>
          <t>0</t>
        </is>
      </c>
      <c r="J250" s="8" t="inlineStr">
        <is>
          <t>0</t>
        </is>
      </c>
      <c r="K250" s="9" t="inlineStr">
        <is>
          <t>0</t>
        </is>
      </c>
      <c r="L250" s="9" t="inlineStr">
        <is>
          <t>0</t>
        </is>
      </c>
      <c r="M250" s="9" t="inlineStr">
        <is>
          <t>0</t>
        </is>
      </c>
      <c r="N250" s="9" t="inlineStr">
        <is>
          <t>0</t>
        </is>
      </c>
      <c r="O250" s="10" t="inlineStr">
        <is>
          <t>0</t>
        </is>
      </c>
      <c r="P250" s="10" t="inlineStr">
        <is>
          <t>0</t>
        </is>
      </c>
      <c r="Q250" s="10" t="inlineStr">
        <is>
          <t>0</t>
        </is>
      </c>
      <c r="R250" s="10" t="inlineStr">
        <is>
          <t>0</t>
        </is>
      </c>
      <c r="S250" s="10" t="inlineStr">
        <is>
          <t>0</t>
        </is>
      </c>
    </row>
    <row r="251" ht="157" customHeight="1">
      <c r="A251" s="6">
        <f>IFERROR(__xludf.DUMMYFUNCTION("""COMPUTED_VALUE"""),"RATE OF DIFFUSION")</f>
        <v/>
      </c>
      <c r="B251" s="6">
        <f>IFERROR(__xludf.DUMMYFUNCTION("""COMPUTED_VALUE"""),"Resource")</f>
        <v/>
      </c>
      <c r="C251" s="6">
        <f>IFERROR(__xludf.DUMMYFUNCTION("""COMPUTED_VALUE"""),"About.graasp")</f>
        <v/>
      </c>
      <c r="D251" s="7">
        <f>IFERROR(__xludf.DUMMYFUNCTION("""COMPUTED_VALUE"""),"&lt;p&gt;FORM ONE,KENYAN CURRICULUM&lt;/p&gt;&lt;p&gt;topic:Particulate nature of matter&lt;br&gt;subtopic: Rate of diffusion&lt;br&gt;objective:To determine factors affecting rate of diffusion&lt;/p&gt;")</f>
        <v/>
      </c>
      <c r="E251" s="7">
        <f>IFERROR(__xludf.DUMMYFUNCTION("""COMPUTED_VALUE"""),"No artifact embedded")</f>
        <v/>
      </c>
      <c r="F251" s="7" t="inlineStr">
        <is>
          <t>Students received task descriptions and no embedded artifacts for three items, including a chemistry experiment on the rate of diffusion.</t>
        </is>
      </c>
      <c r="G251" s="8" t="inlineStr">
        <is>
          <t>0</t>
        </is>
      </c>
      <c r="H251" s="8" t="inlineStr">
        <is>
          <t>0</t>
        </is>
      </c>
      <c r="I251" s="8" t="inlineStr">
        <is>
          <t>0</t>
        </is>
      </c>
      <c r="J251" s="8" t="inlineStr">
        <is>
          <t>0</t>
        </is>
      </c>
      <c r="K251" s="9" t="inlineStr">
        <is>
          <t>1</t>
        </is>
      </c>
      <c r="L251" s="9" t="inlineStr">
        <is>
          <t>0</t>
        </is>
      </c>
      <c r="M251" s="9" t="inlineStr">
        <is>
          <t>0</t>
        </is>
      </c>
      <c r="N251" s="9" t="inlineStr">
        <is>
          <t>0</t>
        </is>
      </c>
      <c r="O251" s="10" t="inlineStr">
        <is>
          <t>1</t>
        </is>
      </c>
      <c r="P251" s="10" t="inlineStr">
        <is>
          <t>1</t>
        </is>
      </c>
      <c r="Q251" s="10" t="inlineStr">
        <is>
          <t>1</t>
        </is>
      </c>
      <c r="R251" s="10" t="inlineStr">
        <is>
          <t>0</t>
        </is>
      </c>
      <c r="S251" s="10" t="inlineStr">
        <is>
          <t>0</t>
        </is>
      </c>
    </row>
    <row r="252" ht="193" customHeight="1">
      <c r="A252" s="6">
        <f>IFERROR(__xludf.DUMMYFUNCTION("""COMPUTED_VALUE"""),"RATE OF DIFFUSION")</f>
        <v/>
      </c>
      <c r="B252" s="6">
        <f>IFERROR(__xludf.DUMMYFUNCTION("""COMPUTED_VALUE"""),"Space")</f>
        <v/>
      </c>
      <c r="C252" s="6">
        <f>IFERROR(__xludf.DUMMYFUNCTION("""COMPUTED_VALUE"""),"Engage")</f>
        <v/>
      </c>
      <c r="D252" s="7">
        <f>IFERROR(__xludf.DUMMYFUNCTION("""COMPUTED_VALUE"""),"&lt;p&gt;My two year old nephew visited us over the weekend,she got curious of how possible it is to tell from a distance, my wife was preparing her favorite meal 'omena' .&lt;/p&gt;&lt;p&gt;Study the video below and respond to her concerns&lt;/p&gt;")</f>
        <v/>
      </c>
      <c r="E252" s="7">
        <f>IFERROR(__xludf.DUMMYFUNCTION("""COMPUTED_VALUE"""),"No artifact embedded")</f>
        <v/>
      </c>
      <c r="F252" s="7" t="inlineStr">
        <is>
          <t>Students received task descriptions with no artifacts embedded. Topics included particulate nature of matter and a child's curiosity about cooking.</t>
        </is>
      </c>
      <c r="G252" s="8" t="inlineStr">
        <is>
          <t>1</t>
        </is>
      </c>
      <c r="H252" s="8" t="inlineStr">
        <is>
          <t>0</t>
        </is>
      </c>
      <c r="I252" s="8" t="inlineStr">
        <is>
          <t>0</t>
        </is>
      </c>
      <c r="J252" s="8" t="inlineStr">
        <is>
          <t>1</t>
        </is>
      </c>
      <c r="K252" s="9" t="inlineStr">
        <is>
          <t>1</t>
        </is>
      </c>
      <c r="L252" s="9" t="inlineStr">
        <is>
          <t>0</t>
        </is>
      </c>
      <c r="M252" s="9" t="inlineStr">
        <is>
          <t>0</t>
        </is>
      </c>
      <c r="N252" s="9" t="inlineStr">
        <is>
          <t>0</t>
        </is>
      </c>
      <c r="O252" s="10" t="inlineStr">
        <is>
          <t>1</t>
        </is>
      </c>
      <c r="P252" s="10" t="inlineStr">
        <is>
          <t>1</t>
        </is>
      </c>
      <c r="Q252" s="10" t="inlineStr">
        <is>
          <t>0</t>
        </is>
      </c>
      <c r="R252" s="10" t="inlineStr">
        <is>
          <t>0</t>
        </is>
      </c>
      <c r="S252" s="10" t="inlineStr">
        <is>
          <t>1</t>
        </is>
      </c>
    </row>
    <row r="253" ht="121" customHeight="1">
      <c r="A253" s="6">
        <f>IFERROR(__xludf.DUMMYFUNCTION("""COMPUTED_VALUE"""),"RATE OF DIFFUSION")</f>
        <v/>
      </c>
      <c r="B253" s="6">
        <f>IFERROR(__xludf.DUMMYFUNCTION("""COMPUTED_VALUE"""),"Resource")</f>
        <v/>
      </c>
      <c r="C253" s="6">
        <f>IFERROR(__xludf.DUMMYFUNCTION("""COMPUTED_VALUE"""),"A good example of DIFFUSION.mp4")</f>
        <v/>
      </c>
      <c r="D253" s="7">
        <f>IFERROR(__xludf.DUMMYFUNCTION("""COMPUTED_VALUE"""),"No task description")</f>
        <v/>
      </c>
      <c r="E253" s="7">
        <f>IFERROR(__xludf.DUMMYFUNCTION("""COMPUTED_VALUE"""),"video/mp4 – A video file containing moving images and possibly audio, suitable for playback on most modern devices and platforms.")</f>
        <v/>
      </c>
      <c r="F253" s="7" t="inlineStr">
        <is>
          <t>Students received 3 items with varying instructions and artifacts. Items 1 and 2 have task descriptions, but no embedded artifacts. Item 3 has a video artifact, but no task description.</t>
        </is>
      </c>
      <c r="G253" s="8" t="inlineStr">
        <is>
          <t>1</t>
        </is>
      </c>
      <c r="H253" s="8" t="inlineStr">
        <is>
          <t>0</t>
        </is>
      </c>
      <c r="I253" s="8" t="inlineStr">
        <is>
          <t>0</t>
        </is>
      </c>
      <c r="J253" s="8" t="inlineStr">
        <is>
          <t>0</t>
        </is>
      </c>
      <c r="K253" s="9" t="inlineStr">
        <is>
          <t>0</t>
        </is>
      </c>
      <c r="L253" s="9" t="inlineStr">
        <is>
          <t>0</t>
        </is>
      </c>
      <c r="M253" s="9" t="inlineStr">
        <is>
          <t>0</t>
        </is>
      </c>
      <c r="N253" s="9" t="inlineStr">
        <is>
          <t>0</t>
        </is>
      </c>
      <c r="O253" s="10" t="inlineStr">
        <is>
          <t>0</t>
        </is>
      </c>
      <c r="P253" s="10" t="inlineStr">
        <is>
          <t>0</t>
        </is>
      </c>
      <c r="Q253" s="10" t="inlineStr">
        <is>
          <t>0</t>
        </is>
      </c>
      <c r="R253" s="10" t="inlineStr">
        <is>
          <t>0</t>
        </is>
      </c>
      <c r="S253" s="10" t="inlineStr">
        <is>
          <t>0</t>
        </is>
      </c>
    </row>
    <row r="254" ht="61" customHeight="1">
      <c r="A254" s="6">
        <f>IFERROR(__xludf.DUMMYFUNCTION("""COMPUTED_VALUE"""),"RATE OF DIFFUSION")</f>
        <v/>
      </c>
      <c r="B254" s="6">
        <f>IFERROR(__xludf.DUMMYFUNCTION("""COMPUTED_VALUE"""),"Resource")</f>
        <v/>
      </c>
      <c r="C254" s="6">
        <f>IFERROR(__xludf.DUMMYFUNCTION("""COMPUTED_VALUE"""),"Q1.graasp")</f>
        <v/>
      </c>
      <c r="D254" s="7">
        <f>IFERROR(__xludf.DUMMYFUNCTION("""COMPUTED_VALUE"""),"&lt;p&gt;1. from the video what is your understanding of diffusion?&lt;/p&gt;")</f>
        <v/>
      </c>
      <c r="E254" s="7">
        <f>IFERROR(__xludf.DUMMYFUNCTION("""COMPUTED_VALUE"""),"No artifact embedded")</f>
        <v/>
      </c>
      <c r="F254" s="7" t="inlineStr">
        <is>
          <t>Students are asked to study a video and respond to concerns about telling something from a distance, and understand diffusion from another video. Artifacts include two videos, one not embedded.</t>
        </is>
      </c>
      <c r="G254" s="8" t="inlineStr">
        <is>
          <t>0</t>
        </is>
      </c>
      <c r="H254" s="8" t="inlineStr">
        <is>
          <t>0</t>
        </is>
      </c>
      <c r="I254" s="8" t="inlineStr">
        <is>
          <t>0</t>
        </is>
      </c>
      <c r="J254" s="8" t="inlineStr">
        <is>
          <t>0</t>
        </is>
      </c>
      <c r="K254" s="9" t="inlineStr">
        <is>
          <t>1</t>
        </is>
      </c>
      <c r="L254" s="9" t="inlineStr">
        <is>
          <t>1</t>
        </is>
      </c>
      <c r="M254" s="9" t="inlineStr">
        <is>
          <t>0</t>
        </is>
      </c>
      <c r="N254" s="9" t="inlineStr">
        <is>
          <t>0</t>
        </is>
      </c>
      <c r="O254" s="10" t="inlineStr">
        <is>
          <t>1</t>
        </is>
      </c>
      <c r="P254" s="10" t="inlineStr">
        <is>
          <t>0</t>
        </is>
      </c>
      <c r="Q254" s="10" t="inlineStr">
        <is>
          <t>0</t>
        </is>
      </c>
      <c r="R254" s="10" t="inlineStr">
        <is>
          <t>0</t>
        </is>
      </c>
      <c r="S254" s="10" t="inlineStr">
        <is>
          <t>1</t>
        </is>
      </c>
    </row>
    <row r="255" ht="329" customHeight="1">
      <c r="A255" s="6">
        <f>IFERROR(__xludf.DUMMYFUNCTION("""COMPUTED_VALUE"""),"RATE OF DIFFUSION")</f>
        <v/>
      </c>
      <c r="B255" s="6">
        <f>IFERROR(__xludf.DUMMYFUNCTION("""COMPUTED_VALUE"""),"Application")</f>
        <v/>
      </c>
      <c r="C255" s="6">
        <f>IFERROR(__xludf.DUMMYFUNCTION("""COMPUTED_VALUE"""),"Input Box")</f>
        <v/>
      </c>
      <c r="D255" s="7">
        <f>IFERROR(__xludf.DUMMYFUNCTION("""COMPUTED_VALUE"""),"No task description")</f>
        <v/>
      </c>
      <c r="E25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5" s="7" t="inlineStr">
        <is>
          <t>Students were given tasks with varying levels of guidance and artifacts, including a video file and interactive apps like Golabz and Graasp.</t>
        </is>
      </c>
      <c r="G255" s="8" t="inlineStr">
        <is>
          <t>0</t>
        </is>
      </c>
      <c r="H255" s="8" t="inlineStr">
        <is>
          <t>1</t>
        </is>
      </c>
      <c r="I255" s="8" t="inlineStr">
        <is>
          <t>1</t>
        </is>
      </c>
      <c r="J255" s="8" t="inlineStr">
        <is>
          <t>1</t>
        </is>
      </c>
      <c r="K255" s="9" t="inlineStr">
        <is>
          <t>0</t>
        </is>
      </c>
      <c r="L255" s="9" t="inlineStr">
        <is>
          <t>1</t>
        </is>
      </c>
      <c r="M255" s="9" t="inlineStr">
        <is>
          <t>1</t>
        </is>
      </c>
      <c r="N255" s="9" t="inlineStr">
        <is>
          <t>1</t>
        </is>
      </c>
      <c r="O255" s="10" t="inlineStr">
        <is>
          <t>0</t>
        </is>
      </c>
      <c r="P255" s="10" t="inlineStr">
        <is>
          <t>0</t>
        </is>
      </c>
      <c r="Q255" s="10" t="inlineStr">
        <is>
          <t>0</t>
        </is>
      </c>
      <c r="R255" s="10" t="inlineStr">
        <is>
          <t>0</t>
        </is>
      </c>
      <c r="S255" s="10" t="inlineStr">
        <is>
          <t>1</t>
        </is>
      </c>
    </row>
    <row r="256" ht="49" customHeight="1">
      <c r="A256" s="6">
        <f>IFERROR(__xludf.DUMMYFUNCTION("""COMPUTED_VALUE"""),"RATE OF DIFFUSION")</f>
        <v/>
      </c>
      <c r="B256" s="6">
        <f>IFERROR(__xludf.DUMMYFUNCTION("""COMPUTED_VALUE"""),"Resource")</f>
        <v/>
      </c>
      <c r="C256" s="6">
        <f>IFERROR(__xludf.DUMMYFUNCTION("""COMPUTED_VALUE"""),"Q2.graasp")</f>
        <v/>
      </c>
      <c r="D256" s="7">
        <f>IFERROR(__xludf.DUMMYFUNCTION("""COMPUTED_VALUE"""),"&lt;p&gt;2. How does temperature affects rate of diffusion?&lt;/p&gt;")</f>
        <v/>
      </c>
      <c r="E256" s="7">
        <f>IFERROR(__xludf.DUMMYFUNCTION("""COMPUTED_VALUE"""),"No artifact embedded")</f>
        <v/>
      </c>
      <c r="F256" s="7" t="inlineStr">
        <is>
          <t>Students were asked about diffusion and its relation to temperature, with an optional note-taking app available in Item2.</t>
        </is>
      </c>
      <c r="G256" s="8" t="inlineStr">
        <is>
          <t>0</t>
        </is>
      </c>
      <c r="H256" s="8" t="inlineStr">
        <is>
          <t>0</t>
        </is>
      </c>
      <c r="I256" s="8" t="inlineStr">
        <is>
          <t>0</t>
        </is>
      </c>
      <c r="J256" s="8" t="inlineStr">
        <is>
          <t>0</t>
        </is>
      </c>
      <c r="K256" s="9" t="inlineStr">
        <is>
          <t>1</t>
        </is>
      </c>
      <c r="L256" s="9" t="inlineStr">
        <is>
          <t>0</t>
        </is>
      </c>
      <c r="M256" s="9" t="inlineStr">
        <is>
          <t>0</t>
        </is>
      </c>
      <c r="N256" s="9" t="inlineStr">
        <is>
          <t>0</t>
        </is>
      </c>
      <c r="O256" s="10" t="inlineStr">
        <is>
          <t>1</t>
        </is>
      </c>
      <c r="P256" s="10" t="inlineStr">
        <is>
          <t>1</t>
        </is>
      </c>
      <c r="Q256" s="10" t="inlineStr">
        <is>
          <t>1</t>
        </is>
      </c>
      <c r="R256" s="10" t="inlineStr">
        <is>
          <t>0</t>
        </is>
      </c>
      <c r="S256" s="10" t="inlineStr">
        <is>
          <t>0</t>
        </is>
      </c>
    </row>
    <row r="257" ht="329" customHeight="1">
      <c r="A257" s="6">
        <f>IFERROR(__xludf.DUMMYFUNCTION("""COMPUTED_VALUE"""),"RATE OF DIFFUSION")</f>
        <v/>
      </c>
      <c r="B257" s="6">
        <f>IFERROR(__xludf.DUMMYFUNCTION("""COMPUTED_VALUE"""),"Application")</f>
        <v/>
      </c>
      <c r="C257" s="6">
        <f>IFERROR(__xludf.DUMMYFUNCTION("""COMPUTED_VALUE"""),"Input Box (1)")</f>
        <v/>
      </c>
      <c r="D257" s="7">
        <f>IFERROR(__xludf.DUMMYFUNCTION("""COMPUTED_VALUE"""),"No task description")</f>
        <v/>
      </c>
      <c r="E2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7" s="7" t="inlineStr">
        <is>
          <t>Students received task descriptions and used Golabz apps for note-taking and collaboration, with teachers viewing student inputs in Graasp.</t>
        </is>
      </c>
      <c r="G257" s="8" t="inlineStr">
        <is>
          <t>0</t>
        </is>
      </c>
      <c r="H257" s="8" t="inlineStr">
        <is>
          <t>1</t>
        </is>
      </c>
      <c r="I257" s="8" t="inlineStr">
        <is>
          <t>1</t>
        </is>
      </c>
      <c r="J257" s="8" t="inlineStr">
        <is>
          <t>1</t>
        </is>
      </c>
      <c r="K257" s="9" t="inlineStr">
        <is>
          <t>1</t>
        </is>
      </c>
      <c r="L257" s="9" t="inlineStr">
        <is>
          <t>1</t>
        </is>
      </c>
      <c r="M257" s="9" t="inlineStr">
        <is>
          <t>1</t>
        </is>
      </c>
      <c r="N257" s="9" t="inlineStr">
        <is>
          <t>1</t>
        </is>
      </c>
      <c r="O257" s="10" t="inlineStr">
        <is>
          <t>0</t>
        </is>
      </c>
      <c r="P257" s="10" t="inlineStr">
        <is>
          <t>0</t>
        </is>
      </c>
      <c r="Q257" s="10" t="inlineStr">
        <is>
          <t>0</t>
        </is>
      </c>
      <c r="R257" s="10" t="inlineStr">
        <is>
          <t>0</t>
        </is>
      </c>
      <c r="S257" s="10" t="inlineStr">
        <is>
          <t>1</t>
        </is>
      </c>
    </row>
    <row r="258" ht="25" customHeight="1">
      <c r="A258" s="6">
        <f>IFERROR(__xludf.DUMMYFUNCTION("""COMPUTED_VALUE"""),"RATE OF DIFFUSION")</f>
        <v/>
      </c>
      <c r="B258" s="6">
        <f>IFERROR(__xludf.DUMMYFUNCTION("""COMPUTED_VALUE"""),"Space")</f>
        <v/>
      </c>
      <c r="C258" s="6">
        <f>IFERROR(__xludf.DUMMYFUNCTION("""COMPUTED_VALUE"""),"Explore")</f>
        <v/>
      </c>
      <c r="D258" s="7">
        <f>IFERROR(__xludf.DUMMYFUNCTION("""COMPUTED_VALUE"""),"No task description")</f>
        <v/>
      </c>
      <c r="E258" s="7">
        <f>IFERROR(__xludf.DUMMYFUNCTION("""COMPUTED_VALUE"""),"No artifact embedded")</f>
        <v/>
      </c>
      <c r="F258" s="7" t="inlineStr">
        <is>
          <t>Students were instructed on temperature's effect on diffusion rate. Embedded artifacts include a note-taking app with optional collaboration mode.</t>
        </is>
      </c>
      <c r="G258" s="8" t="inlineStr">
        <is>
          <t>1</t>
        </is>
      </c>
      <c r="H258" s="8" t="inlineStr">
        <is>
          <t>0</t>
        </is>
      </c>
      <c r="I258" s="8" t="inlineStr">
        <is>
          <t>0</t>
        </is>
      </c>
      <c r="J258" s="8" t="inlineStr">
        <is>
          <t>0</t>
        </is>
      </c>
      <c r="K258" s="9" t="inlineStr">
        <is>
          <t>0</t>
        </is>
      </c>
      <c r="L258" s="9" t="inlineStr">
        <is>
          <t>0</t>
        </is>
      </c>
      <c r="M258" s="9" t="inlineStr">
        <is>
          <t>0</t>
        </is>
      </c>
      <c r="N258" s="9" t="inlineStr">
        <is>
          <t>0</t>
        </is>
      </c>
      <c r="O258" s="10" t="inlineStr">
        <is>
          <t>0</t>
        </is>
      </c>
      <c r="P258" s="10" t="inlineStr">
        <is>
          <t>0</t>
        </is>
      </c>
      <c r="Q258" s="10" t="inlineStr">
        <is>
          <t>0</t>
        </is>
      </c>
      <c r="R258" s="10" t="inlineStr">
        <is>
          <t>0</t>
        </is>
      </c>
      <c r="S258" s="10" t="inlineStr">
        <is>
          <t>0</t>
        </is>
      </c>
    </row>
    <row r="259" ht="409.5" customHeight="1">
      <c r="A259" s="6">
        <f>IFERROR(__xludf.DUMMYFUNCTION("""COMPUTED_VALUE"""),"RATE OF DIFFUSION")</f>
        <v/>
      </c>
      <c r="B259" s="6">
        <f>IFERROR(__xludf.DUMMYFUNCTION("""COMPUTED_VALUE"""),"Application")</f>
        <v/>
      </c>
      <c r="C259" s="6">
        <f>IFERROR(__xludf.DUMMYFUNCTION("""COMPUTED_VALUE"""),"Hypothesis Scratchpad")</f>
        <v/>
      </c>
      <c r="D259" s="7">
        <f>IFERROR(__xludf.DUMMYFUNCTION("""COMPUTED_VALUE"""),"&lt;p&gt;Before performing an activity in the lab you, first predict what you want to do,thereafter find out in the experiment if your prediction is true or false&lt;/p&gt;")</f>
        <v/>
      </c>
      <c r="E25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59" s="7" t="inlineStr">
        <is>
          <t>Students were given tasks with embedded Golabz apps for note-taking and hypothesis formulation, with optional collaboration modes.</t>
        </is>
      </c>
      <c r="G259" s="8" t="inlineStr">
        <is>
          <t>0</t>
        </is>
      </c>
      <c r="H259" s="8" t="inlineStr">
        <is>
          <t>1</t>
        </is>
      </c>
      <c r="I259" s="8" t="inlineStr">
        <is>
          <t>1</t>
        </is>
      </c>
      <c r="J259" s="8" t="inlineStr">
        <is>
          <t>1</t>
        </is>
      </c>
      <c r="K259" s="9" t="inlineStr">
        <is>
          <t>1</t>
        </is>
      </c>
      <c r="L259" s="9" t="inlineStr">
        <is>
          <t>1</t>
        </is>
      </c>
      <c r="M259" s="9" t="inlineStr">
        <is>
          <t>0</t>
        </is>
      </c>
      <c r="N259" s="9" t="inlineStr">
        <is>
          <t>1</t>
        </is>
      </c>
      <c r="O259" s="10" t="inlineStr">
        <is>
          <t>1</t>
        </is>
      </c>
      <c r="P259" s="10" t="inlineStr">
        <is>
          <t>1</t>
        </is>
      </c>
      <c r="Q259" s="10" t="inlineStr">
        <is>
          <t>1</t>
        </is>
      </c>
      <c r="R259" s="10" t="inlineStr">
        <is>
          <t>1</t>
        </is>
      </c>
      <c r="S259" s="10" t="inlineStr">
        <is>
          <t>0</t>
        </is>
      </c>
    </row>
    <row r="260" ht="329" customHeight="1">
      <c r="A260" s="6">
        <f>IFERROR(__xludf.DUMMYFUNCTION("""COMPUTED_VALUE"""),"RATE OF DIFFUSION")</f>
        <v/>
      </c>
      <c r="B260" s="6">
        <f>IFERROR(__xludf.DUMMYFUNCTION("""COMPUTED_VALUE"""),"Resource")</f>
        <v/>
      </c>
      <c r="C260" s="6">
        <f>IFERROR(__xludf.DUMMYFUNCTION("""COMPUTED_VALUE"""),"procedure.graasp")</f>
        <v/>
      </c>
      <c r="D260" s="7">
        <f>IFERROR(__xludf.DUMMYFUNCTION("""COMPUTED_VALUE"""),"&lt;p&gt;1. press start button to begin the experiment&lt;/p&gt;&lt;p&gt;2. regulate temperature from low-medium-high by adjusting temperature button&lt;/p&gt;&lt;p&gt;3. regulate molecular mass from low-medium-high by adjusting molecular mass button&lt;/p&gt;&lt;p&gt;4. press 'remove barrier' bu"&amp;"tton to observe how the molecules randomly interact &lt;/p&gt;&lt;p&gt;5. press 'reset experiment' to start again&lt;/p&gt;")</f>
        <v/>
      </c>
      <c r="E260" s="7">
        <f>IFERROR(__xludf.DUMMYFUNCTION("""COMPUTED_VALUE"""),"No artifact embedded")</f>
        <v/>
      </c>
      <c r="F260" s="7" t="inlineStr">
        <is>
          <t>Students are given tasks and tools, including the Hypothesis Scratchpad app, to formulate hypotheses and conduct experiments with configurable settings.</t>
        </is>
      </c>
      <c r="G260" s="8" t="inlineStr">
        <is>
          <t>0</t>
        </is>
      </c>
      <c r="H260" s="8" t="inlineStr">
        <is>
          <t>1</t>
        </is>
      </c>
      <c r="I260" s="8" t="inlineStr">
        <is>
          <t>0</t>
        </is>
      </c>
      <c r="J260" s="8" t="inlineStr">
        <is>
          <t>1</t>
        </is>
      </c>
      <c r="K260" s="9" t="inlineStr">
        <is>
          <t>1</t>
        </is>
      </c>
      <c r="L260" s="9" t="inlineStr">
        <is>
          <t>0</t>
        </is>
      </c>
      <c r="M260" s="9" t="inlineStr">
        <is>
          <t>0</t>
        </is>
      </c>
      <c r="N260" s="9" t="inlineStr">
        <is>
          <t>0</t>
        </is>
      </c>
      <c r="O260" s="10" t="inlineStr">
        <is>
          <t>0</t>
        </is>
      </c>
      <c r="P260" s="10" t="inlineStr">
        <is>
          <t>0</t>
        </is>
      </c>
      <c r="Q260" s="10" t="inlineStr">
        <is>
          <t>1</t>
        </is>
      </c>
      <c r="R260" s="10" t="inlineStr">
        <is>
          <t>0</t>
        </is>
      </c>
      <c r="S260" s="10" t="inlineStr">
        <is>
          <t>0</t>
        </is>
      </c>
    </row>
    <row r="261" ht="409.5" customHeight="1">
      <c r="A261" s="6">
        <f>IFERROR(__xludf.DUMMYFUNCTION("""COMPUTED_VALUE"""),"RATE OF DIFFUSION")</f>
        <v/>
      </c>
      <c r="B261" s="6">
        <f>IFERROR(__xludf.DUMMYFUNCTION("""COMPUTED_VALUE"""),"Application")</f>
        <v/>
      </c>
      <c r="C261" s="6">
        <f>IFERROR(__xludf.DUMMYFUNCTION("""COMPUTED_VALUE"""),"Diffusion and Molecular Mass App")</f>
        <v/>
      </c>
      <c r="D261" s="7">
        <f>IFERROR(__xludf.DUMMYFUNCTION("""COMPUTED_VALUE"""),"No task description")</f>
        <v/>
      </c>
      <c r="E261" s="7">
        <f>IFERROR(__xludf.DUMMYFUNCTION("""COMPUTED_VALUE"""),"Golabz app/lab: ""&lt;p&gt;Explore the role of a molecule&amp;#39;s mass with respect to its diffusion rate. Diffusion is the process of a substance spreading out from its origin. Molecules diffuse through random molecular motion. Diffusion is always happening, eve"&amp;"n when a system appears to have reached equilibrium, because molecules are always moving. Massive molecules have more kinetic energy than less massive molecules at the same temperature.&lt;br /&gt;The primary aim of the lab is:&lt;br /&gt;1) To learn about diffusion,"&amp;" molecular motion and Molecular kinetic energy&lt;/p&gt;""")</f>
        <v/>
      </c>
      <c r="F261" s="7" t="inlineStr">
        <is>
          <t>Students predict outcomes, then test in labs using Golabz app tools like Hypothesis Scratchpad.</t>
        </is>
      </c>
      <c r="G261" s="8" t="inlineStr">
        <is>
          <t>1</t>
        </is>
      </c>
      <c r="H261" s="8" t="inlineStr">
        <is>
          <t>1</t>
        </is>
      </c>
      <c r="I261" s="8" t="inlineStr">
        <is>
          <t>1</t>
        </is>
      </c>
      <c r="J261" s="8" t="inlineStr">
        <is>
          <t>1</t>
        </is>
      </c>
      <c r="K261" s="9" t="inlineStr">
        <is>
          <t>1</t>
        </is>
      </c>
      <c r="L261" s="9" t="inlineStr">
        <is>
          <t>0</t>
        </is>
      </c>
      <c r="M261" s="9" t="inlineStr">
        <is>
          <t>0</t>
        </is>
      </c>
      <c r="N261" s="9" t="inlineStr">
        <is>
          <t>0</t>
        </is>
      </c>
      <c r="O261" s="10" t="inlineStr">
        <is>
          <t>1</t>
        </is>
      </c>
      <c r="P261" s="10" t="inlineStr">
        <is>
          <t>1</t>
        </is>
      </c>
      <c r="Q261" s="10" t="inlineStr">
        <is>
          <t>1</t>
        </is>
      </c>
      <c r="R261" s="10" t="inlineStr">
        <is>
          <t>0</t>
        </is>
      </c>
      <c r="S261" s="10" t="inlineStr">
        <is>
          <t>0</t>
        </is>
      </c>
    </row>
    <row r="262" ht="395" customHeight="1">
      <c r="A262" s="6">
        <f>IFERROR(__xludf.DUMMYFUNCTION("""COMPUTED_VALUE"""),"RATE OF DIFFUSION")</f>
        <v/>
      </c>
      <c r="B262" s="6">
        <f>IFERROR(__xludf.DUMMYFUNCTION("""COMPUTED_VALUE"""),"Application")</f>
        <v/>
      </c>
      <c r="C262" s="6">
        <f>IFERROR(__xludf.DUMMYFUNCTION("""COMPUTED_VALUE"""),"Observation Tool")</f>
        <v/>
      </c>
      <c r="D262" s="7">
        <f>IFERROR(__xludf.DUMMYFUNCTION("""COMPUTED_VALUE"""),"&lt;p&gt;Write a brief, accurate and precise observation from the experiment&lt;/p&gt;")</f>
        <v/>
      </c>
      <c r="E262"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262" s="7" t="inlineStr">
        <is>
          <t>Students are instructed to conduct an experiment regulating temperature and molecular mass, observing interactions, and recording observations using the Golabz app/lab tool.</t>
        </is>
      </c>
      <c r="G262" s="8" t="inlineStr">
        <is>
          <t>0</t>
        </is>
      </c>
      <c r="H262" s="8" t="inlineStr">
        <is>
          <t>1</t>
        </is>
      </c>
      <c r="I262" s="8" t="inlineStr">
        <is>
          <t>1</t>
        </is>
      </c>
      <c r="J262" s="8" t="inlineStr">
        <is>
          <t>1</t>
        </is>
      </c>
      <c r="K262" s="9" t="inlineStr">
        <is>
          <t>1</t>
        </is>
      </c>
      <c r="L262" s="9" t="inlineStr">
        <is>
          <t>1</t>
        </is>
      </c>
      <c r="M262" s="9" t="inlineStr">
        <is>
          <t>0</t>
        </is>
      </c>
      <c r="N262" s="9" t="inlineStr">
        <is>
          <t>1</t>
        </is>
      </c>
      <c r="O262" s="10" t="inlineStr">
        <is>
          <t>0</t>
        </is>
      </c>
      <c r="P262" s="10" t="inlineStr">
        <is>
          <t>0</t>
        </is>
      </c>
      <c r="Q262" s="10" t="inlineStr">
        <is>
          <t>1</t>
        </is>
      </c>
      <c r="R262" s="10" t="inlineStr">
        <is>
          <t>1</t>
        </is>
      </c>
      <c r="S262" s="10" t="inlineStr">
        <is>
          <t>0</t>
        </is>
      </c>
    </row>
    <row r="263" ht="409.5" customHeight="1">
      <c r="A263" s="6">
        <f>IFERROR(__xludf.DUMMYFUNCTION("""COMPUTED_VALUE"""),"RATE OF DIFFUSION")</f>
        <v/>
      </c>
      <c r="B263" s="6">
        <f>IFERROR(__xludf.DUMMYFUNCTION("""COMPUTED_VALUE"""),"Application")</f>
        <v/>
      </c>
      <c r="C263" s="6">
        <f>IFERROR(__xludf.DUMMYFUNCTION("""COMPUTED_VALUE"""),"Conclusion Tool")</f>
        <v/>
      </c>
      <c r="D263" s="7">
        <f>IFERROR(__xludf.DUMMYFUNCTION("""COMPUTED_VALUE"""),"No task description")</f>
        <v/>
      </c>
      <c r="E263"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263" s="7" t="inlineStr">
        <is>
          <t>Students are instructed to explore diffusion, record observations, and draw conclusions using Golabz app/lab tools.</t>
        </is>
      </c>
      <c r="G263" s="8" t="inlineStr">
        <is>
          <t>0</t>
        </is>
      </c>
      <c r="H263" s="8" t="inlineStr">
        <is>
          <t>1</t>
        </is>
      </c>
      <c r="I263" s="8" t="inlineStr">
        <is>
          <t>1</t>
        </is>
      </c>
      <c r="J263" s="8" t="inlineStr">
        <is>
          <t>1</t>
        </is>
      </c>
      <c r="K263" s="9" t="inlineStr">
        <is>
          <t>0</t>
        </is>
      </c>
      <c r="L263" s="9" t="inlineStr">
        <is>
          <t>0</t>
        </is>
      </c>
      <c r="M263" s="9" t="inlineStr">
        <is>
          <t>0</t>
        </is>
      </c>
      <c r="N263" s="9" t="inlineStr">
        <is>
          <t>0</t>
        </is>
      </c>
      <c r="O263" s="10" t="inlineStr">
        <is>
          <t>0</t>
        </is>
      </c>
      <c r="P263" s="10" t="inlineStr">
        <is>
          <t>1</t>
        </is>
      </c>
      <c r="Q263" s="10" t="inlineStr">
        <is>
          <t>1</t>
        </is>
      </c>
      <c r="R263" s="10" t="inlineStr">
        <is>
          <t>1</t>
        </is>
      </c>
      <c r="S263" s="10" t="inlineStr">
        <is>
          <t>0</t>
        </is>
      </c>
    </row>
    <row r="264" ht="61" customHeight="1">
      <c r="A264" s="6">
        <f>IFERROR(__xludf.DUMMYFUNCTION("""COMPUTED_VALUE"""),"RATE OF DIFFUSION")</f>
        <v/>
      </c>
      <c r="B264" s="6">
        <f>IFERROR(__xludf.DUMMYFUNCTION("""COMPUTED_VALUE"""),"Space")</f>
        <v/>
      </c>
      <c r="C264" s="6">
        <f>IFERROR(__xludf.DUMMYFUNCTION("""COMPUTED_VALUE"""),"Explain")</f>
        <v/>
      </c>
      <c r="D264" s="7">
        <f>IFERROR(__xludf.DUMMYFUNCTION("""COMPUTED_VALUE"""),"&lt;p&gt;Respond to the questions below for immediate feedback&lt;/p&gt;")</f>
        <v/>
      </c>
      <c r="E264" s="7">
        <f>IFERROR(__xludf.DUMMYFUNCTION("""COMPUTED_VALUE"""),"No artifact embedded")</f>
        <v/>
      </c>
      <c r="F264" s="7" t="inlineStr">
        <is>
          <t>Students write observations and conclusions using Golabz app tools with configurable collaboration and validation features.</t>
        </is>
      </c>
      <c r="G264" s="8" t="inlineStr">
        <is>
          <t>0</t>
        </is>
      </c>
      <c r="H264" s="8" t="inlineStr">
        <is>
          <t>0</t>
        </is>
      </c>
      <c r="I264" s="8" t="inlineStr">
        <is>
          <t>0</t>
        </is>
      </c>
      <c r="J264" s="8" t="inlineStr">
        <is>
          <t>1</t>
        </is>
      </c>
      <c r="K264" s="9" t="inlineStr">
        <is>
          <t>1</t>
        </is>
      </c>
      <c r="L264" s="9" t="inlineStr">
        <is>
          <t>0</t>
        </is>
      </c>
      <c r="M264" s="9" t="inlineStr">
        <is>
          <t>0</t>
        </is>
      </c>
      <c r="N264" s="9" t="inlineStr">
        <is>
          <t>0</t>
        </is>
      </c>
      <c r="O264" s="10" t="inlineStr">
        <is>
          <t>0</t>
        </is>
      </c>
      <c r="P264" s="10" t="inlineStr">
        <is>
          <t>0</t>
        </is>
      </c>
      <c r="Q264" s="10" t="inlineStr">
        <is>
          <t>0</t>
        </is>
      </c>
      <c r="R264" s="10" t="inlineStr">
        <is>
          <t>0</t>
        </is>
      </c>
      <c r="S264" s="10" t="inlineStr">
        <is>
          <t>0</t>
        </is>
      </c>
    </row>
    <row r="265" ht="296" customHeight="1">
      <c r="A265" s="6">
        <f>IFERROR(__xludf.DUMMYFUNCTION("""COMPUTED_VALUE"""),"RATE OF DIFFUSION")</f>
        <v/>
      </c>
      <c r="B265" s="6">
        <f>IFERROR(__xludf.DUMMYFUNCTION("""COMPUTED_VALUE"""),"Application")</f>
        <v/>
      </c>
      <c r="C265" s="6">
        <f>IFERROR(__xludf.DUMMYFUNCTION("""COMPUTED_VALUE"""),"Quiz Tool")</f>
        <v/>
      </c>
      <c r="D265" s="7">
        <f>IFERROR(__xludf.DUMMYFUNCTION("""COMPUTED_VALUE"""),"No task description")</f>
        <v/>
      </c>
      <c r="E26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65" s="7" t="inlineStr">
        <is>
          <t>Students are given tasks with Golabz app/lab tools for hypothesis validation and quizzes with interactive configurations.</t>
        </is>
      </c>
      <c r="G265" s="8" t="inlineStr">
        <is>
          <t>1</t>
        </is>
      </c>
      <c r="H265" s="8" t="inlineStr">
        <is>
          <t>0</t>
        </is>
      </c>
      <c r="I265" s="8" t="inlineStr">
        <is>
          <t>0</t>
        </is>
      </c>
      <c r="J265" s="8" t="inlineStr">
        <is>
          <t>1</t>
        </is>
      </c>
      <c r="K265" s="9" t="inlineStr">
        <is>
          <t>1</t>
        </is>
      </c>
      <c r="L265" s="9" t="inlineStr">
        <is>
          <t>0</t>
        </is>
      </c>
      <c r="M265" s="9" t="inlineStr">
        <is>
          <t>0</t>
        </is>
      </c>
      <c r="N265" s="9" t="inlineStr">
        <is>
          <t>0</t>
        </is>
      </c>
      <c r="O265" s="10" t="inlineStr">
        <is>
          <t>0</t>
        </is>
      </c>
      <c r="P265" s="10" t="inlineStr">
        <is>
          <t>0</t>
        </is>
      </c>
      <c r="Q265" s="10" t="inlineStr">
        <is>
          <t>0</t>
        </is>
      </c>
      <c r="R265" s="10" t="inlineStr">
        <is>
          <t>0</t>
        </is>
      </c>
      <c r="S265" s="10" t="inlineStr">
        <is>
          <t>0</t>
        </is>
      </c>
    </row>
    <row r="266" ht="49" customHeight="1">
      <c r="A266" s="6">
        <f>IFERROR(__xludf.DUMMYFUNCTION("""COMPUTED_VALUE"""),"RATE OF DIFFUSION")</f>
        <v/>
      </c>
      <c r="B266" s="6">
        <f>IFERROR(__xludf.DUMMYFUNCTION("""COMPUTED_VALUE"""),"Resource")</f>
        <v/>
      </c>
      <c r="C266" s="6">
        <f>IFERROR(__xludf.DUMMYFUNCTION("""COMPUTED_VALUE"""),"Q1.graasp")</f>
        <v/>
      </c>
      <c r="D266" s="7">
        <f>IFERROR(__xludf.DUMMYFUNCTION("""COMPUTED_VALUE"""),"&lt;p&gt;Give your feedback in the input box below&lt;/p&gt;")</f>
        <v/>
      </c>
      <c r="E266" s="7">
        <f>IFERROR(__xludf.DUMMYFUNCTION("""COMPUTED_VALUE"""),"No artifact embedded")</f>
        <v/>
      </c>
      <c r="F266" s="7" t="inlineStr">
        <is>
          <t>Students respond to questions for feedback; artifacts include a quiz app with interactive question editing.</t>
        </is>
      </c>
      <c r="G266" s="8" t="inlineStr">
        <is>
          <t>0</t>
        </is>
      </c>
      <c r="H266" s="8" t="inlineStr">
        <is>
          <t>0</t>
        </is>
      </c>
      <c r="I266" s="8" t="inlineStr">
        <is>
          <t>1</t>
        </is>
      </c>
      <c r="J266" s="8" t="inlineStr">
        <is>
          <t>1</t>
        </is>
      </c>
      <c r="K266" s="9" t="inlineStr">
        <is>
          <t>1</t>
        </is>
      </c>
      <c r="L266" s="9" t="inlineStr">
        <is>
          <t>1</t>
        </is>
      </c>
      <c r="M266" s="9" t="inlineStr">
        <is>
          <t>0</t>
        </is>
      </c>
      <c r="N266" s="9" t="inlineStr">
        <is>
          <t>0</t>
        </is>
      </c>
      <c r="O266" s="10" t="inlineStr">
        <is>
          <t>0</t>
        </is>
      </c>
      <c r="P266" s="10" t="inlineStr">
        <is>
          <t>0</t>
        </is>
      </c>
      <c r="Q266" s="10" t="inlineStr">
        <is>
          <t>0</t>
        </is>
      </c>
      <c r="R266" s="10" t="inlineStr">
        <is>
          <t>0</t>
        </is>
      </c>
      <c r="S266" s="10" t="inlineStr">
        <is>
          <t>1</t>
        </is>
      </c>
    </row>
    <row r="267" ht="329" customHeight="1">
      <c r="A267" s="6">
        <f>IFERROR(__xludf.DUMMYFUNCTION("""COMPUTED_VALUE"""),"RATE OF DIFFUSION")</f>
        <v/>
      </c>
      <c r="B267" s="6">
        <f>IFERROR(__xludf.DUMMYFUNCTION("""COMPUTED_VALUE"""),"Application")</f>
        <v/>
      </c>
      <c r="C267" s="6">
        <f>IFERROR(__xludf.DUMMYFUNCTION("""COMPUTED_VALUE"""),"Input Box")</f>
        <v/>
      </c>
      <c r="D267" s="7">
        <f>IFERROR(__xludf.DUMMYFUNCTION("""COMPUTED_VALUE"""),"No task description")</f>
        <v/>
      </c>
      <c r="E2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67" s="7" t="inlineStr">
        <is>
          <t>Students were given tasks with varying descriptions and embedded artifacts, including Golabz apps for quizzes and note-taking.</t>
        </is>
      </c>
      <c r="G267" s="8" t="inlineStr">
        <is>
          <t>0</t>
        </is>
      </c>
      <c r="H267" s="8" t="inlineStr">
        <is>
          <t>1</t>
        </is>
      </c>
      <c r="I267" s="8" t="inlineStr">
        <is>
          <t>1</t>
        </is>
      </c>
      <c r="J267" s="8" t="inlineStr">
        <is>
          <t>1</t>
        </is>
      </c>
      <c r="K267" s="9" t="inlineStr">
        <is>
          <t>0</t>
        </is>
      </c>
      <c r="L267" s="9" t="inlineStr">
        <is>
          <t>0</t>
        </is>
      </c>
      <c r="M267" s="9" t="inlineStr">
        <is>
          <t>1</t>
        </is>
      </c>
      <c r="N267" s="9" t="inlineStr">
        <is>
          <t>1</t>
        </is>
      </c>
      <c r="O267" s="10" t="inlineStr">
        <is>
          <t>0</t>
        </is>
      </c>
      <c r="P267" s="10" t="inlineStr">
        <is>
          <t>0</t>
        </is>
      </c>
      <c r="Q267" s="10" t="inlineStr">
        <is>
          <t>0</t>
        </is>
      </c>
      <c r="R267" s="10" t="inlineStr">
        <is>
          <t>0</t>
        </is>
      </c>
      <c r="S267" s="10" t="inlineStr">
        <is>
          <t>1</t>
        </is>
      </c>
    </row>
    <row r="268" ht="25" customHeight="1">
      <c r="A268" s="6">
        <f>IFERROR(__xludf.DUMMYFUNCTION("""COMPUTED_VALUE"""),"RATE OF DIFFUSION")</f>
        <v/>
      </c>
      <c r="B268" s="6">
        <f>IFERROR(__xludf.DUMMYFUNCTION("""COMPUTED_VALUE"""),"Space")</f>
        <v/>
      </c>
      <c r="C268" s="6">
        <f>IFERROR(__xludf.DUMMYFUNCTION("""COMPUTED_VALUE"""),"Elaborate")</f>
        <v/>
      </c>
      <c r="D268" s="7">
        <f>IFERROR(__xludf.DUMMYFUNCTION("""COMPUTED_VALUE"""),"No task description")</f>
        <v/>
      </c>
      <c r="E268" s="7">
        <f>IFERROR(__xludf.DUMMYFUNCTION("""COMPUTED_VALUE"""),"No artifact embedded")</f>
        <v/>
      </c>
      <c r="F268" s="7" t="inlineStr">
        <is>
          <t>Students give feedback in an input box. Artifacts include a Golabz app/lab for note-taking and collaboration.</t>
        </is>
      </c>
      <c r="G268" s="8" t="inlineStr">
        <is>
          <t>1</t>
        </is>
      </c>
      <c r="H268" s="8" t="inlineStr">
        <is>
          <t>0</t>
        </is>
      </c>
      <c r="I268" s="8" t="inlineStr">
        <is>
          <t>0</t>
        </is>
      </c>
      <c r="J268" s="8" t="inlineStr">
        <is>
          <t>0</t>
        </is>
      </c>
      <c r="K268" s="9" t="inlineStr">
        <is>
          <t>0</t>
        </is>
      </c>
      <c r="L268" s="9" t="inlineStr">
        <is>
          <t>0</t>
        </is>
      </c>
      <c r="M268" s="9" t="inlineStr">
        <is>
          <t>0</t>
        </is>
      </c>
      <c r="N268" s="9" t="inlineStr">
        <is>
          <t>0</t>
        </is>
      </c>
      <c r="O268" s="10" t="inlineStr">
        <is>
          <t>0</t>
        </is>
      </c>
      <c r="P268" s="10" t="inlineStr">
        <is>
          <t>0</t>
        </is>
      </c>
      <c r="Q268" s="10" t="inlineStr">
        <is>
          <t>0</t>
        </is>
      </c>
      <c r="R268" s="10" t="inlineStr">
        <is>
          <t>0</t>
        </is>
      </c>
      <c r="S268" s="10" t="inlineStr">
        <is>
          <t>0</t>
        </is>
      </c>
    </row>
    <row r="269" ht="25" customHeight="1">
      <c r="A269" s="6">
        <f>IFERROR(__xludf.DUMMYFUNCTION("""COMPUTED_VALUE"""),"RATE OF DIFFUSION")</f>
        <v/>
      </c>
      <c r="B269" s="6">
        <f>IFERROR(__xludf.DUMMYFUNCTION("""COMPUTED_VALUE"""),"Space")</f>
        <v/>
      </c>
      <c r="C269" s="6">
        <f>IFERROR(__xludf.DUMMYFUNCTION("""COMPUTED_VALUE"""),"Evaluate")</f>
        <v/>
      </c>
      <c r="D269" s="7">
        <f>IFERROR(__xludf.DUMMYFUNCTION("""COMPUTED_VALUE"""),"No task description")</f>
        <v/>
      </c>
      <c r="E269" s="7">
        <f>IFERROR(__xludf.DUMMYFUNCTION("""COMPUTED_VALUE"""),"No artifact embedded")</f>
        <v/>
      </c>
      <c r="F269" s="7" t="inlineStr">
        <is>
          <t>Students have no task descriptions. Only Item1 has an embedded Golabz app for note-taking, with optional collaboration mode.</t>
        </is>
      </c>
      <c r="G269" s="8" t="inlineStr">
        <is>
          <t>1</t>
        </is>
      </c>
      <c r="H269" s="8" t="inlineStr">
        <is>
          <t>0</t>
        </is>
      </c>
      <c r="I269" s="8" t="inlineStr">
        <is>
          <t>0</t>
        </is>
      </c>
      <c r="J269" s="8" t="inlineStr">
        <is>
          <t>0</t>
        </is>
      </c>
      <c r="K269" s="9" t="inlineStr">
        <is>
          <t>0</t>
        </is>
      </c>
      <c r="L269" s="9" t="inlineStr">
        <is>
          <t>0</t>
        </is>
      </c>
      <c r="M269" s="9" t="inlineStr">
        <is>
          <t>0</t>
        </is>
      </c>
      <c r="N269" s="9" t="inlineStr">
        <is>
          <t>0</t>
        </is>
      </c>
      <c r="O269" s="10" t="inlineStr">
        <is>
          <t>0</t>
        </is>
      </c>
      <c r="P269" s="10" t="inlineStr">
        <is>
          <t>0</t>
        </is>
      </c>
      <c r="Q269" s="10" t="inlineStr">
        <is>
          <t>0</t>
        </is>
      </c>
      <c r="R269" s="10" t="inlineStr">
        <is>
          <t>0</t>
        </is>
      </c>
      <c r="S269" s="10" t="inlineStr">
        <is>
          <t>0</t>
        </is>
      </c>
    </row>
    <row r="270" ht="25" customHeight="1">
      <c r="A270" s="6">
        <f>IFERROR(__xludf.DUMMYFUNCTION("""COMPUTED_VALUE"""),"How do light and temperature affect photosynthesis in plants? - Version A")</f>
        <v/>
      </c>
      <c r="B270" s="6">
        <f>IFERROR(__xludf.DUMMYFUNCTION("""COMPUTED_VALUE"""),"Space")</f>
        <v/>
      </c>
      <c r="C270" s="6">
        <f>IFERROR(__xludf.DUMMYFUNCTION("""COMPUTED_VALUE"""),"Demo")</f>
        <v/>
      </c>
      <c r="D270" s="7">
        <f>IFERROR(__xludf.DUMMYFUNCTION("""COMPUTED_VALUE"""),"No task description")</f>
        <v/>
      </c>
      <c r="E270" s="7">
        <f>IFERROR(__xludf.DUMMYFUNCTION("""COMPUTED_VALUE"""),"No artifact embedded")</f>
        <v/>
      </c>
      <c r="F270" s="7" t="inlineStr">
        <is>
          <t>No instructions or artifacts are provided for Items 1, 2, and 3.</t>
        </is>
      </c>
      <c r="G270" s="8" t="inlineStr">
        <is>
          <t>1</t>
        </is>
      </c>
      <c r="H270" s="8" t="inlineStr">
        <is>
          <t>0</t>
        </is>
      </c>
      <c r="I270" s="8" t="inlineStr">
        <is>
          <t>0</t>
        </is>
      </c>
      <c r="J270" s="8" t="inlineStr">
        <is>
          <t>0</t>
        </is>
      </c>
      <c r="K270" s="9" t="inlineStr">
        <is>
          <t>0</t>
        </is>
      </c>
      <c r="L270" s="9" t="inlineStr">
        <is>
          <t>0</t>
        </is>
      </c>
      <c r="M270" s="9" t="inlineStr">
        <is>
          <t>0</t>
        </is>
      </c>
      <c r="N270" s="9" t="inlineStr">
        <is>
          <t>0</t>
        </is>
      </c>
      <c r="O270" s="10" t="inlineStr">
        <is>
          <t>0</t>
        </is>
      </c>
      <c r="P270" s="10" t="inlineStr">
        <is>
          <t>0</t>
        </is>
      </c>
      <c r="Q270" s="10" t="inlineStr">
        <is>
          <t>0</t>
        </is>
      </c>
      <c r="R270" s="10" t="inlineStr">
        <is>
          <t>0</t>
        </is>
      </c>
      <c r="S270" s="10" t="inlineStr">
        <is>
          <t>0</t>
        </is>
      </c>
    </row>
    <row r="271" ht="97" customHeight="1">
      <c r="A271" s="6">
        <f>IFERROR(__xludf.DUMMYFUNCTION("""COMPUTED_VALUE"""),"How do light and temperature affect photosynthesis in plants? - Version A")</f>
        <v/>
      </c>
      <c r="B271" s="6">
        <f>IFERROR(__xludf.DUMMYFUNCTION("""COMPUTED_VALUE"""),"Resource")</f>
        <v/>
      </c>
      <c r="C271" s="6">
        <f>IFERROR(__xludf.DUMMYFUNCTION("""COMPUTED_VALUE"""),"pilt.png")</f>
        <v/>
      </c>
      <c r="D271" s="7">
        <f>IFERROR(__xludf.DUMMYFUNCTION("""COMPUTED_VALUE"""),"No task description")</f>
        <v/>
      </c>
      <c r="E271" s="7">
        <f>IFERROR(__xludf.DUMMYFUNCTION("""COMPUTED_VALUE"""),"image/png – A high-quality image with support for transparency, often used in design and web applications.")</f>
        <v/>
      </c>
      <c r="F271" s="7" t="inlineStr">
        <is>
          <t>No instructions provided; only Item 3 has an embedded PNG image artifact.</t>
        </is>
      </c>
      <c r="G271" s="8" t="inlineStr">
        <is>
          <t>1</t>
        </is>
      </c>
      <c r="H271" s="8" t="inlineStr">
        <is>
          <t>0</t>
        </is>
      </c>
      <c r="I271" s="8" t="inlineStr">
        <is>
          <t>0</t>
        </is>
      </c>
      <c r="J271" s="8" t="inlineStr">
        <is>
          <t>0</t>
        </is>
      </c>
      <c r="K271" s="9" t="inlineStr">
        <is>
          <t>0</t>
        </is>
      </c>
      <c r="L271" s="9" t="inlineStr">
        <is>
          <t>0</t>
        </is>
      </c>
      <c r="M271" s="9" t="inlineStr">
        <is>
          <t>0</t>
        </is>
      </c>
      <c r="N271" s="9" t="inlineStr">
        <is>
          <t>0</t>
        </is>
      </c>
      <c r="O271" s="10" t="inlineStr">
        <is>
          <t>0</t>
        </is>
      </c>
      <c r="P271" s="10" t="inlineStr">
        <is>
          <t>0</t>
        </is>
      </c>
      <c r="Q271" s="10" t="inlineStr">
        <is>
          <t>0</t>
        </is>
      </c>
      <c r="R271" s="10" t="inlineStr">
        <is>
          <t>0</t>
        </is>
      </c>
      <c r="S271" s="10" t="inlineStr">
        <is>
          <t>0</t>
        </is>
      </c>
    </row>
    <row r="272" ht="169" customHeight="1">
      <c r="A272" s="6">
        <f>IFERROR(__xludf.DUMMYFUNCTION("""COMPUTED_VALUE"""),"How do light and temperature affect photosynthesis in plants? - Version A")</f>
        <v/>
      </c>
      <c r="B272" s="6">
        <f>IFERROR(__xludf.DUMMYFUNCTION("""COMPUTED_VALUE"""),"Resource")</f>
        <v/>
      </c>
      <c r="C272" s="6">
        <f>IFERROR(__xludf.DUMMYFUNCTION("""COMPUTED_VALUE"""),"Tekst5.graasp")</f>
        <v/>
      </c>
      <c r="D272" s="7">
        <f>IFERROR(__xludf.DUMMYFUNCTION("""COMPUTED_VALUE"""),"&lt;p&gt;Look at the picture and think how you could select and place objects on the seesaw so that the seesaw is balanced. Use the scratchpad tool below to formulate a prediction (hypothesis).&lt;br&gt;&lt;/p&gt;")</f>
        <v/>
      </c>
      <c r="E272" s="7">
        <f>IFERROR(__xludf.DUMMYFUNCTION("""COMPUTED_VALUE"""),"No artifact embedded")</f>
        <v/>
      </c>
      <c r="F272" s="7" t="inlineStr">
        <is>
          <t>Students were given tasks with some having no description, while Item3 instructed them to balance a seesaw using objects and formulate a hypothesis. Embedded artifacts included an image/png file in Item2.</t>
        </is>
      </c>
      <c r="G272" s="8" t="inlineStr">
        <is>
          <t>0</t>
        </is>
      </c>
      <c r="H272" s="8" t="inlineStr">
        <is>
          <t>1</t>
        </is>
      </c>
      <c r="I272" s="8" t="inlineStr">
        <is>
          <t>1</t>
        </is>
      </c>
      <c r="J272" s="8" t="inlineStr">
        <is>
          <t>1</t>
        </is>
      </c>
      <c r="K272" s="9" t="inlineStr">
        <is>
          <t>1</t>
        </is>
      </c>
      <c r="L272" s="9" t="inlineStr">
        <is>
          <t>1</t>
        </is>
      </c>
      <c r="M272" s="9" t="inlineStr">
        <is>
          <t>0</t>
        </is>
      </c>
      <c r="N272" s="9" t="inlineStr">
        <is>
          <t>0</t>
        </is>
      </c>
      <c r="O272" s="10" t="inlineStr">
        <is>
          <t>1</t>
        </is>
      </c>
      <c r="P272" s="10" t="inlineStr">
        <is>
          <t>1</t>
        </is>
      </c>
      <c r="Q272" s="10" t="inlineStr">
        <is>
          <t>1</t>
        </is>
      </c>
      <c r="R272" s="10" t="inlineStr">
        <is>
          <t>0</t>
        </is>
      </c>
      <c r="S272" s="10" t="inlineStr">
        <is>
          <t>0</t>
        </is>
      </c>
    </row>
    <row r="273" ht="409.5" customHeight="1">
      <c r="A273" s="6">
        <f>IFERROR(__xludf.DUMMYFUNCTION("""COMPUTED_VALUE"""),"How do light and temperature affect photosynthesis in plants? - Version A")</f>
        <v/>
      </c>
      <c r="B273" s="6">
        <f>IFERROR(__xludf.DUMMYFUNCTION("""COMPUTED_VALUE"""),"Application")</f>
        <v/>
      </c>
      <c r="C273" s="6">
        <f>IFERROR(__xludf.DUMMYFUNCTION("""COMPUTED_VALUE"""),"Hypothesis Scratchpad")</f>
        <v/>
      </c>
      <c r="D273" s="7">
        <f>IFERROR(__xludf.DUMMYFUNCTION("""COMPUTED_VALUE"""),"No task description")</f>
        <v/>
      </c>
      <c r="E273"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73" s="7" t="inlineStr">
        <is>
          <t>Students are given tasks with varying levels of instruction and embedded artifacts, including images and interactive tools like the Hypothesis Scratchpad.</t>
        </is>
      </c>
      <c r="G273" s="8" t="inlineStr">
        <is>
          <t>0</t>
        </is>
      </c>
      <c r="H273" s="8" t="inlineStr">
        <is>
          <t>1</t>
        </is>
      </c>
      <c r="I273" s="8" t="inlineStr">
        <is>
          <t>1</t>
        </is>
      </c>
      <c r="J273" s="8" t="inlineStr">
        <is>
          <t>1</t>
        </is>
      </c>
      <c r="K273" s="9" t="inlineStr">
        <is>
          <t>1</t>
        </is>
      </c>
      <c r="L273" s="9" t="inlineStr">
        <is>
          <t>0</t>
        </is>
      </c>
      <c r="M273" s="9" t="inlineStr">
        <is>
          <t>1</t>
        </is>
      </c>
      <c r="N273" s="9" t="inlineStr">
        <is>
          <t>1</t>
        </is>
      </c>
      <c r="O273" s="10" t="inlineStr">
        <is>
          <t>0</t>
        </is>
      </c>
      <c r="P273" s="10" t="inlineStr">
        <is>
          <t>1</t>
        </is>
      </c>
      <c r="Q273" s="10" t="inlineStr">
        <is>
          <t>1</t>
        </is>
      </c>
      <c r="R273" s="10" t="inlineStr">
        <is>
          <t>0</t>
        </is>
      </c>
      <c r="S273" s="10" t="inlineStr">
        <is>
          <t>0</t>
        </is>
      </c>
    </row>
    <row r="274" ht="395" customHeight="1">
      <c r="A274" s="6">
        <f>IFERROR(__xludf.DUMMYFUNCTION("""COMPUTED_VALUE"""),"How do light and temperature affect photosynthesis in plants? - Version A")</f>
        <v/>
      </c>
      <c r="B274" s="6">
        <f>IFERROR(__xludf.DUMMYFUNCTION("""COMPUTED_VALUE"""),"Resource")</f>
        <v/>
      </c>
      <c r="C274" s="6">
        <f>IFERROR(__xludf.DUMMYFUNCTION("""COMPUTED_VALUE"""),"Text 1.graasp")</f>
        <v/>
      </c>
      <c r="D274"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274" s="7">
        <f>IFERROR(__xludf.DUMMYFUNCTION("""COMPUTED_VALUE"""),"No artifact embedded")</f>
        <v/>
      </c>
      <c r="F274" s="7" t="inlineStr">
        <is>
          <t>Students predict seesaw balance using scratchpad tool and collaborate on problem-solving with chat and simulation tools. Embedded artifacts include Golabz app/lab with hypothesis scratchpad.</t>
        </is>
      </c>
      <c r="G274" s="8" t="inlineStr">
        <is>
          <t>0</t>
        </is>
      </c>
      <c r="H274" s="8" t="inlineStr">
        <is>
          <t>1</t>
        </is>
      </c>
      <c r="I274" s="8" t="inlineStr">
        <is>
          <t>1</t>
        </is>
      </c>
      <c r="J274" s="8" t="inlineStr">
        <is>
          <t>1</t>
        </is>
      </c>
      <c r="K274" s="9" t="inlineStr">
        <is>
          <t>0</t>
        </is>
      </c>
      <c r="L274" s="9" t="inlineStr">
        <is>
          <t>0</t>
        </is>
      </c>
      <c r="M274" s="9" t="inlineStr">
        <is>
          <t>1</t>
        </is>
      </c>
      <c r="N274" s="9" t="inlineStr">
        <is>
          <t>1</t>
        </is>
      </c>
      <c r="O274" s="10" t="inlineStr">
        <is>
          <t>1</t>
        </is>
      </c>
      <c r="P274" s="10" t="inlineStr">
        <is>
          <t>0</t>
        </is>
      </c>
      <c r="Q274" s="10" t="inlineStr">
        <is>
          <t>1</t>
        </is>
      </c>
      <c r="R274" s="10" t="inlineStr">
        <is>
          <t>0</t>
        </is>
      </c>
      <c r="S274" s="10" t="inlineStr">
        <is>
          <t>1</t>
        </is>
      </c>
    </row>
    <row r="275" ht="409.5" customHeight="1">
      <c r="A275" s="6">
        <f>IFERROR(__xludf.DUMMYFUNCTION("""COMPUTED_VALUE"""),"How do light and temperature affect photosynthesis in plants? - Version A")</f>
        <v/>
      </c>
      <c r="B275" s="6">
        <f>IFERROR(__xludf.DUMMYFUNCTION("""COMPUTED_VALUE"""),"Resource")</f>
        <v/>
      </c>
      <c r="C275" s="6">
        <f>IFERROR(__xludf.DUMMYFUNCTION("""COMPUTED_VALUE"""),"instructions for the simulation and chat app.graasp")</f>
        <v/>
      </c>
      <c r="D275"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275" s="7">
        <f>IFERROR(__xludf.DUMMYFUNCTION("""COMPUTED_VALUE"""),"No artifact embedded")</f>
        <v/>
      </c>
      <c r="F275" s="7" t="inlineStr">
        <is>
          <t>Students are instructed to collaborate on a seesaw problem using a simulation and chat app, with specific steps to join and interact with the task. Embedded artifacts include the Hypothesis Scratchpad tool.</t>
        </is>
      </c>
      <c r="G275" s="8" t="inlineStr">
        <is>
          <t>0</t>
        </is>
      </c>
      <c r="H275" s="8" t="inlineStr">
        <is>
          <t>1</t>
        </is>
      </c>
      <c r="I275" s="8" t="inlineStr">
        <is>
          <t>0</t>
        </is>
      </c>
      <c r="J275" s="8" t="inlineStr">
        <is>
          <t>1</t>
        </is>
      </c>
      <c r="K275" s="9" t="inlineStr">
        <is>
          <t>0</t>
        </is>
      </c>
      <c r="L275" s="9" t="inlineStr">
        <is>
          <t>0</t>
        </is>
      </c>
      <c r="M275" s="9" t="inlineStr">
        <is>
          <t>1</t>
        </is>
      </c>
      <c r="N275" s="9" t="inlineStr">
        <is>
          <t>1</t>
        </is>
      </c>
      <c r="O275" s="10" t="inlineStr">
        <is>
          <t>0</t>
        </is>
      </c>
      <c r="P275" s="10" t="inlineStr">
        <is>
          <t>0</t>
        </is>
      </c>
      <c r="Q275" s="10" t="inlineStr">
        <is>
          <t>1</t>
        </is>
      </c>
      <c r="R275" s="10" t="inlineStr">
        <is>
          <t>0</t>
        </is>
      </c>
      <c r="S275" s="10" t="inlineStr">
        <is>
          <t>0</t>
        </is>
      </c>
    </row>
    <row r="276" ht="409.5" customHeight="1">
      <c r="A276" s="6">
        <f>IFERROR(__xludf.DUMMYFUNCTION("""COMPUTED_VALUE"""),"How do light and temperature affect photosynthesis in plants? - Version A")</f>
        <v/>
      </c>
      <c r="B276" s="6">
        <f>IFERROR(__xludf.DUMMYFUNCTION("""COMPUTED_VALUE"""),"Application")</f>
        <v/>
      </c>
      <c r="C276" s="6">
        <f>IFERROR(__xludf.DUMMYFUNCTION("""COMPUTED_VALUE"""),"Seesaw Lab - right side")</f>
        <v/>
      </c>
      <c r="D276" s="7">
        <f>IFERROR(__xludf.DUMMYFUNCTION("""COMPUTED_VALUE"""),"No task description")</f>
        <v/>
      </c>
      <c r="E276"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276" s="7" t="inlineStr">
        <is>
          <t>Students collaborate on a seesaw simulation, using chat apps to communicate. Embedded artifacts include Golabz app/lab and SpeakUP app for collaborative problem-solving.</t>
        </is>
      </c>
      <c r="G276" s="8" t="inlineStr">
        <is>
          <t>0</t>
        </is>
      </c>
      <c r="H276" s="8" t="inlineStr">
        <is>
          <t>1</t>
        </is>
      </c>
      <c r="I276" s="8" t="inlineStr">
        <is>
          <t>1</t>
        </is>
      </c>
      <c r="J276" s="8" t="inlineStr">
        <is>
          <t>1</t>
        </is>
      </c>
      <c r="K276" s="9" t="inlineStr">
        <is>
          <t>0</t>
        </is>
      </c>
      <c r="L276" s="9" t="inlineStr">
        <is>
          <t>0</t>
        </is>
      </c>
      <c r="M276" s="9" t="inlineStr">
        <is>
          <t>1</t>
        </is>
      </c>
      <c r="N276" s="9" t="inlineStr">
        <is>
          <t>1</t>
        </is>
      </c>
      <c r="O276" s="10" t="inlineStr">
        <is>
          <t>1</t>
        </is>
      </c>
      <c r="P276" s="10" t="inlineStr">
        <is>
          <t>1</t>
        </is>
      </c>
      <c r="Q276" s="10" t="inlineStr">
        <is>
          <t>1</t>
        </is>
      </c>
      <c r="R276" s="10" t="inlineStr">
        <is>
          <t>0</t>
        </is>
      </c>
      <c r="S276" s="10" t="inlineStr">
        <is>
          <t>1</t>
        </is>
      </c>
    </row>
    <row r="277" ht="97" customHeight="1">
      <c r="A277" s="6">
        <f>IFERROR(__xludf.DUMMYFUNCTION("""COMPUTED_VALUE"""),"How do light and temperature affect photosynthesis in plants? - Version A")</f>
        <v/>
      </c>
      <c r="B277" s="6">
        <f>IFERROR(__xludf.DUMMYFUNCTION("""COMPUTED_VALUE"""),"Resource")</f>
        <v/>
      </c>
      <c r="C277" s="6">
        <f>IFERROR(__xludf.DUMMYFUNCTION("""COMPUTED_VALUE"""),"tips.png")</f>
        <v/>
      </c>
      <c r="D277" s="7">
        <f>IFERROR(__xludf.DUMMYFUNCTION("""COMPUTED_VALUE"""),"No task description")</f>
        <v/>
      </c>
      <c r="E277" s="7">
        <f>IFERROR(__xludf.DUMMYFUNCTION("""COMPUTED_VALUE"""),"image/png – A high-quality image with support for transparency, often used in design and web applications.")</f>
        <v/>
      </c>
      <c r="F277" s="7" t="inlineStr">
        <is>
          <t>Students are given instructions to use a simulation and chat app, sharing a seesaw and interacting with one side, using a chat application to communicate. Embedded artifacts include Golabz app/lab and an image/png file.</t>
        </is>
      </c>
      <c r="G277" s="8" t="inlineStr">
        <is>
          <t>1</t>
        </is>
      </c>
      <c r="H277" s="8" t="inlineStr">
        <is>
          <t>0</t>
        </is>
      </c>
      <c r="I277" s="8" t="inlineStr">
        <is>
          <t>0</t>
        </is>
      </c>
      <c r="J277" s="8" t="inlineStr">
        <is>
          <t>0</t>
        </is>
      </c>
      <c r="K277" s="9" t="inlineStr">
        <is>
          <t>0</t>
        </is>
      </c>
      <c r="L277" s="9" t="inlineStr">
        <is>
          <t>0</t>
        </is>
      </c>
      <c r="M277" s="9" t="inlineStr">
        <is>
          <t>0</t>
        </is>
      </c>
      <c r="N277" s="9" t="inlineStr">
        <is>
          <t>0</t>
        </is>
      </c>
      <c r="O277" s="10" t="inlineStr">
        <is>
          <t>0</t>
        </is>
      </c>
      <c r="P277" s="10" t="inlineStr">
        <is>
          <t>0</t>
        </is>
      </c>
      <c r="Q277" s="10" t="inlineStr">
        <is>
          <t>0</t>
        </is>
      </c>
      <c r="R277" s="10" t="inlineStr">
        <is>
          <t>0</t>
        </is>
      </c>
      <c r="S277" s="10" t="inlineStr">
        <is>
          <t>0</t>
        </is>
      </c>
    </row>
    <row r="278" ht="409.5" customHeight="1">
      <c r="A278" s="6">
        <f>IFERROR(__xludf.DUMMYFUNCTION("""COMPUTED_VALUE"""),"How do light and temperature affect photosynthesis in plants? - Version A")</f>
        <v/>
      </c>
      <c r="B278" s="6">
        <f>IFERROR(__xludf.DUMMYFUNCTION("""COMPUTED_VALUE"""),"Application")</f>
        <v/>
      </c>
      <c r="C278" s="6">
        <f>IFERROR(__xludf.DUMMYFUNCTION("""COMPUTED_VALUE"""),"SpeakUp")</f>
        <v/>
      </c>
      <c r="D278" s="7">
        <f>IFERROR(__xludf.DUMMYFUNCTION("""COMPUTED_VALUE"""),"No task description")</f>
        <v/>
      </c>
      <c r="E278"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78" s="7" t="inlineStr">
        <is>
          <t>Students use Golabz app/labs with tasks and teaching tips provided; artifacts include seesaw and chat labs.</t>
        </is>
      </c>
      <c r="G278" s="8" t="inlineStr">
        <is>
          <t>0</t>
        </is>
      </c>
      <c r="H278" s="8" t="inlineStr">
        <is>
          <t>1</t>
        </is>
      </c>
      <c r="I278" s="8" t="inlineStr">
        <is>
          <t>1</t>
        </is>
      </c>
      <c r="J278" s="8" t="inlineStr">
        <is>
          <t>1</t>
        </is>
      </c>
      <c r="K278" s="9" t="inlineStr">
        <is>
          <t>0</t>
        </is>
      </c>
      <c r="L278" s="9" t="inlineStr">
        <is>
          <t>0</t>
        </is>
      </c>
      <c r="M278" s="9" t="inlineStr">
        <is>
          <t>1</t>
        </is>
      </c>
      <c r="N278" s="9" t="inlineStr">
        <is>
          <t>1</t>
        </is>
      </c>
      <c r="O278" s="10" t="inlineStr">
        <is>
          <t>0</t>
        </is>
      </c>
      <c r="P278" s="10" t="inlineStr">
        <is>
          <t>0</t>
        </is>
      </c>
      <c r="Q278" s="10" t="inlineStr">
        <is>
          <t>0</t>
        </is>
      </c>
      <c r="R278" s="10" t="inlineStr">
        <is>
          <t>0</t>
        </is>
      </c>
      <c r="S278" s="10" t="inlineStr">
        <is>
          <t>1</t>
        </is>
      </c>
    </row>
    <row r="279" ht="329" customHeight="1">
      <c r="A279" s="6">
        <f>IFERROR(__xludf.DUMMYFUNCTION("""COMPUTED_VALUE"""),"How do light and temperature affect photosynthesis in plants? - Version A")</f>
        <v/>
      </c>
      <c r="B279" s="6">
        <f>IFERROR(__xludf.DUMMYFUNCTION("""COMPUTED_VALUE"""),"Application")</f>
        <v/>
      </c>
      <c r="C279" s="6">
        <f>IFERROR(__xludf.DUMMYFUNCTION("""COMPUTED_VALUE"""),"Input Box 1")</f>
        <v/>
      </c>
      <c r="D279" s="7">
        <f>IFERROR(__xludf.DUMMYFUNCTION("""COMPUTED_VALUE"""),"&lt;p&gt;&lt;strong&gt;3. &lt;/strong&gt;&lt;strong&gt;Question&lt;/strong&gt;&lt;/p&gt;&lt;p&gt;Is it possible to balance the seesaw using a total of 3 objects on the seesaw? If so, then describe exactly how in the space below.&lt;/p&gt;")</f>
        <v/>
      </c>
      <c r="E27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79" s="7" t="inlineStr">
        <is>
          <t>No task descriptions for Items 1 and 2; Item 3 asks about balancing a seesaw with 3 objects. Embedded artifacts include images, Golabz apps (SpeakUp and input box), and labs.</t>
        </is>
      </c>
      <c r="G279" s="8" t="inlineStr">
        <is>
          <t>0</t>
        </is>
      </c>
      <c r="H279" s="8" t="inlineStr">
        <is>
          <t>1</t>
        </is>
      </c>
      <c r="I279" s="8" t="inlineStr">
        <is>
          <t>1</t>
        </is>
      </c>
      <c r="J279" s="8" t="inlineStr">
        <is>
          <t>1</t>
        </is>
      </c>
      <c r="K279" s="9" t="inlineStr">
        <is>
          <t>1</t>
        </is>
      </c>
      <c r="L279" s="9" t="inlineStr">
        <is>
          <t>1</t>
        </is>
      </c>
      <c r="M279" s="9" t="inlineStr">
        <is>
          <t>1</t>
        </is>
      </c>
      <c r="N279" s="9" t="inlineStr">
        <is>
          <t>1</t>
        </is>
      </c>
      <c r="O279" s="10" t="inlineStr">
        <is>
          <t>1</t>
        </is>
      </c>
      <c r="P279" s="10" t="inlineStr">
        <is>
          <t>1</t>
        </is>
      </c>
      <c r="Q279" s="10" t="inlineStr">
        <is>
          <t>1</t>
        </is>
      </c>
      <c r="R279" s="10" t="inlineStr">
        <is>
          <t>0</t>
        </is>
      </c>
      <c r="S279" s="10" t="inlineStr">
        <is>
          <t>0</t>
        </is>
      </c>
    </row>
    <row r="280" ht="229" customHeight="1">
      <c r="A280" s="6">
        <f>IFERROR(__xludf.DUMMYFUNCTION("""COMPUTED_VALUE"""),"How do light and temperature affect photosynthesis in plants? - Version A")</f>
        <v/>
      </c>
      <c r="B280" s="6">
        <f>IFERROR(__xludf.DUMMYFUNCTION("""COMPUTED_VALUE"""),"Resource")</f>
        <v/>
      </c>
      <c r="C280" s="6">
        <f>IFERROR(__xludf.DUMMYFUNCTION("""COMPUTED_VALUE"""),"Text 4.graasp")</f>
        <v/>
      </c>
      <c r="D280"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280" s="7">
        <f>IFERROR(__xludf.DUMMYFUNCTION("""COMPUTED_VALUE"""),"No artifact embedded")</f>
        <v/>
      </c>
      <c r="F280" s="7" t="inlineStr">
        <is>
          <t>Students received tasks with varying descriptions and embedded artifacts, including apps for discussion and note-taking.</t>
        </is>
      </c>
      <c r="G280" s="8" t="inlineStr">
        <is>
          <t>1</t>
        </is>
      </c>
      <c r="H280" s="8" t="inlineStr">
        <is>
          <t>0</t>
        </is>
      </c>
      <c r="I280" s="8" t="inlineStr">
        <is>
          <t>0</t>
        </is>
      </c>
      <c r="J280" s="8" t="inlineStr">
        <is>
          <t>0</t>
        </is>
      </c>
      <c r="K280" s="9" t="inlineStr">
        <is>
          <t>1</t>
        </is>
      </c>
      <c r="L280" s="9" t="inlineStr">
        <is>
          <t>0</t>
        </is>
      </c>
      <c r="M280" s="9" t="inlineStr">
        <is>
          <t>0</t>
        </is>
      </c>
      <c r="N280" s="9" t="inlineStr">
        <is>
          <t>0</t>
        </is>
      </c>
      <c r="O280" s="10" t="inlineStr">
        <is>
          <t>0</t>
        </is>
      </c>
      <c r="P280" s="10" t="inlineStr">
        <is>
          <t>0</t>
        </is>
      </c>
      <c r="Q280" s="10" t="inlineStr">
        <is>
          <t>0</t>
        </is>
      </c>
      <c r="R280" s="10" t="inlineStr">
        <is>
          <t>0</t>
        </is>
      </c>
      <c r="S280" s="10" t="inlineStr">
        <is>
          <t>0</t>
        </is>
      </c>
    </row>
    <row r="281" ht="25" customHeight="1">
      <c r="A281" s="6">
        <f>IFERROR(__xludf.DUMMYFUNCTION("""COMPUTED_VALUE"""),"How do light and temperature affect photosynthesis in plants? - Version A")</f>
        <v/>
      </c>
      <c r="B281" s="6">
        <f>IFERROR(__xludf.DUMMYFUNCTION("""COMPUTED_VALUE"""),"Space")</f>
        <v/>
      </c>
      <c r="C281" s="6">
        <f>IFERROR(__xludf.DUMMYFUNCTION("""COMPUTED_VALUE"""),"Intro")</f>
        <v/>
      </c>
      <c r="D281" s="7">
        <f>IFERROR(__xludf.DUMMYFUNCTION("""COMPUTED_VALUE"""),"No task description")</f>
        <v/>
      </c>
      <c r="E281" s="7">
        <f>IFERROR(__xludf.DUMMYFUNCTION("""COMPUTED_VALUE"""),"No artifact embedded")</f>
        <v/>
      </c>
      <c r="F281" s="7" t="inlineStr">
        <is>
          <t>Students balance a seesaw with 3 objects and describe the process, using the Golabz app for note-taking.</t>
        </is>
      </c>
      <c r="G281" s="8" t="inlineStr">
        <is>
          <t>1</t>
        </is>
      </c>
      <c r="H281" s="8" t="inlineStr">
        <is>
          <t>0</t>
        </is>
      </c>
      <c r="I281" s="8" t="inlineStr">
        <is>
          <t>0</t>
        </is>
      </c>
      <c r="J281" s="8" t="inlineStr">
        <is>
          <t>0</t>
        </is>
      </c>
      <c r="K281" s="9" t="inlineStr">
        <is>
          <t>0</t>
        </is>
      </c>
      <c r="L281" s="9" t="inlineStr">
        <is>
          <t>0</t>
        </is>
      </c>
      <c r="M281" s="9" t="inlineStr">
        <is>
          <t>0</t>
        </is>
      </c>
      <c r="N281" s="9" t="inlineStr">
        <is>
          <t>0</t>
        </is>
      </c>
      <c r="O281" s="10" t="inlineStr">
        <is>
          <t>0</t>
        </is>
      </c>
      <c r="P281" s="10" t="inlineStr">
        <is>
          <t>0</t>
        </is>
      </c>
      <c r="Q281" s="10" t="inlineStr">
        <is>
          <t>0</t>
        </is>
      </c>
      <c r="R281" s="10" t="inlineStr">
        <is>
          <t>0</t>
        </is>
      </c>
      <c r="S281" s="10" t="inlineStr">
        <is>
          <t>0</t>
        </is>
      </c>
    </row>
    <row r="282" ht="318" customHeight="1">
      <c r="A282" s="6">
        <f>IFERROR(__xludf.DUMMYFUNCTION("""COMPUTED_VALUE"""),"How do light and temperature affect photosynthesis in plants? - Version A")</f>
        <v/>
      </c>
      <c r="B282" s="6">
        <f>IFERROR(__xludf.DUMMYFUNCTION("""COMPUTED_VALUE"""),"Resource")</f>
        <v/>
      </c>
      <c r="C282" s="6">
        <f>IFERROR(__xludf.DUMMYFUNCTION("""COMPUTED_VALUE"""),"Teooria.graasp")</f>
        <v/>
      </c>
      <c r="D282"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282" s="7">
        <f>IFERROR(__xludf.DUMMYFUNCTION("""COMPUTED_VALUE"""),"No artifact embedded")</f>
        <v/>
      </c>
      <c r="F282" s="7" t="inlineStr">
        <is>
          <t>Students are given task descriptions, including one about plant photosynthesis, with no embedded artifacts provided.</t>
        </is>
      </c>
      <c r="G282" s="8" t="inlineStr">
        <is>
          <t>1</t>
        </is>
      </c>
      <c r="H282" s="8" t="inlineStr">
        <is>
          <t>0</t>
        </is>
      </c>
      <c r="I282" s="8" t="inlineStr">
        <is>
          <t>0</t>
        </is>
      </c>
      <c r="J282" s="8" t="inlineStr">
        <is>
          <t>0</t>
        </is>
      </c>
      <c r="K282" s="9" t="inlineStr">
        <is>
          <t>1</t>
        </is>
      </c>
      <c r="L282" s="9" t="inlineStr">
        <is>
          <t>0</t>
        </is>
      </c>
      <c r="M282" s="9" t="inlineStr">
        <is>
          <t>0</t>
        </is>
      </c>
      <c r="N282" s="9" t="inlineStr">
        <is>
          <t>0</t>
        </is>
      </c>
      <c r="O282" s="10" t="inlineStr">
        <is>
          <t>0</t>
        </is>
      </c>
      <c r="P282" s="10" t="inlineStr">
        <is>
          <t>0</t>
        </is>
      </c>
      <c r="Q282" s="10" t="inlineStr">
        <is>
          <t>0</t>
        </is>
      </c>
      <c r="R282" s="10" t="inlineStr">
        <is>
          <t>0</t>
        </is>
      </c>
      <c r="S282" s="10" t="inlineStr">
        <is>
          <t>0</t>
        </is>
      </c>
    </row>
    <row r="283" ht="121" customHeight="1">
      <c r="A283" s="6">
        <f>IFERROR(__xludf.DUMMYFUNCTION("""COMPUTED_VALUE"""),"How do light and temperature affect photosynthesis in plants? - Version A")</f>
        <v/>
      </c>
      <c r="B283" s="6">
        <f>IFERROR(__xludf.DUMMYFUNCTION("""COMPUTED_VALUE"""),"Resource")</f>
        <v/>
      </c>
      <c r="C283" s="6">
        <f>IFERROR(__xludf.DUMMYFUNCTION("""COMPUTED_VALUE"""),"photosynthesis.jpg")</f>
        <v/>
      </c>
      <c r="D283" s="7">
        <f>IFERROR(__xludf.DUMMYFUNCTION("""COMPUTED_VALUE"""),"CARBON DIOXIDE _—v .7 WATER &amp; MINERALS")</f>
        <v/>
      </c>
      <c r="E283" s="7">
        <f>IFERROR(__xludf.DUMMYFUNCTION("""COMPUTED_VALUE"""),"image/jpeg – A digital photograph or web image stored in a compressed format, often used for photography and web graphics.")</f>
        <v/>
      </c>
      <c r="F283" s="7" t="inlineStr">
        <is>
          <t>Students are introduced to photosynthesis. Embedded artifacts include no items in Item1 and Item2, but an image/jpeg in Item3.</t>
        </is>
      </c>
      <c r="G283" s="8" t="inlineStr">
        <is>
          <t>1</t>
        </is>
      </c>
      <c r="H283" s="8" t="inlineStr">
        <is>
          <t>0</t>
        </is>
      </c>
      <c r="I283" s="8" t="inlineStr">
        <is>
          <t>0</t>
        </is>
      </c>
      <c r="J283" s="8" t="inlineStr">
        <is>
          <t>0</t>
        </is>
      </c>
      <c r="K283" s="9" t="inlineStr">
        <is>
          <t>0</t>
        </is>
      </c>
      <c r="L283" s="9" t="inlineStr">
        <is>
          <t>0</t>
        </is>
      </c>
      <c r="M283" s="9" t="inlineStr">
        <is>
          <t>0</t>
        </is>
      </c>
      <c r="N283" s="9" t="inlineStr">
        <is>
          <t>0</t>
        </is>
      </c>
      <c r="O283" s="10" t="inlineStr">
        <is>
          <t>0</t>
        </is>
      </c>
      <c r="P283" s="10" t="inlineStr">
        <is>
          <t>0</t>
        </is>
      </c>
      <c r="Q283" s="10" t="inlineStr">
        <is>
          <t>0</t>
        </is>
      </c>
      <c r="R283" s="10" t="inlineStr">
        <is>
          <t>0</t>
        </is>
      </c>
      <c r="S283" s="10" t="inlineStr">
        <is>
          <t>0</t>
        </is>
      </c>
    </row>
    <row r="284" ht="409.5" customHeight="1">
      <c r="A284" s="6">
        <f>IFERROR(__xludf.DUMMYFUNCTION("""COMPUTED_VALUE"""),"How do light and temperature affect photosynthesis in plants? - Version A")</f>
        <v/>
      </c>
      <c r="B284" s="6">
        <f>IFERROR(__xludf.DUMMYFUNCTION("""COMPUTED_VALUE"""),"Resource")</f>
        <v/>
      </c>
      <c r="C284" s="6">
        <f>IFERROR(__xludf.DUMMYFUNCTION("""COMPUTED_VALUE"""),"Veetaimedest.graasp")</f>
        <v/>
      </c>
      <c r="D284"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284" s="7">
        <f>IFERROR(__xludf.DUMMYFUNCTION("""COMPUTED_VALUE"""),"No artifact embedded")</f>
        <v/>
      </c>
      <c r="F284" s="7" t="inlineStr">
        <is>
          <t>Students learn about plant photosynthesis and complete a quiz with single-response questions. Embedded artifacts include a digital photograph in Item 2.</t>
        </is>
      </c>
      <c r="G284" s="8" t="inlineStr">
        <is>
          <t>1</t>
        </is>
      </c>
      <c r="H284" s="8" t="inlineStr">
        <is>
          <t>0</t>
        </is>
      </c>
      <c r="I284" s="8" t="inlineStr">
        <is>
          <t>0</t>
        </is>
      </c>
      <c r="J284" s="8" t="inlineStr">
        <is>
          <t>1</t>
        </is>
      </c>
      <c r="K284" s="9" t="inlineStr">
        <is>
          <t>1</t>
        </is>
      </c>
      <c r="L284" s="9" t="inlineStr">
        <is>
          <t>0</t>
        </is>
      </c>
      <c r="M284" s="9" t="inlineStr">
        <is>
          <t>0</t>
        </is>
      </c>
      <c r="N284" s="9" t="inlineStr">
        <is>
          <t>0</t>
        </is>
      </c>
      <c r="O284" s="10" t="inlineStr">
        <is>
          <t>0</t>
        </is>
      </c>
      <c r="P284" s="10" t="inlineStr">
        <is>
          <t>0</t>
        </is>
      </c>
      <c r="Q284" s="10" t="inlineStr">
        <is>
          <t>0</t>
        </is>
      </c>
      <c r="R284" s="10" t="inlineStr">
        <is>
          <t>0</t>
        </is>
      </c>
      <c r="S284" s="10" t="inlineStr">
        <is>
          <t>0</t>
        </is>
      </c>
    </row>
    <row r="285" ht="296" customHeight="1">
      <c r="A285" s="6">
        <f>IFERROR(__xludf.DUMMYFUNCTION("""COMPUTED_VALUE"""),"How do light and temperature affect photosynthesis in plants? - Version A")</f>
        <v/>
      </c>
      <c r="B285" s="6">
        <f>IFERROR(__xludf.DUMMYFUNCTION("""COMPUTED_VALUE"""),"Application")</f>
        <v/>
      </c>
      <c r="C285" s="6">
        <f>IFERROR(__xludf.DUMMYFUNCTION("""COMPUTED_VALUE"""),"Quiz Tool")</f>
        <v/>
      </c>
      <c r="D285" s="7">
        <f>IFERROR(__xludf.DUMMYFUNCTION("""COMPUTED_VALUE"""),"No task description")</f>
        <v/>
      </c>
      <c r="E28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5" s="7" t="inlineStr">
        <is>
          <t>Students are given task descriptions on carbon dioxide, water, and photosynthesis, with some items including embedded artifacts like images or quizzes.</t>
        </is>
      </c>
      <c r="G285" s="8" t="inlineStr">
        <is>
          <t>1</t>
        </is>
      </c>
      <c r="H285" s="8" t="inlineStr">
        <is>
          <t>0</t>
        </is>
      </c>
      <c r="I285" s="8" t="inlineStr">
        <is>
          <t>0</t>
        </is>
      </c>
      <c r="J285" s="8" t="inlineStr">
        <is>
          <t>1</t>
        </is>
      </c>
      <c r="K285" s="9" t="inlineStr">
        <is>
          <t>1</t>
        </is>
      </c>
      <c r="L285" s="9" t="inlineStr">
        <is>
          <t>0</t>
        </is>
      </c>
      <c r="M285" s="9" t="inlineStr">
        <is>
          <t>0</t>
        </is>
      </c>
      <c r="N285" s="9" t="inlineStr">
        <is>
          <t>0</t>
        </is>
      </c>
      <c r="O285" s="10" t="inlineStr">
        <is>
          <t>0</t>
        </is>
      </c>
      <c r="P285" s="10" t="inlineStr">
        <is>
          <t>0</t>
        </is>
      </c>
      <c r="Q285" s="10" t="inlineStr">
        <is>
          <t>0</t>
        </is>
      </c>
      <c r="R285" s="10" t="inlineStr">
        <is>
          <t>0</t>
        </is>
      </c>
      <c r="S285" s="10" t="inlineStr">
        <is>
          <t>0</t>
        </is>
      </c>
    </row>
    <row r="286" ht="157" customHeight="1">
      <c r="A286" s="6">
        <f>IFERROR(__xludf.DUMMYFUNCTION("""COMPUTED_VALUE"""),"How do light and temperature affect photosynthesis in plants? - Version A")</f>
        <v/>
      </c>
      <c r="B286" s="6">
        <f>IFERROR(__xludf.DUMMYFUNCTION("""COMPUTED_VALUE"""),"Resource")</f>
        <v/>
      </c>
      <c r="C286" s="6">
        <f>IFERROR(__xludf.DUMMYFUNCTION("""COMPUTED_VALUE"""),"Edasi juhatus.graasp")</f>
        <v/>
      </c>
      <c r="D286" s="7">
        <f>IFERROR(__xludf.DUMMYFUNCTION("""COMPUTED_VALUE"""),"&lt;p&gt;Next you will explore how light and season of year affect photosynthesis in aquarium plants. Click on the tab &lt;strong&gt;Explore&lt;/strong&gt; at the top of your screen.&lt;/p&gt;&lt;p&gt;&lt;br&gt;&lt;/p&gt;&lt;p&gt;&lt;br&gt;&lt;/p&gt;")</f>
        <v/>
      </c>
      <c r="E286" s="7">
        <f>IFERROR(__xludf.DUMMYFUNCTION("""COMPUTED_VALUE"""),"No artifact embedded")</f>
        <v/>
      </c>
      <c r="F286" s="7" t="inlineStr">
        <is>
          <t>Students complete a quiz on aquatic plant photosynthesis, with one attempt per question, and then explore how light and season affect photosynthesis using an interactive tool.</t>
        </is>
      </c>
      <c r="G286" s="8" t="inlineStr">
        <is>
          <t>1</t>
        </is>
      </c>
      <c r="H286" s="8" t="inlineStr">
        <is>
          <t>0</t>
        </is>
      </c>
      <c r="I286" s="8" t="inlineStr">
        <is>
          <t>0</t>
        </is>
      </c>
      <c r="J286" s="8" t="inlineStr">
        <is>
          <t>0</t>
        </is>
      </c>
      <c r="K286" s="9" t="inlineStr">
        <is>
          <t>1</t>
        </is>
      </c>
      <c r="L286" s="9" t="inlineStr">
        <is>
          <t>0</t>
        </is>
      </c>
      <c r="M286" s="9" t="inlineStr">
        <is>
          <t>0</t>
        </is>
      </c>
      <c r="N286" s="9" t="inlineStr">
        <is>
          <t>0</t>
        </is>
      </c>
      <c r="O286" s="10" t="inlineStr">
        <is>
          <t>1</t>
        </is>
      </c>
      <c r="P286" s="10" t="inlineStr">
        <is>
          <t>1</t>
        </is>
      </c>
      <c r="Q286" s="10" t="inlineStr">
        <is>
          <t>1</t>
        </is>
      </c>
      <c r="R286" s="10" t="inlineStr">
        <is>
          <t>0</t>
        </is>
      </c>
      <c r="S286" s="10" t="inlineStr">
        <is>
          <t>0</t>
        </is>
      </c>
    </row>
    <row r="287" ht="25" customHeight="1">
      <c r="A287" s="6">
        <f>IFERROR(__xludf.DUMMYFUNCTION("""COMPUTED_VALUE"""),"How do light and temperature affect photosynthesis in plants? - Version A")</f>
        <v/>
      </c>
      <c r="B287" s="6">
        <f>IFERROR(__xludf.DUMMYFUNCTION("""COMPUTED_VALUE"""),"Space")</f>
        <v/>
      </c>
      <c r="C287" s="6">
        <f>IFERROR(__xludf.DUMMYFUNCTION("""COMPUTED_VALUE"""),"Explore")</f>
        <v/>
      </c>
      <c r="D287" s="7">
        <f>IFERROR(__xludf.DUMMYFUNCTION("""COMPUTED_VALUE"""),"No task description")</f>
        <v/>
      </c>
      <c r="E287" s="7">
        <f>IFERROR(__xludf.DUMMYFUNCTION("""COMPUTED_VALUE"""),"No artifact embedded")</f>
        <v/>
      </c>
      <c r="F287" s="7" t="inlineStr">
        <is>
          <t>Students received varying instructions, with Item1 featuring a quiz app, Item2 exploring photosynthesis, and Items 1 and 3 having embedded artifacts.</t>
        </is>
      </c>
      <c r="G287" s="8" t="inlineStr">
        <is>
          <t>1</t>
        </is>
      </c>
      <c r="H287" s="8" t="inlineStr">
        <is>
          <t>0</t>
        </is>
      </c>
      <c r="I287" s="8" t="inlineStr">
        <is>
          <t>0</t>
        </is>
      </c>
      <c r="J287" s="8" t="inlineStr">
        <is>
          <t>0</t>
        </is>
      </c>
      <c r="K287" s="9" t="inlineStr">
        <is>
          <t>0</t>
        </is>
      </c>
      <c r="L287" s="9" t="inlineStr">
        <is>
          <t>0</t>
        </is>
      </c>
      <c r="M287" s="9" t="inlineStr">
        <is>
          <t>0</t>
        </is>
      </c>
      <c r="N287" s="9" t="inlineStr">
        <is>
          <t>0</t>
        </is>
      </c>
      <c r="O287" s="10" t="inlineStr">
        <is>
          <t>0</t>
        </is>
      </c>
      <c r="P287" s="10" t="inlineStr">
        <is>
          <t>0</t>
        </is>
      </c>
      <c r="Q287" s="10" t="inlineStr">
        <is>
          <t>0</t>
        </is>
      </c>
      <c r="R287" s="10" t="inlineStr">
        <is>
          <t>0</t>
        </is>
      </c>
      <c r="S287" s="10" t="inlineStr">
        <is>
          <t>0</t>
        </is>
      </c>
    </row>
    <row r="288" ht="97" customHeight="1">
      <c r="A288" s="6">
        <f>IFERROR(__xludf.DUMMYFUNCTION("""COMPUTED_VALUE"""),"How do light and temperature affect photosynthesis in plants? - Version A")</f>
        <v/>
      </c>
      <c r="B288" s="6">
        <f>IFERROR(__xludf.DUMMYFUNCTION("""COMPUTED_VALUE"""),"Resource")</f>
        <v/>
      </c>
      <c r="C288" s="6">
        <f>IFERROR(__xludf.DUMMYFUNCTION("""COMPUTED_VALUE"""),"elodea.gif")</f>
        <v/>
      </c>
      <c r="D288" s="7">
        <f>IFERROR(__xludf.DUMMYFUNCTION("""COMPUTED_VALUE"""),"No task description")</f>
        <v/>
      </c>
      <c r="E288" s="7">
        <f>IFERROR(__xludf.DUMMYFUNCTION("""COMPUTED_VALUE"""),"image/gif – An animated or static graphic using the GIF format, often seen in memes and web animations.")</f>
        <v/>
      </c>
      <c r="F288" s="7" t="inlineStr">
        <is>
          <t>Students explore photosynthesis in aquarium plants via "Explore" tab. Embedded artifacts include a GIF image in Item 3.</t>
        </is>
      </c>
      <c r="G288" s="8" t="inlineStr">
        <is>
          <t>1</t>
        </is>
      </c>
      <c r="H288" s="8" t="inlineStr">
        <is>
          <t>0</t>
        </is>
      </c>
      <c r="I288" s="8" t="inlineStr">
        <is>
          <t>0</t>
        </is>
      </c>
      <c r="J288" s="8" t="inlineStr">
        <is>
          <t>0</t>
        </is>
      </c>
      <c r="K288" s="9" t="inlineStr">
        <is>
          <t>0</t>
        </is>
      </c>
      <c r="L288" s="9" t="inlineStr">
        <is>
          <t>0</t>
        </is>
      </c>
      <c r="M288" s="9" t="inlineStr">
        <is>
          <t>0</t>
        </is>
      </c>
      <c r="N288" s="9" t="inlineStr">
        <is>
          <t>0</t>
        </is>
      </c>
      <c r="O288" s="10" t="inlineStr">
        <is>
          <t>0</t>
        </is>
      </c>
      <c r="P288" s="10" t="inlineStr">
        <is>
          <t>0</t>
        </is>
      </c>
      <c r="Q288" s="10" t="inlineStr">
        <is>
          <t>0</t>
        </is>
      </c>
      <c r="R288" s="10" t="inlineStr">
        <is>
          <t>0</t>
        </is>
      </c>
      <c r="S288" s="10" t="inlineStr">
        <is>
          <t>0</t>
        </is>
      </c>
    </row>
    <row r="289" ht="49" customHeight="1">
      <c r="A289" s="6">
        <f>IFERROR(__xludf.DUMMYFUNCTION("""COMPUTED_VALUE"""),"How do light and temperature affect photosynthesis in plants? - Version A")</f>
        <v/>
      </c>
      <c r="B289" s="6">
        <f>IFERROR(__xludf.DUMMYFUNCTION("""COMPUTED_VALUE"""),"Resource")</f>
        <v/>
      </c>
      <c r="C289" s="6">
        <f>IFERROR(__xludf.DUMMYFUNCTION("""COMPUTED_VALUE"""),"tekst4.graasp")</f>
        <v/>
      </c>
      <c r="D289" s="7">
        <f>IFERROR(__xludf.DUMMYFUNCTION("""COMPUTED_VALUE"""),"&lt;p&gt;Look at the video clip and answer these questions.&lt;/p&gt;")</f>
        <v/>
      </c>
      <c r="E289" s="7">
        <f>IFERROR(__xludf.DUMMYFUNCTION("""COMPUTED_VALUE"""),"No artifact embedded")</f>
        <v/>
      </c>
      <c r="F289" s="7" t="inlineStr">
        <is>
          <t>Students received task descriptions and artifacts, including a GIF image, to complete assignments with varying levels of guidance.</t>
        </is>
      </c>
      <c r="G289" s="8" t="inlineStr">
        <is>
          <t>0</t>
        </is>
      </c>
      <c r="H289" s="8" t="inlineStr">
        <is>
          <t>0</t>
        </is>
      </c>
      <c r="I289" s="8" t="inlineStr">
        <is>
          <t>0</t>
        </is>
      </c>
      <c r="J289" s="8" t="inlineStr">
        <is>
          <t>0</t>
        </is>
      </c>
      <c r="K289" s="9" t="inlineStr">
        <is>
          <t>1</t>
        </is>
      </c>
      <c r="L289" s="9" t="inlineStr">
        <is>
          <t>0</t>
        </is>
      </c>
      <c r="M289" s="9" t="inlineStr">
        <is>
          <t>0</t>
        </is>
      </c>
      <c r="N289" s="9" t="inlineStr">
        <is>
          <t>0</t>
        </is>
      </c>
      <c r="O289" s="10" t="inlineStr">
        <is>
          <t>0</t>
        </is>
      </c>
      <c r="P289" s="10" t="inlineStr">
        <is>
          <t>0</t>
        </is>
      </c>
      <c r="Q289" s="10" t="inlineStr">
        <is>
          <t>0</t>
        </is>
      </c>
      <c r="R289" s="10" t="inlineStr">
        <is>
          <t>0</t>
        </is>
      </c>
      <c r="S289" s="10" t="inlineStr">
        <is>
          <t>0</t>
        </is>
      </c>
    </row>
    <row r="290" ht="296" customHeight="1">
      <c r="A290" s="6">
        <f>IFERROR(__xludf.DUMMYFUNCTION("""COMPUTED_VALUE"""),"How do light and temperature affect photosynthesis in plants? - Version A")</f>
        <v/>
      </c>
      <c r="B290" s="6">
        <f>IFERROR(__xludf.DUMMYFUNCTION("""COMPUTED_VALUE"""),"Application")</f>
        <v/>
      </c>
      <c r="C290" s="6">
        <f>IFERROR(__xludf.DUMMYFUNCTION("""COMPUTED_VALUE"""),"Quiz Tool")</f>
        <v/>
      </c>
      <c r="D290" s="7">
        <f>IFERROR(__xludf.DUMMYFUNCTION("""COMPUTED_VALUE"""),"No task description")</f>
        <v/>
      </c>
      <c r="E29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90" s="7" t="inlineStr">
        <is>
          <t>Students received tasks with varying descriptions and embedded artifacts, including GIF images and a quiz app.</t>
        </is>
      </c>
      <c r="G290" s="8" t="inlineStr">
        <is>
          <t>0</t>
        </is>
      </c>
      <c r="H290" s="8" t="inlineStr">
        <is>
          <t>0</t>
        </is>
      </c>
      <c r="I290" s="8" t="inlineStr">
        <is>
          <t>0</t>
        </is>
      </c>
      <c r="J290" s="8" t="inlineStr">
        <is>
          <t>1</t>
        </is>
      </c>
      <c r="K290" s="9" t="inlineStr">
        <is>
          <t>1</t>
        </is>
      </c>
      <c r="L290" s="9" t="inlineStr">
        <is>
          <t>0</t>
        </is>
      </c>
      <c r="M290" s="9" t="inlineStr">
        <is>
          <t>0</t>
        </is>
      </c>
      <c r="N290" s="9" t="inlineStr">
        <is>
          <t>0</t>
        </is>
      </c>
      <c r="O290" s="10" t="inlineStr">
        <is>
          <t>0</t>
        </is>
      </c>
      <c r="P290" s="10" t="inlineStr">
        <is>
          <t>0</t>
        </is>
      </c>
      <c r="Q290" s="10" t="inlineStr">
        <is>
          <t>0</t>
        </is>
      </c>
      <c r="R290" s="10" t="inlineStr">
        <is>
          <t>0</t>
        </is>
      </c>
      <c r="S290" s="10" t="inlineStr">
        <is>
          <t>0</t>
        </is>
      </c>
    </row>
    <row r="291" ht="409.5" customHeight="1">
      <c r="A291" s="6">
        <f>IFERROR(__xludf.DUMMYFUNCTION("""COMPUTED_VALUE"""),"How do light and temperature affect photosynthesis in plants? - Version A")</f>
        <v/>
      </c>
      <c r="B291" s="6">
        <f>IFERROR(__xludf.DUMMYFUNCTION("""COMPUTED_VALUE"""),"Resource")</f>
        <v/>
      </c>
      <c r="C291" s="6">
        <f>IFERROR(__xludf.DUMMYFUNCTION("""COMPUTED_VALUE"""),"Text 1.graasp")</f>
        <v/>
      </c>
      <c r="D291"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291" s="7">
        <f>IFERROR(__xludf.DUMMYFUNCTION("""COMPUTED_VALUE"""),"No artifact embedded")</f>
        <v/>
      </c>
      <c r="F291" s="7" t="inlineStr">
        <is>
          <t>Students are given tasks with varying instructions and tools, including video clips, quizzes, and collaborative simulations. Embedded artifacts include a quiz app and interactive configurations.</t>
        </is>
      </c>
      <c r="G291" s="8" t="inlineStr">
        <is>
          <t>0</t>
        </is>
      </c>
      <c r="H291" s="8" t="inlineStr">
        <is>
          <t>1</t>
        </is>
      </c>
      <c r="I291" s="8" t="inlineStr">
        <is>
          <t>1</t>
        </is>
      </c>
      <c r="J291" s="8" t="inlineStr">
        <is>
          <t>1</t>
        </is>
      </c>
      <c r="K291" s="9" t="inlineStr">
        <is>
          <t>0</t>
        </is>
      </c>
      <c r="L291" s="9" t="inlineStr">
        <is>
          <t>0</t>
        </is>
      </c>
      <c r="M291" s="9" t="inlineStr">
        <is>
          <t>1</t>
        </is>
      </c>
      <c r="N291" s="9" t="inlineStr">
        <is>
          <t>1</t>
        </is>
      </c>
      <c r="O291" s="10" t="inlineStr">
        <is>
          <t>1</t>
        </is>
      </c>
      <c r="P291" s="10" t="inlineStr">
        <is>
          <t>1</t>
        </is>
      </c>
      <c r="Q291" s="10" t="inlineStr">
        <is>
          <t>1</t>
        </is>
      </c>
      <c r="R291" s="10" t="inlineStr">
        <is>
          <t>0</t>
        </is>
      </c>
      <c r="S291" s="10" t="inlineStr">
        <is>
          <t>1</t>
        </is>
      </c>
    </row>
    <row r="292" ht="373" customHeight="1">
      <c r="A292" s="6">
        <f>IFERROR(__xludf.DUMMYFUNCTION("""COMPUTED_VALUE"""),"How do light and temperature affect photosynthesis in plants? - Version A")</f>
        <v/>
      </c>
      <c r="B292" s="6">
        <f>IFERROR(__xludf.DUMMYFUNCTION("""COMPUTED_VALUE"""),"Resource")</f>
        <v/>
      </c>
      <c r="C292" s="6">
        <f>IFERROR(__xludf.DUMMYFUNCTION("""COMPUTED_VALUE"""),"instructions for the simulation and chat app.graasp")</f>
        <v/>
      </c>
      <c r="D292"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292" s="7">
        <f>IFERROR(__xludf.DUMMYFUNCTION("""COMPUTED_VALUE"""),"No artifact embedded")</f>
        <v/>
      </c>
      <c r="F292" s="7" t="inlineStr">
        <is>
          <t>Students received task descriptions and interacted with embedded artifacts, including a quiz app and simulation/chat application.</t>
        </is>
      </c>
      <c r="G292" s="8" t="inlineStr">
        <is>
          <t>0</t>
        </is>
      </c>
      <c r="H292" s="8" t="inlineStr">
        <is>
          <t>1</t>
        </is>
      </c>
      <c r="I292" s="8" t="inlineStr">
        <is>
          <t>0</t>
        </is>
      </c>
      <c r="J292" s="8" t="inlineStr">
        <is>
          <t>1</t>
        </is>
      </c>
      <c r="K292" s="9" t="inlineStr">
        <is>
          <t>1</t>
        </is>
      </c>
      <c r="L292" s="9" t="inlineStr">
        <is>
          <t>0</t>
        </is>
      </c>
      <c r="M292" s="9" t="inlineStr">
        <is>
          <t>1</t>
        </is>
      </c>
      <c r="N292" s="9" t="inlineStr">
        <is>
          <t>0</t>
        </is>
      </c>
      <c r="O292" s="10" t="inlineStr">
        <is>
          <t>0</t>
        </is>
      </c>
      <c r="P292" s="10" t="inlineStr">
        <is>
          <t>0</t>
        </is>
      </c>
      <c r="Q292" s="10" t="inlineStr">
        <is>
          <t>0</t>
        </is>
      </c>
      <c r="R292" s="10" t="inlineStr">
        <is>
          <t>0</t>
        </is>
      </c>
      <c r="S292" s="10" t="inlineStr">
        <is>
          <t>0</t>
        </is>
      </c>
    </row>
    <row r="293" ht="409.5" customHeight="1">
      <c r="A293" s="6">
        <f>IFERROR(__xludf.DUMMYFUNCTION("""COMPUTED_VALUE"""),"How do light and temperature affect photosynthesis in plants? - Version A")</f>
        <v/>
      </c>
      <c r="B293" s="6">
        <f>IFERROR(__xludf.DUMMYFUNCTION("""COMPUTED_VALUE"""),"Application")</f>
        <v/>
      </c>
      <c r="C293" s="6">
        <f>IFERROR(__xludf.DUMMYFUNCTION("""COMPUTED_VALUE"""),"Rate of Photosynthesis Lab - only season control")</f>
        <v/>
      </c>
      <c r="D293" s="7">
        <f>IFERROR(__xludf.DUMMYFUNCTION("""COMPUTED_VALUE"""),"No task description")</f>
        <v/>
      </c>
      <c r="E293"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293" s="7" t="inlineStr">
        <is>
          <t>Students collaborate to solve a problem using a simulation and chat app, answering questions about photosynthesis.</t>
        </is>
      </c>
      <c r="G293" s="8" t="inlineStr">
        <is>
          <t>0</t>
        </is>
      </c>
      <c r="H293" s="8" t="inlineStr">
        <is>
          <t>1</t>
        </is>
      </c>
      <c r="I293" s="8" t="inlineStr">
        <is>
          <t>1</t>
        </is>
      </c>
      <c r="J293" s="8" t="inlineStr">
        <is>
          <t>1</t>
        </is>
      </c>
      <c r="K293" s="9" t="inlineStr">
        <is>
          <t>0</t>
        </is>
      </c>
      <c r="L293" s="9" t="inlineStr">
        <is>
          <t>0</t>
        </is>
      </c>
      <c r="M293" s="9" t="inlineStr">
        <is>
          <t>1</t>
        </is>
      </c>
      <c r="N293" s="9" t="inlineStr">
        <is>
          <t>1</t>
        </is>
      </c>
      <c r="O293" s="10" t="inlineStr">
        <is>
          <t>1</t>
        </is>
      </c>
      <c r="P293" s="10" t="inlineStr">
        <is>
          <t>1</t>
        </is>
      </c>
      <c r="Q293" s="10" t="inlineStr">
        <is>
          <t>1</t>
        </is>
      </c>
      <c r="R293" s="10" t="inlineStr">
        <is>
          <t>0</t>
        </is>
      </c>
      <c r="S293" s="10" t="inlineStr">
        <is>
          <t>1</t>
        </is>
      </c>
    </row>
    <row r="294" ht="97" customHeight="1">
      <c r="A294" s="6">
        <f>IFERROR(__xludf.DUMMYFUNCTION("""COMPUTED_VALUE"""),"How do light and temperature affect photosynthesis in plants? - Version A")</f>
        <v/>
      </c>
      <c r="B294" s="6">
        <f>IFERROR(__xludf.DUMMYFUNCTION("""COMPUTED_VALUE"""),"Resource")</f>
        <v/>
      </c>
      <c r="C294" s="6">
        <f>IFERROR(__xludf.DUMMYFUNCTION("""COMPUTED_VALUE"""),"tips.png")</f>
        <v/>
      </c>
      <c r="D294" s="7">
        <f>IFERROR(__xludf.DUMMYFUNCTION("""COMPUTED_VALUE"""),"No task description")</f>
        <v/>
      </c>
      <c r="E294" s="7">
        <f>IFERROR(__xludf.DUMMYFUNCTION("""COMPUTED_VALUE"""),"image/png – A high-quality image with support for transparency, often used in design and web applications.")</f>
        <v/>
      </c>
      <c r="F294" s="7" t="inlineStr">
        <is>
          <t>Students enter numbers to join simulations and chats. Embedded artifacts include Golabz app/lab and a PNG image.</t>
        </is>
      </c>
      <c r="G294" s="8" t="inlineStr">
        <is>
          <t>1</t>
        </is>
      </c>
      <c r="H294" s="8" t="inlineStr">
        <is>
          <t>0</t>
        </is>
      </c>
      <c r="I294" s="8" t="inlineStr">
        <is>
          <t>0</t>
        </is>
      </c>
      <c r="J294" s="8" t="inlineStr">
        <is>
          <t>0</t>
        </is>
      </c>
      <c r="K294" s="9" t="inlineStr">
        <is>
          <t>0</t>
        </is>
      </c>
      <c r="L294" s="9" t="inlineStr">
        <is>
          <t>0</t>
        </is>
      </c>
      <c r="M294" s="9" t="inlineStr">
        <is>
          <t>0</t>
        </is>
      </c>
      <c r="N294" s="9" t="inlineStr">
        <is>
          <t>0</t>
        </is>
      </c>
      <c r="O294" s="10" t="inlineStr">
        <is>
          <t>0</t>
        </is>
      </c>
      <c r="P294" s="10" t="inlineStr">
        <is>
          <t>0</t>
        </is>
      </c>
      <c r="Q294" s="10" t="inlineStr">
        <is>
          <t>0</t>
        </is>
      </c>
      <c r="R294" s="10" t="inlineStr">
        <is>
          <t>0</t>
        </is>
      </c>
      <c r="S294" s="10" t="inlineStr">
        <is>
          <t>0</t>
        </is>
      </c>
    </row>
    <row r="295" ht="409.5" customHeight="1">
      <c r="A295" s="6">
        <f>IFERROR(__xludf.DUMMYFUNCTION("""COMPUTED_VALUE"""),"How do light and temperature affect photosynthesis in plants? - Version A")</f>
        <v/>
      </c>
      <c r="B295" s="6">
        <f>IFERROR(__xludf.DUMMYFUNCTION("""COMPUTED_VALUE"""),"Application")</f>
        <v/>
      </c>
      <c r="C295" s="6">
        <f>IFERROR(__xludf.DUMMYFUNCTION("""COMPUTED_VALUE"""),"SpeakUp")</f>
        <v/>
      </c>
      <c r="D295" s="7">
        <f>IFERROR(__xludf.DUMMYFUNCTION("""COMPUTED_VALUE"""),"No task description")</f>
        <v/>
      </c>
      <c r="E295"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95" s="7" t="inlineStr">
        <is>
          <t>Students use Golabz lab and SpeakUp app for collaborative problem-solving, with instructions to create spaces and chat rooms for shared simulations.</t>
        </is>
      </c>
      <c r="G295" s="8" t="inlineStr">
        <is>
          <t>0</t>
        </is>
      </c>
      <c r="H295" s="8" t="inlineStr">
        <is>
          <t>1</t>
        </is>
      </c>
      <c r="I295" s="8" t="inlineStr">
        <is>
          <t>1</t>
        </is>
      </c>
      <c r="J295" s="8" t="inlineStr">
        <is>
          <t>1</t>
        </is>
      </c>
      <c r="K295" s="9" t="inlineStr">
        <is>
          <t>0</t>
        </is>
      </c>
      <c r="L295" s="9" t="inlineStr">
        <is>
          <t>0</t>
        </is>
      </c>
      <c r="M295" s="9" t="inlineStr">
        <is>
          <t>1</t>
        </is>
      </c>
      <c r="N295" s="9" t="inlineStr">
        <is>
          <t>1</t>
        </is>
      </c>
      <c r="O295" s="10" t="inlineStr">
        <is>
          <t>0</t>
        </is>
      </c>
      <c r="P295" s="10" t="inlineStr">
        <is>
          <t>0</t>
        </is>
      </c>
      <c r="Q295" s="10" t="inlineStr">
        <is>
          <t>0</t>
        </is>
      </c>
      <c r="R295" s="10" t="inlineStr">
        <is>
          <t>0</t>
        </is>
      </c>
      <c r="S295" s="10" t="inlineStr">
        <is>
          <t>1</t>
        </is>
      </c>
    </row>
    <row r="296" ht="37" customHeight="1">
      <c r="A296" s="6">
        <f>IFERROR(__xludf.DUMMYFUNCTION("""COMPUTED_VALUE"""),"How do light and temperature affect photosynthesis in plants? - Version A")</f>
        <v/>
      </c>
      <c r="B296" s="6">
        <f>IFERROR(__xludf.DUMMYFUNCTION("""COMPUTED_VALUE"""),"Resource")</f>
        <v/>
      </c>
      <c r="C296" s="6">
        <f>IFERROR(__xludf.DUMMYFUNCTION("""COMPUTED_VALUE"""),"tekst2.graasp")</f>
        <v/>
      </c>
      <c r="D296" s="7">
        <f>IFERROR(__xludf.DUMMYFUNCTION("""COMPUTED_VALUE"""),"&lt;p&gt;&lt;strong&gt;QUESTIONS&lt;/strong&gt;&lt;/p&gt;")</f>
        <v/>
      </c>
      <c r="E296" s="7">
        <f>IFERROR(__xludf.DUMMYFUNCTION("""COMPUTED_VALUE"""),"No artifact embedded")</f>
        <v/>
      </c>
      <c r="F296" s="7" t="inlineStr">
        <is>
          <t>No task descriptions for Items 1 and 2; Item 1 has a PNG image, Item 2 has a Golabz app/lab with SpeakUp, and Item 3 has questions only.</t>
        </is>
      </c>
      <c r="G296" s="8" t="inlineStr">
        <is>
          <t>0</t>
        </is>
      </c>
      <c r="H296" s="8" t="inlineStr">
        <is>
          <t>0</t>
        </is>
      </c>
      <c r="I296" s="8" t="inlineStr">
        <is>
          <t>0</t>
        </is>
      </c>
      <c r="J296" s="8" t="inlineStr">
        <is>
          <t>0</t>
        </is>
      </c>
      <c r="K296" s="9" t="inlineStr">
        <is>
          <t>1</t>
        </is>
      </c>
      <c r="L296" s="9" t="inlineStr">
        <is>
          <t>0</t>
        </is>
      </c>
      <c r="M296" s="9" t="inlineStr">
        <is>
          <t>0</t>
        </is>
      </c>
      <c r="N296" s="9" t="inlineStr">
        <is>
          <t>0</t>
        </is>
      </c>
      <c r="O296" s="10" t="inlineStr">
        <is>
          <t>0</t>
        </is>
      </c>
      <c r="P296" s="10" t="inlineStr">
        <is>
          <t>1</t>
        </is>
      </c>
      <c r="Q296" s="10" t="inlineStr">
        <is>
          <t>0</t>
        </is>
      </c>
      <c r="R296" s="10" t="inlineStr">
        <is>
          <t>0</t>
        </is>
      </c>
      <c r="S296" s="10" t="inlineStr">
        <is>
          <t>0</t>
        </is>
      </c>
    </row>
    <row r="297" ht="329" customHeight="1">
      <c r="A297" s="6">
        <f>IFERROR(__xludf.DUMMYFUNCTION("""COMPUTED_VALUE"""),"How do light and temperature affect photosynthesis in plants? - Version A")</f>
        <v/>
      </c>
      <c r="B297" s="6">
        <f>IFERROR(__xludf.DUMMYFUNCTION("""COMPUTED_VALUE"""),"Application")</f>
        <v/>
      </c>
      <c r="C297" s="6">
        <f>IFERROR(__xludf.DUMMYFUNCTION("""COMPUTED_VALUE"""),"Input Box")</f>
        <v/>
      </c>
      <c r="D297" s="7">
        <f>IFERROR(__xludf.DUMMYFUNCTION("""COMPUTED_VALUE"""),"&lt;p&gt;1. How does photosynthesis in aquarium plants depend on light intensity?&lt;/p&gt;")</f>
        <v/>
      </c>
      <c r="E29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7" s="7" t="inlineStr">
        <is>
          <t>Students received tasks with varying descriptions and embedded artifacts, including Golabz apps for discussion and note-taking.</t>
        </is>
      </c>
      <c r="G297" s="8" t="inlineStr">
        <is>
          <t>0</t>
        </is>
      </c>
      <c r="H297" s="8" t="inlineStr">
        <is>
          <t>1</t>
        </is>
      </c>
      <c r="I297" s="8" t="inlineStr">
        <is>
          <t>1</t>
        </is>
      </c>
      <c r="J297" s="8" t="inlineStr">
        <is>
          <t>1</t>
        </is>
      </c>
      <c r="K297" s="9" t="inlineStr">
        <is>
          <t>1</t>
        </is>
      </c>
      <c r="L297" s="9" t="inlineStr">
        <is>
          <t>1</t>
        </is>
      </c>
      <c r="M297" s="9" t="inlineStr">
        <is>
          <t>1</t>
        </is>
      </c>
      <c r="N297" s="9" t="inlineStr">
        <is>
          <t>1</t>
        </is>
      </c>
      <c r="O297" s="10" t="inlineStr">
        <is>
          <t>1</t>
        </is>
      </c>
      <c r="P297" s="10" t="inlineStr">
        <is>
          <t>1</t>
        </is>
      </c>
      <c r="Q297" s="10" t="inlineStr">
        <is>
          <t>1</t>
        </is>
      </c>
      <c r="R297" s="10" t="inlineStr">
        <is>
          <t>0</t>
        </is>
      </c>
      <c r="S297" s="10" t="inlineStr">
        <is>
          <t>0</t>
        </is>
      </c>
    </row>
    <row r="298" ht="329" customHeight="1">
      <c r="A298" s="6">
        <f>IFERROR(__xludf.DUMMYFUNCTION("""COMPUTED_VALUE"""),"How do light and temperature affect photosynthesis in plants? - Version A")</f>
        <v/>
      </c>
      <c r="B298" s="6">
        <f>IFERROR(__xludf.DUMMYFUNCTION("""COMPUTED_VALUE"""),"Application")</f>
        <v/>
      </c>
      <c r="C298" s="6">
        <f>IFERROR(__xludf.DUMMYFUNCTION("""COMPUTED_VALUE"""),"Input Box (1)")</f>
        <v/>
      </c>
      <c r="D298" s="7">
        <f>IFERROR(__xludf.DUMMYFUNCTION("""COMPUTED_VALUE"""),"&lt;p&gt;2. How does photosynthesis in aquarium plants depend on the season of the year?&lt;/p&gt;")</f>
        <v/>
      </c>
      <c r="E29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8" s="7" t="inlineStr">
        <is>
          <t>Students answer questions on photosynthesis, using a note-taking app with optional collaboration mode.</t>
        </is>
      </c>
      <c r="G298" s="8" t="inlineStr">
        <is>
          <t>0</t>
        </is>
      </c>
      <c r="H298" s="8" t="inlineStr">
        <is>
          <t>1</t>
        </is>
      </c>
      <c r="I298" s="8" t="inlineStr">
        <is>
          <t>1</t>
        </is>
      </c>
      <c r="J298" s="8" t="inlineStr">
        <is>
          <t>1</t>
        </is>
      </c>
      <c r="K298" s="9" t="inlineStr">
        <is>
          <t>1</t>
        </is>
      </c>
      <c r="L298" s="9" t="inlineStr">
        <is>
          <t>1</t>
        </is>
      </c>
      <c r="M298" s="9" t="inlineStr">
        <is>
          <t>1</t>
        </is>
      </c>
      <c r="N298" s="9" t="inlineStr">
        <is>
          <t>1</t>
        </is>
      </c>
      <c r="O298" s="10" t="inlineStr">
        <is>
          <t>1</t>
        </is>
      </c>
      <c r="P298" s="10" t="inlineStr">
        <is>
          <t>1</t>
        </is>
      </c>
      <c r="Q298" s="10" t="inlineStr">
        <is>
          <t>1</t>
        </is>
      </c>
      <c r="R298" s="10" t="inlineStr">
        <is>
          <t>0</t>
        </is>
      </c>
      <c r="S298" s="10" t="inlineStr">
        <is>
          <t>1</t>
        </is>
      </c>
    </row>
    <row r="299" ht="263" customHeight="1">
      <c r="A299" s="6">
        <f>IFERROR(__xludf.DUMMYFUNCTION("""COMPUTED_VALUE"""),"How do light and temperature affect photosynthesis in plants? - Version A")</f>
        <v/>
      </c>
      <c r="B299" s="6">
        <f>IFERROR(__xludf.DUMMYFUNCTION("""COMPUTED_VALUE"""),"Resource")</f>
        <v/>
      </c>
      <c r="C299" s="6">
        <f>IFERROR(__xludf.DUMMYFUNCTION("""COMPUTED_VALUE"""),"tekst3.graasp")</f>
        <v/>
      </c>
      <c r="D299"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299" s="7">
        <f>IFERROR(__xludf.DUMMYFUNCTION("""COMPUTED_VALUE"""),"No artifact embedded")</f>
        <v/>
      </c>
      <c r="F299" s="7" t="inlineStr">
        <is>
          <t>Students investigate photosynthesis in aquarium plants via tasks and note-taking apps, with options for collaboration and teacher overview.</t>
        </is>
      </c>
      <c r="G299" s="8" t="inlineStr">
        <is>
          <t>0</t>
        </is>
      </c>
      <c r="H299" s="8" t="inlineStr">
        <is>
          <t>0</t>
        </is>
      </c>
      <c r="I299" s="8" t="inlineStr">
        <is>
          <t>0</t>
        </is>
      </c>
      <c r="J299" s="8" t="inlineStr">
        <is>
          <t>0</t>
        </is>
      </c>
      <c r="K299" s="9" t="inlineStr">
        <is>
          <t>1</t>
        </is>
      </c>
      <c r="L299" s="9" t="inlineStr">
        <is>
          <t>0</t>
        </is>
      </c>
      <c r="M299" s="9" t="inlineStr">
        <is>
          <t>0</t>
        </is>
      </c>
      <c r="N299" s="9" t="inlineStr">
        <is>
          <t>0</t>
        </is>
      </c>
      <c r="O299" s="10" t="inlineStr">
        <is>
          <t>0</t>
        </is>
      </c>
      <c r="P299" s="10" t="inlineStr">
        <is>
          <t>0</t>
        </is>
      </c>
      <c r="Q299" s="10" t="inlineStr">
        <is>
          <t>0</t>
        </is>
      </c>
      <c r="R299" s="10" t="inlineStr">
        <is>
          <t>0</t>
        </is>
      </c>
      <c r="S299" s="10" t="inlineStr">
        <is>
          <t>1</t>
        </is>
      </c>
    </row>
    <row r="300" ht="25" customHeight="1">
      <c r="A300" s="6">
        <f>IFERROR(__xludf.DUMMYFUNCTION("""COMPUTED_VALUE"""),"How do light and temperature affect photosynthesis in plants? - Version A")</f>
        <v/>
      </c>
      <c r="B300" s="6">
        <f>IFERROR(__xludf.DUMMYFUNCTION("""COMPUTED_VALUE"""),"Space")</f>
        <v/>
      </c>
      <c r="C300" s="6">
        <f>IFERROR(__xludf.DUMMYFUNCTION("""COMPUTED_VALUE"""),"Reflection")</f>
        <v/>
      </c>
      <c r="D300" s="7">
        <f>IFERROR(__xludf.DUMMYFUNCTION("""COMPUTED_VALUE"""),"No task description")</f>
        <v/>
      </c>
      <c r="E300" s="7">
        <f>IFERROR(__xludf.DUMMYFUNCTION("""COMPUTED_VALUE"""),"No artifact embedded")</f>
        <v/>
      </c>
      <c r="F300" s="7" t="inlineStr">
        <is>
          <t>Students investigate seasonal effects on photosynthesis and take notes using the Golabz app, then reflect on experiments.</t>
        </is>
      </c>
      <c r="G300" s="8" t="inlineStr">
        <is>
          <t>1</t>
        </is>
      </c>
      <c r="H300" s="8" t="inlineStr">
        <is>
          <t>0</t>
        </is>
      </c>
      <c r="I300" s="8" t="inlineStr">
        <is>
          <t>0</t>
        </is>
      </c>
      <c r="J300" s="8" t="inlineStr">
        <is>
          <t>0</t>
        </is>
      </c>
      <c r="K300" s="9" t="inlineStr">
        <is>
          <t>0</t>
        </is>
      </c>
      <c r="L300" s="9" t="inlineStr">
        <is>
          <t>0</t>
        </is>
      </c>
      <c r="M300" s="9" t="inlineStr">
        <is>
          <t>0</t>
        </is>
      </c>
      <c r="N300" s="9" t="inlineStr">
        <is>
          <t>0</t>
        </is>
      </c>
      <c r="O300" s="10" t="inlineStr">
        <is>
          <t>0</t>
        </is>
      </c>
      <c r="P300" s="10" t="inlineStr">
        <is>
          <t>0</t>
        </is>
      </c>
      <c r="Q300" s="10" t="inlineStr">
        <is>
          <t>0</t>
        </is>
      </c>
      <c r="R300" s="10" t="inlineStr">
        <is>
          <t>0</t>
        </is>
      </c>
      <c r="S300" s="10" t="inlineStr">
        <is>
          <t>0</t>
        </is>
      </c>
    </row>
    <row r="301" ht="73" customHeight="1">
      <c r="A301" s="6">
        <f>IFERROR(__xludf.DUMMYFUNCTION("""COMPUTED_VALUE"""),"How do light and temperature affect photosynthesis in plants? - Version A")</f>
        <v/>
      </c>
      <c r="B301" s="6">
        <f>IFERROR(__xludf.DUMMYFUNCTION("""COMPUTED_VALUE"""),"Resource")</f>
        <v/>
      </c>
      <c r="C301" s="6">
        <f>IFERROR(__xludf.DUMMYFUNCTION("""COMPUTED_VALUE"""),"text1.graasp")</f>
        <v/>
      </c>
      <c r="D301" s="7">
        <f>IFERROR(__xludf.DUMMYFUNCTION("""COMPUTED_VALUE"""),"&lt;p&gt;Think about your collaborative experience and anwer these questions:&lt;/p&gt;")</f>
        <v/>
      </c>
      <c r="E301" s="7">
        <f>IFERROR(__xludf.DUMMYFUNCTION("""COMPUTED_VALUE"""),"No artifact embedded")</f>
        <v/>
      </c>
      <c r="F301" s="7" t="inlineStr">
        <is>
          <t>Students were instructed to complete experiments, answer questions, and reflect. No artifacts were embedded in the items.</t>
        </is>
      </c>
      <c r="G301" s="8" t="inlineStr">
        <is>
          <t>0</t>
        </is>
      </c>
      <c r="H301" s="8" t="inlineStr">
        <is>
          <t>0</t>
        </is>
      </c>
      <c r="I301" s="8" t="inlineStr">
        <is>
          <t>0</t>
        </is>
      </c>
      <c r="J301" s="8" t="inlineStr">
        <is>
          <t>0</t>
        </is>
      </c>
      <c r="K301" s="9" t="inlineStr">
        <is>
          <t>1</t>
        </is>
      </c>
      <c r="L301" s="9" t="inlineStr">
        <is>
          <t>0</t>
        </is>
      </c>
      <c r="M301" s="9" t="inlineStr">
        <is>
          <t>1</t>
        </is>
      </c>
      <c r="N301" s="9" t="inlineStr">
        <is>
          <t>0</t>
        </is>
      </c>
      <c r="O301" s="10" t="inlineStr">
        <is>
          <t>0</t>
        </is>
      </c>
      <c r="P301" s="10" t="inlineStr">
        <is>
          <t>0</t>
        </is>
      </c>
      <c r="Q301" s="10" t="inlineStr">
        <is>
          <t>0</t>
        </is>
      </c>
      <c r="R301" s="10" t="inlineStr">
        <is>
          <t>0</t>
        </is>
      </c>
      <c r="S301" s="10" t="inlineStr">
        <is>
          <t>1</t>
        </is>
      </c>
    </row>
    <row r="302" ht="329" customHeight="1">
      <c r="A302" s="6">
        <f>IFERROR(__xludf.DUMMYFUNCTION("""COMPUTED_VALUE"""),"How do light and temperature affect photosynthesis in plants? - Version A")</f>
        <v/>
      </c>
      <c r="B302" s="6">
        <f>IFERROR(__xludf.DUMMYFUNCTION("""COMPUTED_VALUE"""),"Application")</f>
        <v/>
      </c>
      <c r="C302" s="6">
        <f>IFERROR(__xludf.DUMMYFUNCTION("""COMPUTED_VALUE"""),"Input Box")</f>
        <v/>
      </c>
      <c r="D302" s="7">
        <f>IFERROR(__xludf.DUMMYFUNCTION("""COMPUTED_VALUE"""),"&lt;p&gt;1. What was most difficult when working collaboratively? Why?&lt;/p&gt;")</f>
        <v/>
      </c>
      <c r="E3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2" s="7" t="inlineStr">
        <is>
          <t>Students were given tasks with questions about collaborative experiences. Some items had no embedded artifacts, while Item3 included a Golabz app/lab for note-taking and collaboration.</t>
        </is>
      </c>
      <c r="G302" s="8" t="inlineStr">
        <is>
          <t>0</t>
        </is>
      </c>
      <c r="H302" s="8" t="inlineStr">
        <is>
          <t>1</t>
        </is>
      </c>
      <c r="I302" s="8" t="inlineStr">
        <is>
          <t>1</t>
        </is>
      </c>
      <c r="J302" s="8" t="inlineStr">
        <is>
          <t>1</t>
        </is>
      </c>
      <c r="K302" s="9" t="inlineStr">
        <is>
          <t>1</t>
        </is>
      </c>
      <c r="L302" s="9" t="inlineStr">
        <is>
          <t>1</t>
        </is>
      </c>
      <c r="M302" s="9" t="inlineStr">
        <is>
          <t>1</t>
        </is>
      </c>
      <c r="N302" s="9" t="inlineStr">
        <is>
          <t>1</t>
        </is>
      </c>
      <c r="O302" s="10" t="inlineStr">
        <is>
          <t>1</t>
        </is>
      </c>
      <c r="P302" s="10" t="inlineStr">
        <is>
          <t>1</t>
        </is>
      </c>
      <c r="Q302" s="10" t="inlineStr">
        <is>
          <t>0</t>
        </is>
      </c>
      <c r="R302" s="10" t="inlineStr">
        <is>
          <t>0</t>
        </is>
      </c>
      <c r="S302" s="10" t="inlineStr">
        <is>
          <t>1</t>
        </is>
      </c>
    </row>
    <row r="303" ht="329" customHeight="1">
      <c r="A303" s="6">
        <f>IFERROR(__xludf.DUMMYFUNCTION("""COMPUTED_VALUE"""),"How do light and temperature affect photosynthesis in plants? - Version A")</f>
        <v/>
      </c>
      <c r="B303" s="6">
        <f>IFERROR(__xludf.DUMMYFUNCTION("""COMPUTED_VALUE"""),"Application")</f>
        <v/>
      </c>
      <c r="C303" s="6">
        <f>IFERROR(__xludf.DUMMYFUNCTION("""COMPUTED_VALUE"""),"Input Box (1)")</f>
        <v/>
      </c>
      <c r="D303" s="7">
        <f>IFERROR(__xludf.DUMMYFUNCTION("""COMPUTED_VALUE"""),"&lt;p&gt;2. What would you do differently next time you have to solve a similar collaborative task?&lt;/p&gt;")</f>
        <v/>
      </c>
      <c r="E3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3" s="7" t="inlineStr">
        <is>
          <t>Students answer questions about collaborative experiences. Embedded artifacts include a note-taking app with optional collaboration mode via Golabz and Graasp tools.</t>
        </is>
      </c>
      <c r="G303" s="8" t="inlineStr">
        <is>
          <t>0</t>
        </is>
      </c>
      <c r="H303" s="8" t="inlineStr">
        <is>
          <t>1</t>
        </is>
      </c>
      <c r="I303" s="8" t="inlineStr">
        <is>
          <t>1</t>
        </is>
      </c>
      <c r="J303" s="8" t="inlineStr">
        <is>
          <t>1</t>
        </is>
      </c>
      <c r="K303" s="9" t="inlineStr">
        <is>
          <t>1</t>
        </is>
      </c>
      <c r="L303" s="9" t="inlineStr">
        <is>
          <t>1</t>
        </is>
      </c>
      <c r="M303" s="9" t="inlineStr">
        <is>
          <t>1</t>
        </is>
      </c>
      <c r="N303" s="9" t="inlineStr">
        <is>
          <t>1</t>
        </is>
      </c>
      <c r="O303" s="10" t="inlineStr">
        <is>
          <t>1</t>
        </is>
      </c>
      <c r="P303" s="10" t="inlineStr">
        <is>
          <t>1</t>
        </is>
      </c>
      <c r="Q303" s="10" t="inlineStr">
        <is>
          <t>0</t>
        </is>
      </c>
      <c r="R303" s="10" t="inlineStr">
        <is>
          <t>0</t>
        </is>
      </c>
      <c r="S303" s="10" t="inlineStr">
        <is>
          <t>1</t>
        </is>
      </c>
    </row>
    <row r="304" ht="85" customHeight="1">
      <c r="A304" s="6">
        <f>IFERROR(__xludf.DUMMYFUNCTION("""COMPUTED_VALUE"""),"How do light and temperature affect photosynthesis in plants? - Version A")</f>
        <v/>
      </c>
      <c r="B304" s="6">
        <f>IFERROR(__xludf.DUMMYFUNCTION("""COMPUTED_VALUE"""),"Resource")</f>
        <v/>
      </c>
      <c r="C304" s="6">
        <f>IFERROR(__xludf.DUMMYFUNCTION("""COMPUTED_VALUE"""),"text2.graasp")</f>
        <v/>
      </c>
      <c r="D304" s="7">
        <f>IFERROR(__xludf.DUMMYFUNCTION("""COMPUTED_VALUE"""),"&lt;p&gt;After both of the questions you can continue to the next phase called &lt;strong&gt;Predict&lt;/strong&gt;.&lt;/p&gt;")</f>
        <v/>
      </c>
      <c r="E304" s="7">
        <f>IFERROR(__xludf.DUMMYFUNCTION("""COMPUTED_VALUE"""),"No artifact embedded")</f>
        <v/>
      </c>
      <c r="F304" s="7" t="inlineStr">
        <is>
          <t>Students answer collaborative task difficulties and improvements. Embedded artifacts include Golabz app/lab for note-taking and collaboration overview.</t>
        </is>
      </c>
      <c r="G304" s="8" t="inlineStr">
        <is>
          <t>0</t>
        </is>
      </c>
      <c r="H304" s="8" t="inlineStr">
        <is>
          <t>0</t>
        </is>
      </c>
      <c r="I304" s="8" t="inlineStr">
        <is>
          <t>0</t>
        </is>
      </c>
      <c r="J304" s="8" t="inlineStr">
        <is>
          <t>0</t>
        </is>
      </c>
      <c r="K304" s="9" t="inlineStr">
        <is>
          <t>1</t>
        </is>
      </c>
      <c r="L304" s="9" t="inlineStr">
        <is>
          <t>0</t>
        </is>
      </c>
      <c r="M304" s="9" t="inlineStr">
        <is>
          <t>0</t>
        </is>
      </c>
      <c r="N304" s="9" t="inlineStr">
        <is>
          <t>0</t>
        </is>
      </c>
      <c r="O304" s="10" t="inlineStr">
        <is>
          <t>0</t>
        </is>
      </c>
      <c r="P304" s="10" t="inlineStr">
        <is>
          <t>0</t>
        </is>
      </c>
      <c r="Q304" s="10" t="inlineStr">
        <is>
          <t>0</t>
        </is>
      </c>
      <c r="R304" s="10" t="inlineStr">
        <is>
          <t>0</t>
        </is>
      </c>
      <c r="S304" s="10" t="inlineStr">
        <is>
          <t>0</t>
        </is>
      </c>
    </row>
    <row r="305" ht="25" customHeight="1">
      <c r="A305" s="6">
        <f>IFERROR(__xludf.DUMMYFUNCTION("""COMPUTED_VALUE"""),"How do light and temperature affect photosynthesis in plants? - Version A")</f>
        <v/>
      </c>
      <c r="B305" s="6">
        <f>IFERROR(__xludf.DUMMYFUNCTION("""COMPUTED_VALUE"""),"Space")</f>
        <v/>
      </c>
      <c r="C305" s="6">
        <f>IFERROR(__xludf.DUMMYFUNCTION("""COMPUTED_VALUE"""),"Predict")</f>
        <v/>
      </c>
      <c r="D305" s="7">
        <f>IFERROR(__xludf.DUMMYFUNCTION("""COMPUTED_VALUE"""),"No task description")</f>
        <v/>
      </c>
      <c r="E305" s="7">
        <f>IFERROR(__xludf.DUMMYFUNCTION("""COMPUTED_VALUE"""),"No artifact embedded")</f>
        <v/>
      </c>
      <c r="F305" s="7" t="inlineStr">
        <is>
          <t>Students reflect on collaborative tasks and use Golabz app/lab for note-taking, with optional collaboration mode.</t>
        </is>
      </c>
      <c r="G305" s="8" t="inlineStr">
        <is>
          <t>1</t>
        </is>
      </c>
      <c r="H305" s="8" t="inlineStr">
        <is>
          <t>0</t>
        </is>
      </c>
      <c r="I305" s="8" t="inlineStr">
        <is>
          <t>0</t>
        </is>
      </c>
      <c r="J305" s="8" t="inlineStr">
        <is>
          <t>0</t>
        </is>
      </c>
      <c r="K305" s="9" t="inlineStr">
        <is>
          <t>0</t>
        </is>
      </c>
      <c r="L305" s="9" t="inlineStr">
        <is>
          <t>0</t>
        </is>
      </c>
      <c r="M305" s="9" t="inlineStr">
        <is>
          <t>0</t>
        </is>
      </c>
      <c r="N305" s="9" t="inlineStr">
        <is>
          <t>0</t>
        </is>
      </c>
      <c r="O305" s="10" t="inlineStr">
        <is>
          <t>0</t>
        </is>
      </c>
      <c r="P305" s="10" t="inlineStr">
        <is>
          <t>0</t>
        </is>
      </c>
      <c r="Q305" s="10" t="inlineStr">
        <is>
          <t>0</t>
        </is>
      </c>
      <c r="R305" s="10" t="inlineStr">
        <is>
          <t>0</t>
        </is>
      </c>
      <c r="S305" s="10" t="inlineStr">
        <is>
          <t>0</t>
        </is>
      </c>
    </row>
    <row r="306" ht="133" customHeight="1">
      <c r="A306" s="6">
        <f>IFERROR(__xludf.DUMMYFUNCTION("""COMPUTED_VALUE"""),"How do light and temperature affect photosynthesis in plants? - Version A")</f>
        <v/>
      </c>
      <c r="B306" s="6">
        <f>IFERROR(__xludf.DUMMYFUNCTION("""COMPUTED_VALUE"""),"Resource")</f>
        <v/>
      </c>
      <c r="C306" s="6">
        <f>IFERROR(__xludf.DUMMYFUNCTION("""COMPUTED_VALUE"""),"tekst3.graasp")</f>
        <v/>
      </c>
      <c r="D306" s="7">
        <f>IFERROR(__xludf.DUMMYFUNCTION("""COMPUTED_VALUE"""),"&lt;p&gt;&lt;strong&gt;Good job!&lt;/strong&gt; You have completed the first half of this lesson. After answering the two questions below, you will begin with a new experiment.&lt;/p&gt;")</f>
        <v/>
      </c>
      <c r="E306" s="7">
        <f>IFERROR(__xludf.DUMMYFUNCTION("""COMPUTED_VALUE"""),"No artifact embedded")</f>
        <v/>
      </c>
      <c r="F306" s="7" t="inlineStr">
        <is>
          <t>Students proceed after answering questions to next phases, such as "Predict". No artifacts are embedded in any items.</t>
        </is>
      </c>
      <c r="G306" s="8" t="inlineStr">
        <is>
          <t>0</t>
        </is>
      </c>
      <c r="H306" s="8" t="inlineStr">
        <is>
          <t>0</t>
        </is>
      </c>
      <c r="I306" s="8" t="inlineStr">
        <is>
          <t>0</t>
        </is>
      </c>
      <c r="J306" s="8" t="inlineStr">
        <is>
          <t>0</t>
        </is>
      </c>
      <c r="K306" s="9" t="inlineStr">
        <is>
          <t>1</t>
        </is>
      </c>
      <c r="L306" s="9" t="inlineStr">
        <is>
          <t>0</t>
        </is>
      </c>
      <c r="M306" s="9" t="inlineStr">
        <is>
          <t>0</t>
        </is>
      </c>
      <c r="N306" s="9" t="inlineStr">
        <is>
          <t>0</t>
        </is>
      </c>
      <c r="O306" s="10" t="inlineStr">
        <is>
          <t>0</t>
        </is>
      </c>
      <c r="P306" s="10" t="inlineStr">
        <is>
          <t>0</t>
        </is>
      </c>
      <c r="Q306" s="10" t="inlineStr">
        <is>
          <t>0</t>
        </is>
      </c>
      <c r="R306" s="10" t="inlineStr">
        <is>
          <t>0</t>
        </is>
      </c>
      <c r="S306" s="10" t="inlineStr">
        <is>
          <t>0</t>
        </is>
      </c>
    </row>
    <row r="307" ht="296" customHeight="1">
      <c r="A307" s="6">
        <f>IFERROR(__xludf.DUMMYFUNCTION("""COMPUTED_VALUE"""),"How do light and temperature affect photosynthesis in plants? - Version A")</f>
        <v/>
      </c>
      <c r="B307" s="6">
        <f>IFERROR(__xludf.DUMMYFUNCTION("""COMPUTED_VALUE"""),"Application")</f>
        <v/>
      </c>
      <c r="C307" s="6">
        <f>IFERROR(__xludf.DUMMYFUNCTION("""COMPUTED_VALUE"""),"Quiz Tool")</f>
        <v/>
      </c>
      <c r="D307" s="7">
        <f>IFERROR(__xludf.DUMMYFUNCTION("""COMPUTED_VALUE"""),"No task description")</f>
        <v/>
      </c>
      <c r="E3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307" s="7" t="inlineStr">
        <is>
          <t>Students receive minimal instructions. Items 1 and 3 lack task descriptions, while Item 2 congratulates students on completing half the lesson. Embedded artifacts are mostly absent, except for a Golabz app/lab description in Item 3.</t>
        </is>
      </c>
      <c r="G307" s="8" t="inlineStr">
        <is>
          <t>0</t>
        </is>
      </c>
      <c r="H307" s="8" t="inlineStr">
        <is>
          <t>0</t>
        </is>
      </c>
      <c r="I307" s="8" t="inlineStr">
        <is>
          <t>0</t>
        </is>
      </c>
      <c r="J307" s="8" t="inlineStr">
        <is>
          <t>1</t>
        </is>
      </c>
      <c r="K307" s="9" t="inlineStr">
        <is>
          <t>1</t>
        </is>
      </c>
      <c r="L307" s="9" t="inlineStr">
        <is>
          <t>0</t>
        </is>
      </c>
      <c r="M307" s="9" t="inlineStr">
        <is>
          <t>0</t>
        </is>
      </c>
      <c r="N307" s="9" t="inlineStr">
        <is>
          <t>0</t>
        </is>
      </c>
      <c r="O307" s="10" t="inlineStr">
        <is>
          <t>0</t>
        </is>
      </c>
      <c r="P307" s="10" t="inlineStr">
        <is>
          <t>0</t>
        </is>
      </c>
      <c r="Q307" s="10" t="inlineStr">
        <is>
          <t>0</t>
        </is>
      </c>
      <c r="R307" s="10" t="inlineStr">
        <is>
          <t>0</t>
        </is>
      </c>
      <c r="S307" s="10" t="inlineStr">
        <is>
          <t>0</t>
        </is>
      </c>
    </row>
    <row r="308" ht="409.5" customHeight="1">
      <c r="A308" s="6">
        <f>IFERROR(__xludf.DUMMYFUNCTION("""COMPUTED_VALUE"""),"How do light and temperature affect photosynthesis in plants? - Version A")</f>
        <v/>
      </c>
      <c r="B308" s="6">
        <f>IFERROR(__xludf.DUMMYFUNCTION("""COMPUTED_VALUE"""),"Resource")</f>
        <v/>
      </c>
      <c r="C308" s="6">
        <f>IFERROR(__xludf.DUMMYFUNCTION("""COMPUTED_VALUE"""),"tekst1.graasp")</f>
        <v/>
      </c>
      <c r="D308"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308" s="7">
        <f>IFERROR(__xludf.DUMMYFUNCTION("""COMPUTED_VALUE"""),"No artifact embedded")</f>
        <v/>
      </c>
      <c r="F308" s="7" t="inlineStr">
        <is>
          <t>Students receive task instructions and interact with embedded artifacts, including a quiz app and scratchpad tool.</t>
        </is>
      </c>
      <c r="G308" s="8" t="inlineStr">
        <is>
          <t>0</t>
        </is>
      </c>
      <c r="H308" s="8" t="inlineStr">
        <is>
          <t>1</t>
        </is>
      </c>
      <c r="I308" s="8" t="inlineStr">
        <is>
          <t>1</t>
        </is>
      </c>
      <c r="J308" s="8" t="inlineStr">
        <is>
          <t>1</t>
        </is>
      </c>
      <c r="K308" s="9" t="inlineStr">
        <is>
          <t>1</t>
        </is>
      </c>
      <c r="L308" s="9" t="inlineStr">
        <is>
          <t>1</t>
        </is>
      </c>
      <c r="M308" s="9" t="inlineStr">
        <is>
          <t>0</t>
        </is>
      </c>
      <c r="N308" s="9" t="inlineStr">
        <is>
          <t>0</t>
        </is>
      </c>
      <c r="O308" s="10" t="inlineStr">
        <is>
          <t>1</t>
        </is>
      </c>
      <c r="P308" s="10" t="inlineStr">
        <is>
          <t>1</t>
        </is>
      </c>
      <c r="Q308" s="10" t="inlineStr">
        <is>
          <t>1</t>
        </is>
      </c>
      <c r="R308" s="10" t="inlineStr">
        <is>
          <t>0</t>
        </is>
      </c>
      <c r="S308" s="10" t="inlineStr">
        <is>
          <t>0</t>
        </is>
      </c>
    </row>
    <row r="309" ht="409.5" customHeight="1">
      <c r="A309" s="6">
        <f>IFERROR(__xludf.DUMMYFUNCTION("""COMPUTED_VALUE"""),"How do light and temperature affect photosynthesis in plants? - Version A")</f>
        <v/>
      </c>
      <c r="B309" s="6">
        <f>IFERROR(__xludf.DUMMYFUNCTION("""COMPUTED_VALUE"""),"Application")</f>
        <v/>
      </c>
      <c r="C309" s="6">
        <f>IFERROR(__xludf.DUMMYFUNCTION("""COMPUTED_VALUE"""),"Hypothesis Scratchpad")</f>
        <v/>
      </c>
      <c r="D309" s="7">
        <f>IFERROR(__xludf.DUMMYFUNCTION("""COMPUTED_VALUE"""),"No task description")</f>
        <v/>
      </c>
      <c r="E30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09" s="7" t="inlineStr">
        <is>
          <t>Students receive tasks and interact with Golabz apps, including quiz and hypothesis scratchpad tools, with some tasks requiring individual work and hypothesis formulation based on research questions.</t>
        </is>
      </c>
      <c r="G309" s="8" t="inlineStr">
        <is>
          <t>0</t>
        </is>
      </c>
      <c r="H309" s="8" t="inlineStr">
        <is>
          <t>1</t>
        </is>
      </c>
      <c r="I309" s="8" t="inlineStr">
        <is>
          <t>1</t>
        </is>
      </c>
      <c r="J309" s="8" t="inlineStr">
        <is>
          <t>1</t>
        </is>
      </c>
      <c r="K309" s="9" t="inlineStr">
        <is>
          <t>1</t>
        </is>
      </c>
      <c r="L309" s="9" t="inlineStr">
        <is>
          <t>0</t>
        </is>
      </c>
      <c r="M309" s="9" t="inlineStr">
        <is>
          <t>1</t>
        </is>
      </c>
      <c r="N309" s="9" t="inlineStr">
        <is>
          <t>1</t>
        </is>
      </c>
      <c r="O309" s="10" t="inlineStr">
        <is>
          <t>0</t>
        </is>
      </c>
      <c r="P309" s="10" t="inlineStr">
        <is>
          <t>1</t>
        </is>
      </c>
      <c r="Q309" s="10" t="inlineStr">
        <is>
          <t>1</t>
        </is>
      </c>
      <c r="R309" s="10" t="inlineStr">
        <is>
          <t>0</t>
        </is>
      </c>
      <c r="S309" s="10" t="inlineStr">
        <is>
          <t>0</t>
        </is>
      </c>
    </row>
    <row r="310" ht="157" customHeight="1">
      <c r="A310" s="6">
        <f>IFERROR(__xludf.DUMMYFUNCTION("""COMPUTED_VALUE"""),"How do light and temperature affect photosynthesis in plants? - Version A")</f>
        <v/>
      </c>
      <c r="B310" s="6">
        <f>IFERROR(__xludf.DUMMYFUNCTION("""COMPUTED_VALUE"""),"Resource")</f>
        <v/>
      </c>
      <c r="C310" s="6">
        <f>IFERROR(__xludf.DUMMYFUNCTION("""COMPUTED_VALUE"""),"tekst2.graasp")</f>
        <v/>
      </c>
      <c r="D310" s="7">
        <f>IFERROR(__xludf.DUMMYFUNCTION("""COMPUTED_VALUE"""),"&lt;p&gt;When you finished making your prediction (hypothesis) click on the tab &lt;strong&gt;Investigate&lt;/strong&gt; in the top of your screen.&lt;br&gt;&lt;/p&gt;&lt;p&gt;&lt;br&gt;&lt;/p&gt;&lt;p&gt;&lt;br&gt;&lt;/p&gt;&lt;p&gt;&lt;br&gt;&lt;/p&gt;&lt;p&gt;&lt;br&gt;&lt;/p&gt;")</f>
        <v/>
      </c>
      <c r="E310" s="7">
        <f>IFERROR(__xludf.DUMMYFUNCTION("""COMPUTED_VALUE"""),"No artifact embedded")</f>
        <v/>
      </c>
      <c r="F310" s="7" t="inlineStr">
        <is>
          <t>Students predict how photosynthesis depends on temperature, then investigate using a scratchpad tool to formulate a hypothesis. The Golabz app/lab's Hypothesis Scratchpad is used.</t>
        </is>
      </c>
      <c r="G310" s="8" t="inlineStr">
        <is>
          <t>0</t>
        </is>
      </c>
      <c r="H310" s="8" t="inlineStr">
        <is>
          <t>0</t>
        </is>
      </c>
      <c r="I310" s="8" t="inlineStr">
        <is>
          <t>0</t>
        </is>
      </c>
      <c r="J310" s="8" t="inlineStr">
        <is>
          <t>0</t>
        </is>
      </c>
      <c r="K310" s="9" t="inlineStr">
        <is>
          <t>1</t>
        </is>
      </c>
      <c r="L310" s="9" t="inlineStr">
        <is>
          <t>0</t>
        </is>
      </c>
      <c r="M310" s="9" t="inlineStr">
        <is>
          <t>0</t>
        </is>
      </c>
      <c r="N310" s="9" t="inlineStr">
        <is>
          <t>0</t>
        </is>
      </c>
      <c r="O310" s="10" t="inlineStr">
        <is>
          <t>0</t>
        </is>
      </c>
      <c r="P310" s="10" t="inlineStr">
        <is>
          <t>1</t>
        </is>
      </c>
      <c r="Q310" s="10" t="inlineStr">
        <is>
          <t>1</t>
        </is>
      </c>
      <c r="R310" s="10" t="inlineStr">
        <is>
          <t>0</t>
        </is>
      </c>
      <c r="S310" s="10" t="inlineStr">
        <is>
          <t>0</t>
        </is>
      </c>
    </row>
    <row r="311" ht="25" customHeight="1">
      <c r="A311" s="6">
        <f>IFERROR(__xludf.DUMMYFUNCTION("""COMPUTED_VALUE"""),"How do light and temperature affect photosynthesis in plants? - Version A")</f>
        <v/>
      </c>
      <c r="B311" s="6">
        <f>IFERROR(__xludf.DUMMYFUNCTION("""COMPUTED_VALUE"""),"Space")</f>
        <v/>
      </c>
      <c r="C311" s="6">
        <f>IFERROR(__xludf.DUMMYFUNCTION("""COMPUTED_VALUE"""),"Investigation")</f>
        <v/>
      </c>
      <c r="D311" s="7">
        <f>IFERROR(__xludf.DUMMYFUNCTION("""COMPUTED_VALUE"""),"No task description")</f>
        <v/>
      </c>
      <c r="E311" s="7">
        <f>IFERROR(__xludf.DUMMYFUNCTION("""COMPUTED_VALUE"""),"No artifact embedded")</f>
        <v/>
      </c>
      <c r="F311" s="7" t="inlineStr">
        <is>
          <t>Students use the Hypothesis Scratchpad to formulate hypotheses. Tasks include making predictions and clicking the "Investigate" tab.</t>
        </is>
      </c>
      <c r="G311" s="8" t="inlineStr">
        <is>
          <t>1</t>
        </is>
      </c>
      <c r="H311" s="8" t="inlineStr">
        <is>
          <t>0</t>
        </is>
      </c>
      <c r="I311" s="8" t="inlineStr">
        <is>
          <t>0</t>
        </is>
      </c>
      <c r="J311" s="8" t="inlineStr">
        <is>
          <t>0</t>
        </is>
      </c>
      <c r="K311" s="9" t="inlineStr">
        <is>
          <t>0</t>
        </is>
      </c>
      <c r="L311" s="9" t="inlineStr">
        <is>
          <t>0</t>
        </is>
      </c>
      <c r="M311" s="9" t="inlineStr">
        <is>
          <t>0</t>
        </is>
      </c>
      <c r="N311" s="9" t="inlineStr">
        <is>
          <t>0</t>
        </is>
      </c>
      <c r="O311" s="10" t="inlineStr">
        <is>
          <t>0</t>
        </is>
      </c>
      <c r="P311" s="10" t="inlineStr">
        <is>
          <t>0</t>
        </is>
      </c>
      <c r="Q311" s="10" t="inlineStr">
        <is>
          <t>0</t>
        </is>
      </c>
      <c r="R311" s="10" t="inlineStr">
        <is>
          <t>0</t>
        </is>
      </c>
      <c r="S311" s="10" t="inlineStr">
        <is>
          <t>0</t>
        </is>
      </c>
    </row>
    <row r="312" ht="285" customHeight="1">
      <c r="A312" s="6">
        <f>IFERROR(__xludf.DUMMYFUNCTION("""COMPUTED_VALUE"""),"How do light and temperature affect photosynthesis in plants? - Version A")</f>
        <v/>
      </c>
      <c r="B312" s="6">
        <f>IFERROR(__xludf.DUMMYFUNCTION("""COMPUTED_VALUE"""),"Resource")</f>
        <v/>
      </c>
      <c r="C312" s="6">
        <f>IFERROR(__xludf.DUMMYFUNCTION("""COMPUTED_VALUE"""),"Vaatluste selgitus.graasp")</f>
        <v/>
      </c>
      <c r="D312"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312" s="7">
        <f>IFERROR(__xludf.DUMMYFUNCTION("""COMPUTED_VALUE"""),"No artifact embedded")</f>
        <v/>
      </c>
      <c r="F312" s="7" t="inlineStr">
        <is>
          <t>Students are instructed to test predictions, conduct experiments, and record results. No artifacts are embedded in Items 1-3.</t>
        </is>
      </c>
      <c r="G312" s="8" t="inlineStr">
        <is>
          <t>0</t>
        </is>
      </c>
      <c r="H312" s="8" t="inlineStr">
        <is>
          <t>1</t>
        </is>
      </c>
      <c r="I312" s="8" t="inlineStr">
        <is>
          <t>1</t>
        </is>
      </c>
      <c r="J312" s="8" t="inlineStr">
        <is>
          <t>1</t>
        </is>
      </c>
      <c r="K312" s="9" t="inlineStr">
        <is>
          <t>1</t>
        </is>
      </c>
      <c r="L312" s="9" t="inlineStr">
        <is>
          <t>1</t>
        </is>
      </c>
      <c r="M312" s="9" t="inlineStr">
        <is>
          <t>0</t>
        </is>
      </c>
      <c r="N312" s="9" t="inlineStr">
        <is>
          <t>0</t>
        </is>
      </c>
      <c r="O312" s="10" t="inlineStr">
        <is>
          <t>0</t>
        </is>
      </c>
      <c r="P312" s="10" t="inlineStr">
        <is>
          <t>1</t>
        </is>
      </c>
      <c r="Q312" s="10" t="inlineStr">
        <is>
          <t>1</t>
        </is>
      </c>
      <c r="R312" s="10" t="inlineStr">
        <is>
          <t>1</t>
        </is>
      </c>
      <c r="S312" s="10" t="inlineStr">
        <is>
          <t>0</t>
        </is>
      </c>
    </row>
    <row r="313" ht="351" customHeight="1">
      <c r="A313" s="6">
        <f>IFERROR(__xludf.DUMMYFUNCTION("""COMPUTED_VALUE"""),"How do light and temperature affect photosynthesis in plants? - Version A")</f>
        <v/>
      </c>
      <c r="B313" s="6">
        <f>IFERROR(__xludf.DUMMYFUNCTION("""COMPUTED_VALUE"""),"Application")</f>
        <v/>
      </c>
      <c r="C313" s="6">
        <f>IFERROR(__xludf.DUMMYFUNCTION("""COMPUTED_VALUE"""),"Viewer")</f>
        <v/>
      </c>
      <c r="D313" s="7">
        <f>IFERROR(__xludf.DUMMYFUNCTION("""COMPUTED_VALUE"""),"No task description")</f>
        <v/>
      </c>
      <c r="E313"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313" s="7" t="inlineStr">
        <is>
          <t>Students test hypotheses on photosynthesis via simulation, recording results with "Observation" tool. Embedded artifacts include Golabz app/lab viewer.</t>
        </is>
      </c>
      <c r="G313" s="8" t="inlineStr">
        <is>
          <t>1</t>
        </is>
      </c>
      <c r="H313" s="8" t="inlineStr">
        <is>
          <t>0</t>
        </is>
      </c>
      <c r="I313" s="8" t="inlineStr">
        <is>
          <t>0</t>
        </is>
      </c>
      <c r="J313" s="8" t="inlineStr">
        <is>
          <t>1</t>
        </is>
      </c>
      <c r="K313" s="9" t="inlineStr">
        <is>
          <t>0</t>
        </is>
      </c>
      <c r="L313" s="9" t="inlineStr">
        <is>
          <t>0</t>
        </is>
      </c>
      <c r="M313" s="9" t="inlineStr">
        <is>
          <t>0</t>
        </is>
      </c>
      <c r="N313" s="9" t="inlineStr">
        <is>
          <t>0</t>
        </is>
      </c>
      <c r="O313" s="10" t="inlineStr">
        <is>
          <t>0</t>
        </is>
      </c>
      <c r="P313" s="10" t="inlineStr">
        <is>
          <t>1</t>
        </is>
      </c>
      <c r="Q313" s="10" t="inlineStr">
        <is>
          <t>1</t>
        </is>
      </c>
      <c r="R313" s="10" t="inlineStr">
        <is>
          <t>0</t>
        </is>
      </c>
      <c r="S313" s="10" t="inlineStr">
        <is>
          <t>0</t>
        </is>
      </c>
    </row>
    <row r="314" ht="409.5" customHeight="1">
      <c r="A314" s="6">
        <f>IFERROR(__xludf.DUMMYFUNCTION("""COMPUTED_VALUE"""),"How do light and temperature affect photosynthesis in plants? - Version A")</f>
        <v/>
      </c>
      <c r="B314" s="6">
        <f>IFERROR(__xludf.DUMMYFUNCTION("""COMPUTED_VALUE"""),"Application")</f>
        <v/>
      </c>
      <c r="C314" s="6">
        <f>IFERROR(__xludf.DUMMYFUNCTION("""COMPUTED_VALUE"""),"Rate of Photosynthesis Lab (HTML5)")</f>
        <v/>
      </c>
      <c r="D314" s="7">
        <f>IFERROR(__xludf.DUMMYFUNCTION("""COMPUTED_VALUE"""),"No task description")</f>
        <v/>
      </c>
      <c r="E314"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314" s="7" t="inlineStr">
        <is>
          <t>Students test hypotheses on photosynthesis, recording results with the "Observation" tool. Embedded artifacts include Golabz apps and labs simulating plant experiments.</t>
        </is>
      </c>
      <c r="G314" s="8" t="inlineStr">
        <is>
          <t>0</t>
        </is>
      </c>
      <c r="H314" s="8" t="inlineStr">
        <is>
          <t>1</t>
        </is>
      </c>
      <c r="I314" s="8" t="inlineStr">
        <is>
          <t>0</t>
        </is>
      </c>
      <c r="J314" s="8" t="inlineStr">
        <is>
          <t>1</t>
        </is>
      </c>
      <c r="K314" s="9" t="inlineStr">
        <is>
          <t>1</t>
        </is>
      </c>
      <c r="L314" s="9" t="inlineStr">
        <is>
          <t>0</t>
        </is>
      </c>
      <c r="M314" s="9" t="inlineStr">
        <is>
          <t>0</t>
        </is>
      </c>
      <c r="N314" s="9" t="inlineStr">
        <is>
          <t>0</t>
        </is>
      </c>
      <c r="O314" s="10" t="inlineStr">
        <is>
          <t>1</t>
        </is>
      </c>
      <c r="P314" s="10" t="inlineStr">
        <is>
          <t>0</t>
        </is>
      </c>
      <c r="Q314" s="10" t="inlineStr">
        <is>
          <t>1</t>
        </is>
      </c>
      <c r="R314" s="10" t="inlineStr">
        <is>
          <t>0</t>
        </is>
      </c>
      <c r="S314" s="10" t="inlineStr">
        <is>
          <t>0</t>
        </is>
      </c>
    </row>
    <row r="315" ht="263" customHeight="1">
      <c r="A315" s="6">
        <f>IFERROR(__xludf.DUMMYFUNCTION("""COMPUTED_VALUE"""),"How do light and temperature affect photosynthesis in plants? - Version A")</f>
        <v/>
      </c>
      <c r="B315" s="6">
        <f>IFERROR(__xludf.DUMMYFUNCTION("""COMPUTED_VALUE"""),"Resource")</f>
        <v/>
      </c>
      <c r="C315" s="6">
        <f>IFERROR(__xludf.DUMMYFUNCTION("""COMPUTED_VALUE"""),"Vaatluste selgitus 2.graasp")</f>
        <v/>
      </c>
      <c r="D315"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315" s="7">
        <f>IFERROR(__xludf.DUMMYFUNCTION("""COMPUTED_VALUE"""),"No artifact embedded")</f>
        <v/>
      </c>
      <c r="F315" s="7" t="inlineStr">
        <is>
          <t>Students have no task description for Items 1 and 2, but Item 3 instructs them to collect data. Embedded artifacts include Golabz apps for concept mapping and photosynthesis experiments.</t>
        </is>
      </c>
      <c r="G315" s="8" t="inlineStr">
        <is>
          <t>0</t>
        </is>
      </c>
      <c r="H315" s="8" t="inlineStr">
        <is>
          <t>1</t>
        </is>
      </c>
      <c r="I315" s="8" t="inlineStr">
        <is>
          <t>1</t>
        </is>
      </c>
      <c r="J315" s="8" t="inlineStr">
        <is>
          <t>0</t>
        </is>
      </c>
      <c r="K315" s="9" t="inlineStr">
        <is>
          <t>1</t>
        </is>
      </c>
      <c r="L315" s="9" t="inlineStr">
        <is>
          <t>1</t>
        </is>
      </c>
      <c r="M315" s="9" t="inlineStr">
        <is>
          <t>0</t>
        </is>
      </c>
      <c r="N315" s="9" t="inlineStr">
        <is>
          <t>0</t>
        </is>
      </c>
      <c r="O315" s="10" t="inlineStr">
        <is>
          <t>0</t>
        </is>
      </c>
      <c r="P315" s="10" t="inlineStr">
        <is>
          <t>1</t>
        </is>
      </c>
      <c r="Q315" s="10" t="inlineStr">
        <is>
          <t>1</t>
        </is>
      </c>
      <c r="R315" s="10" t="inlineStr">
        <is>
          <t>1</t>
        </is>
      </c>
      <c r="S315" s="10" t="inlineStr">
        <is>
          <t>0</t>
        </is>
      </c>
    </row>
    <row r="316" ht="395" customHeight="1">
      <c r="A316" s="6">
        <f>IFERROR(__xludf.DUMMYFUNCTION("""COMPUTED_VALUE"""),"How do light and temperature affect photosynthesis in plants? - Version A")</f>
        <v/>
      </c>
      <c r="B316" s="6">
        <f>IFERROR(__xludf.DUMMYFUNCTION("""COMPUTED_VALUE"""),"Application")</f>
        <v/>
      </c>
      <c r="C316" s="6">
        <f>IFERROR(__xludf.DUMMYFUNCTION("""COMPUTED_VALUE"""),"Observation Tool")</f>
        <v/>
      </c>
      <c r="D316" s="7">
        <f>IFERROR(__xludf.DUMMYFUNCTION("""COMPUTED_VALUE"""),"No task description")</f>
        <v/>
      </c>
      <c r="E316"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16" s="7" t="inlineStr">
        <is>
          <t>Students were instructed to collect data and write results using the Observation tool to test their hypothesis. Embedded artifacts include Golabz apps: Photolab and Observation tool.</t>
        </is>
      </c>
      <c r="G316" s="8" t="inlineStr">
        <is>
          <t>0</t>
        </is>
      </c>
      <c r="H316" s="8" t="inlineStr">
        <is>
          <t>1</t>
        </is>
      </c>
      <c r="I316" s="8" t="inlineStr">
        <is>
          <t>1</t>
        </is>
      </c>
      <c r="J316" s="8" t="inlineStr">
        <is>
          <t>1</t>
        </is>
      </c>
      <c r="K316" s="9" t="inlineStr">
        <is>
          <t>0</t>
        </is>
      </c>
      <c r="L316" s="9" t="inlineStr">
        <is>
          <t>0</t>
        </is>
      </c>
      <c r="M316" s="9" t="inlineStr">
        <is>
          <t>1</t>
        </is>
      </c>
      <c r="N316" s="9" t="inlineStr">
        <is>
          <t>1</t>
        </is>
      </c>
      <c r="O316" s="10" t="inlineStr">
        <is>
          <t>0</t>
        </is>
      </c>
      <c r="P316" s="10" t="inlineStr">
        <is>
          <t>1</t>
        </is>
      </c>
      <c r="Q316" s="10" t="inlineStr">
        <is>
          <t>1</t>
        </is>
      </c>
      <c r="R316" s="10" t="inlineStr">
        <is>
          <t>1</t>
        </is>
      </c>
      <c r="S316" s="10" t="inlineStr">
        <is>
          <t>0</t>
        </is>
      </c>
    </row>
    <row r="317" ht="169" customHeight="1">
      <c r="A317" s="6">
        <f>IFERROR(__xludf.DUMMYFUNCTION("""COMPUTED_VALUE"""),"How do light and temperature affect photosynthesis in plants? - Version A")</f>
        <v/>
      </c>
      <c r="B317" s="6">
        <f>IFERROR(__xludf.DUMMYFUNCTION("""COMPUTED_VALUE"""),"Resource")</f>
        <v/>
      </c>
      <c r="C317" s="6">
        <f>IFERROR(__xludf.DUMMYFUNCTION("""COMPUTED_VALUE"""),"Vaatlused edasi.graasp")</f>
        <v/>
      </c>
      <c r="D317" s="7">
        <f>IFERROR(__xludf.DUMMYFUNCTION("""COMPUTED_VALUE"""),"&lt;p&gt;When you have collected enough information to address your hypothesis, click on the tab &lt;strong&gt;Conclusion&lt;/strong&gt; on the top of your screen.&lt;/p&gt;&lt;p&gt;&lt;br&gt;&lt;/p&gt;&lt;p&gt;&lt;br&gt;&lt;/p&gt;&lt;p&gt;&lt;br&gt;&lt;/p&gt;")</f>
        <v/>
      </c>
      <c r="E317" s="7">
        <f>IFERROR(__xludf.DUMMYFUNCTION("""COMPUTED_VALUE"""),"No artifact embedded")</f>
        <v/>
      </c>
      <c r="F317" s="7" t="inlineStr">
        <is>
          <t>Students collect data through experiments and record results using the Observation tool, then review data to make a conclusion. The Golabz app/lab is an embedded artifact for recording observations.</t>
        </is>
      </c>
      <c r="G317" s="8" t="inlineStr">
        <is>
          <t>0</t>
        </is>
      </c>
      <c r="H317" s="8" t="inlineStr">
        <is>
          <t>0</t>
        </is>
      </c>
      <c r="I317" s="8" t="inlineStr">
        <is>
          <t>0</t>
        </is>
      </c>
      <c r="J317" s="8" t="inlineStr">
        <is>
          <t>0</t>
        </is>
      </c>
      <c r="K317" s="9" t="inlineStr">
        <is>
          <t>1</t>
        </is>
      </c>
      <c r="L317" s="9" t="inlineStr">
        <is>
          <t>0</t>
        </is>
      </c>
      <c r="M317" s="9" t="inlineStr">
        <is>
          <t>0</t>
        </is>
      </c>
      <c r="N317" s="9" t="inlineStr">
        <is>
          <t>0</t>
        </is>
      </c>
      <c r="O317" s="10" t="inlineStr">
        <is>
          <t>0</t>
        </is>
      </c>
      <c r="P317" s="10" t="inlineStr">
        <is>
          <t>0</t>
        </is>
      </c>
      <c r="Q317" s="10" t="inlineStr">
        <is>
          <t>0</t>
        </is>
      </c>
      <c r="R317" s="10" t="inlineStr">
        <is>
          <t>1</t>
        </is>
      </c>
      <c r="S317" s="10" t="inlineStr">
        <is>
          <t>0</t>
        </is>
      </c>
    </row>
    <row r="318" ht="25" customHeight="1">
      <c r="A318" s="6">
        <f>IFERROR(__xludf.DUMMYFUNCTION("""COMPUTED_VALUE"""),"How do light and temperature affect photosynthesis in plants? - Version A")</f>
        <v/>
      </c>
      <c r="B318" s="6">
        <f>IFERROR(__xludf.DUMMYFUNCTION("""COMPUTED_VALUE"""),"Space")</f>
        <v/>
      </c>
      <c r="C318" s="6">
        <f>IFERROR(__xludf.DUMMYFUNCTION("""COMPUTED_VALUE"""),"Conclusion")</f>
        <v/>
      </c>
      <c r="D318" s="7">
        <f>IFERROR(__xludf.DUMMYFUNCTION("""COMPUTED_VALUE"""),"No task description")</f>
        <v/>
      </c>
      <c r="E318" s="7">
        <f>IFERROR(__xludf.DUMMYFUNCTION("""COMPUTED_VALUE"""),"No artifact embedded")</f>
        <v/>
      </c>
      <c r="F318" s="7" t="inlineStr">
        <is>
          <t>Students were instructed to use Golabz app for observations and data analysis, and click "Conclusion" tab when ready. Embedded artifacts include the Golabz observation tool.</t>
        </is>
      </c>
      <c r="G318" s="8" t="inlineStr">
        <is>
          <t>1</t>
        </is>
      </c>
      <c r="H318" s="8" t="inlineStr">
        <is>
          <t>0</t>
        </is>
      </c>
      <c r="I318" s="8" t="inlineStr">
        <is>
          <t>0</t>
        </is>
      </c>
      <c r="J318" s="8" t="inlineStr">
        <is>
          <t>0</t>
        </is>
      </c>
      <c r="K318" s="9" t="inlineStr">
        <is>
          <t>0</t>
        </is>
      </c>
      <c r="L318" s="9" t="inlineStr">
        <is>
          <t>0</t>
        </is>
      </c>
      <c r="M318" s="9" t="inlineStr">
        <is>
          <t>0</t>
        </is>
      </c>
      <c r="N318" s="9" t="inlineStr">
        <is>
          <t>0</t>
        </is>
      </c>
      <c r="O318" s="10" t="inlineStr">
        <is>
          <t>0</t>
        </is>
      </c>
      <c r="P318" s="10" t="inlineStr">
        <is>
          <t>0</t>
        </is>
      </c>
      <c r="Q318" s="10" t="inlineStr">
        <is>
          <t>0</t>
        </is>
      </c>
      <c r="R318" s="10" t="inlineStr">
        <is>
          <t>0</t>
        </is>
      </c>
      <c r="S318" s="10" t="inlineStr">
        <is>
          <t>0</t>
        </is>
      </c>
    </row>
    <row r="319" ht="373" customHeight="1">
      <c r="A319" s="6">
        <f>IFERROR(__xludf.DUMMYFUNCTION("""COMPUTED_VALUE"""),"How do light and temperature affect photosynthesis in plants? - Version A")</f>
        <v/>
      </c>
      <c r="B319" s="6">
        <f>IFERROR(__xludf.DUMMYFUNCTION("""COMPUTED_VALUE"""),"Resource")</f>
        <v/>
      </c>
      <c r="C319" s="6">
        <f>IFERROR(__xludf.DUMMYFUNCTION("""COMPUTED_VALUE"""),"tekst1.graasp")</f>
        <v/>
      </c>
      <c r="D319"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319" s="7">
        <f>IFERROR(__xludf.DUMMYFUNCTION("""COMPUTED_VALUE"""),"No artifact embedded")</f>
        <v/>
      </c>
      <c r="F319" s="7" t="inlineStr">
        <is>
          <t>Students were instructed to conclude their hypothesis with a final statement, adding observations and explaining acceptance or rejection. No artifacts were embedded in any items.</t>
        </is>
      </c>
      <c r="G319" s="8" t="inlineStr">
        <is>
          <t>0</t>
        </is>
      </c>
      <c r="H319" s="8" t="inlineStr">
        <is>
          <t>1</t>
        </is>
      </c>
      <c r="I319" s="8" t="inlineStr">
        <is>
          <t>1</t>
        </is>
      </c>
      <c r="J319" s="8" t="inlineStr">
        <is>
          <t>1</t>
        </is>
      </c>
      <c r="K319" s="9" t="inlineStr">
        <is>
          <t>1</t>
        </is>
      </c>
      <c r="L319" s="9" t="inlineStr">
        <is>
          <t>1</t>
        </is>
      </c>
      <c r="M319" s="9" t="inlineStr">
        <is>
          <t>0</t>
        </is>
      </c>
      <c r="N319" s="9" t="inlineStr">
        <is>
          <t>0</t>
        </is>
      </c>
      <c r="O319" s="10" t="inlineStr">
        <is>
          <t>0</t>
        </is>
      </c>
      <c r="P319" s="10" t="inlineStr">
        <is>
          <t>0</t>
        </is>
      </c>
      <c r="Q319" s="10" t="inlineStr">
        <is>
          <t>1</t>
        </is>
      </c>
      <c r="R319" s="10" t="inlineStr">
        <is>
          <t>1</t>
        </is>
      </c>
      <c r="S319" s="10" t="inlineStr">
        <is>
          <t>0</t>
        </is>
      </c>
    </row>
    <row r="320" ht="409.5" customHeight="1">
      <c r="A320" s="6">
        <f>IFERROR(__xludf.DUMMYFUNCTION("""COMPUTED_VALUE"""),"How do light and temperature affect photosynthesis in plants? - Version A")</f>
        <v/>
      </c>
      <c r="B320" s="6">
        <f>IFERROR(__xludf.DUMMYFUNCTION("""COMPUTED_VALUE"""),"Application")</f>
        <v/>
      </c>
      <c r="C320" s="6">
        <f>IFERROR(__xludf.DUMMYFUNCTION("""COMPUTED_VALUE"""),"Conclusion Tool")</f>
        <v/>
      </c>
      <c r="D320" s="7">
        <f>IFERROR(__xludf.DUMMYFUNCTION("""COMPUTED_VALUE"""),"No task description")</f>
        <v/>
      </c>
      <c r="E32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320" s="7" t="inlineStr">
        <is>
          <t>Students write a final conclusion using the Conclusion tool, adding observations and explaining whether they accept or reject their hypothesis. No artifacts are embedded in Items 1 and 2.</t>
        </is>
      </c>
      <c r="G320" s="8" t="inlineStr">
        <is>
          <t>0</t>
        </is>
      </c>
      <c r="H320" s="8" t="inlineStr">
        <is>
          <t>1</t>
        </is>
      </c>
      <c r="I320" s="8" t="inlineStr">
        <is>
          <t>1</t>
        </is>
      </c>
      <c r="J320" s="8" t="inlineStr">
        <is>
          <t>1</t>
        </is>
      </c>
      <c r="K320" s="9" t="inlineStr">
        <is>
          <t>0</t>
        </is>
      </c>
      <c r="L320" s="9" t="inlineStr">
        <is>
          <t>0</t>
        </is>
      </c>
      <c r="M320" s="9" t="inlineStr">
        <is>
          <t>0</t>
        </is>
      </c>
      <c r="N320" s="9" t="inlineStr">
        <is>
          <t>0</t>
        </is>
      </c>
      <c r="O320" s="10" t="inlineStr">
        <is>
          <t>0</t>
        </is>
      </c>
      <c r="P320" s="10" t="inlineStr">
        <is>
          <t>1</t>
        </is>
      </c>
      <c r="Q320" s="10" t="inlineStr">
        <is>
          <t>1</t>
        </is>
      </c>
      <c r="R320" s="10" t="inlineStr">
        <is>
          <t>1</t>
        </is>
      </c>
      <c r="S320" s="10" t="inlineStr">
        <is>
          <t>0</t>
        </is>
      </c>
    </row>
    <row r="321" ht="145" customHeight="1">
      <c r="A321" s="6">
        <f>IFERROR(__xludf.DUMMYFUNCTION("""COMPUTED_VALUE"""),"How do light and temperature affect photosynthesis in plants? - Version A")</f>
        <v/>
      </c>
      <c r="B321" s="6">
        <f>IFERROR(__xludf.DUMMYFUNCTION("""COMPUTED_VALUE"""),"Resource")</f>
        <v/>
      </c>
      <c r="C321" s="6">
        <f>IFERROR(__xludf.DUMMYFUNCTION("""COMPUTED_VALUE"""),"tekst2.graasp")</f>
        <v/>
      </c>
      <c r="D321" s="7">
        <f>IFERROR(__xludf.DUMMYFUNCTION("""COMPUTED_VALUE"""),"&lt;p&gt;&lt;strong&gt;All done? Very good you have now finished with this assignment!&lt;/strong&gt;&lt;/p&gt;&lt;p&gt;&lt;strong&gt;&lt;br&gt;&lt;/strong&gt;&lt;/p&gt;&lt;p&gt;&lt;strong&gt;&lt;br&gt;&lt;/strong&gt;&lt;/p&gt;&lt;p&gt;&lt;strong&gt;&lt;br&gt;&lt;/strong&gt;&lt;/p&gt;")</f>
        <v/>
      </c>
      <c r="E321" s="7">
        <f>IFERROR(__xludf.DUMMYFUNCTION("""COMPUTED_VALUE"""),"No artifact embedded")</f>
        <v/>
      </c>
      <c r="F321" s="7" t="inlineStr">
        <is>
          <t>Students write a final conclusion using evidence and observations, then explain whether they accept or reject their hypothesis. Embedded artifacts include the Conclusion tool and Golabz app/lab for data analysis.</t>
        </is>
      </c>
      <c r="G321" s="8" t="inlineStr">
        <is>
          <t>1</t>
        </is>
      </c>
      <c r="H321" s="8" t="inlineStr">
        <is>
          <t>0</t>
        </is>
      </c>
      <c r="I321" s="8" t="inlineStr">
        <is>
          <t>0</t>
        </is>
      </c>
      <c r="J321" s="8" t="inlineStr">
        <is>
          <t>0</t>
        </is>
      </c>
      <c r="K321" s="9" t="inlineStr">
        <is>
          <t>0</t>
        </is>
      </c>
      <c r="L321" s="9" t="inlineStr">
        <is>
          <t>0</t>
        </is>
      </c>
      <c r="M321" s="9" t="inlineStr">
        <is>
          <t>0</t>
        </is>
      </c>
      <c r="N321" s="9" t="inlineStr">
        <is>
          <t>0</t>
        </is>
      </c>
      <c r="O321" s="10" t="inlineStr">
        <is>
          <t>0</t>
        </is>
      </c>
      <c r="P321" s="10" t="inlineStr">
        <is>
          <t>0</t>
        </is>
      </c>
      <c r="Q321" s="10" t="inlineStr">
        <is>
          <t>0</t>
        </is>
      </c>
      <c r="R321" s="10" t="inlineStr">
        <is>
          <t>0</t>
        </is>
      </c>
      <c r="S321" s="10" t="inlineStr">
        <is>
          <t>0</t>
        </is>
      </c>
    </row>
    <row r="322" ht="37" customHeight="1">
      <c r="A322" s="6">
        <f>IFERROR(__xludf.DUMMYFUNCTION("""COMPUTED_VALUE"""),"Transcription &amp; Translation")</f>
        <v/>
      </c>
      <c r="B322" s="6">
        <f>IFERROR(__xludf.DUMMYFUNCTION("""COMPUTED_VALUE"""),"Space")</f>
        <v/>
      </c>
      <c r="C322" s="6">
        <f>IFERROR(__xludf.DUMMYFUNCTION("""COMPUTED_VALUE"""),"Orientation")</f>
        <v/>
      </c>
      <c r="D322" s="7">
        <f>IFERROR(__xludf.DUMMYFUNCTION("""COMPUTED_VALUE"""),"This is the Orientation phase.")</f>
        <v/>
      </c>
      <c r="E322" s="7">
        <f>IFERROR(__xludf.DUMMYFUNCTION("""COMPUTED_VALUE"""),"No artifact embedded")</f>
        <v/>
      </c>
      <c r="F322" s="7" t="inlineStr">
        <is>
          <t>Students received task descriptions and used Golabz app/lab to validate hypotheses, with configurable settings.</t>
        </is>
      </c>
      <c r="G322" s="8" t="inlineStr">
        <is>
          <t>1</t>
        </is>
      </c>
      <c r="H322" s="8" t="inlineStr">
        <is>
          <t>0</t>
        </is>
      </c>
      <c r="I322" s="8" t="inlineStr">
        <is>
          <t>0</t>
        </is>
      </c>
      <c r="J322" s="8" t="inlineStr">
        <is>
          <t>0</t>
        </is>
      </c>
      <c r="K322" s="9" t="inlineStr">
        <is>
          <t>1</t>
        </is>
      </c>
      <c r="L322" s="9" t="inlineStr">
        <is>
          <t>0</t>
        </is>
      </c>
      <c r="M322" s="9" t="inlineStr">
        <is>
          <t>0</t>
        </is>
      </c>
      <c r="N322" s="9" t="inlineStr">
        <is>
          <t>0</t>
        </is>
      </c>
      <c r="O322" s="10" t="inlineStr">
        <is>
          <t>1</t>
        </is>
      </c>
      <c r="P322" s="10" t="inlineStr">
        <is>
          <t>0</t>
        </is>
      </c>
      <c r="Q322" s="10" t="inlineStr">
        <is>
          <t>0</t>
        </is>
      </c>
      <c r="R322" s="10" t="inlineStr">
        <is>
          <t>0</t>
        </is>
      </c>
      <c r="S322" s="10" t="inlineStr">
        <is>
          <t>0</t>
        </is>
      </c>
    </row>
    <row r="323" ht="157" customHeight="1">
      <c r="A323" s="6">
        <f>IFERROR(__xludf.DUMMYFUNCTION("""COMPUTED_VALUE"""),"Transcription &amp; Translation")</f>
        <v/>
      </c>
      <c r="B323" s="6">
        <f>IFERROR(__xludf.DUMMYFUNCTION("""COMPUTED_VALUE"""),"Resource")</f>
        <v/>
      </c>
      <c r="C323" s="6">
        <f>IFERROR(__xludf.DUMMYFUNCTION("""COMPUTED_VALUE"""),"Introduction.graasp")</f>
        <v/>
      </c>
      <c r="D323" s="7">
        <f>IFERROR(__xludf.DUMMYFUNCTION("""COMPUTED_VALUE"""),"&lt;p&gt;This is a short investigation in how you deal with the concepts of transcription and translation.&lt;/p&gt;&lt;p&gt;&lt;br&gt;&lt;/p&gt;&lt;p&gt;Please watch the following YouTube video:&lt;/p&gt;")</f>
        <v/>
      </c>
      <c r="E323" s="7">
        <f>IFERROR(__xludf.DUMMYFUNCTION("""COMPUTED_VALUE"""),"No artifact embedded")</f>
        <v/>
      </c>
      <c r="F323" s="7" t="inlineStr">
        <is>
          <t>Students were given 3 tasks: completing an assignment, orientation, and investigating transcription/translation concepts via a YouTube video. No artifacts were embedded in any task.</t>
        </is>
      </c>
      <c r="G323" s="8" t="inlineStr">
        <is>
          <t>1</t>
        </is>
      </c>
      <c r="H323" s="8" t="inlineStr">
        <is>
          <t>0</t>
        </is>
      </c>
      <c r="I323" s="8" t="inlineStr">
        <is>
          <t>0</t>
        </is>
      </c>
      <c r="J323" s="8" t="inlineStr">
        <is>
          <t>0</t>
        </is>
      </c>
      <c r="K323" s="9" t="inlineStr">
        <is>
          <t>1</t>
        </is>
      </c>
      <c r="L323" s="9" t="inlineStr">
        <is>
          <t>0</t>
        </is>
      </c>
      <c r="M323" s="9" t="inlineStr">
        <is>
          <t>0</t>
        </is>
      </c>
      <c r="N323" s="9" t="inlineStr">
        <is>
          <t>0</t>
        </is>
      </c>
      <c r="O323" s="10" t="inlineStr">
        <is>
          <t>1</t>
        </is>
      </c>
      <c r="P323" s="10" t="inlineStr">
        <is>
          <t>0</t>
        </is>
      </c>
      <c r="Q323" s="10" t="inlineStr">
        <is>
          <t>1</t>
        </is>
      </c>
      <c r="R323" s="10" t="inlineStr">
        <is>
          <t>0</t>
        </is>
      </c>
      <c r="S323" s="10" t="inlineStr">
        <is>
          <t>0</t>
        </is>
      </c>
    </row>
    <row r="324" ht="121" customHeight="1">
      <c r="A324" s="6">
        <f>IFERROR(__xludf.DUMMYFUNCTION("""COMPUTED_VALUE"""),"Transcription &amp; Translation")</f>
        <v/>
      </c>
      <c r="B324" s="6">
        <f>IFERROR(__xludf.DUMMYFUNCTION("""COMPUTED_VALUE"""),"Resource")</f>
        <v/>
      </c>
      <c r="C324" s="6">
        <f>IFERROR(__xludf.DUMMYFUNCTION("""COMPUTED_VALUE"""),"DNA translation and transcription [HD animation]")</f>
        <v/>
      </c>
      <c r="D324" s="7">
        <f>IFERROR(__xludf.DUMMYFUNCTION("""COMPUTED_VALUE"""),"No task description")</f>
        <v/>
      </c>
      <c r="E324" s="7">
        <f>IFERROR(__xludf.DUMMYFUNCTION("""COMPUTED_VALUE"""),"youtube.com: A widely known video-sharing platform where users can watch videos on a vast array of topics, including educational content.")</f>
        <v/>
      </c>
      <c r="F324" s="7" t="inlineStr">
        <is>
          <t>Students are given tasks with descriptions and some include YouTube videos, but no artifacts are embedded except in Item3, which mentions the youtube.com platform.</t>
        </is>
      </c>
      <c r="G324" s="8" t="inlineStr">
        <is>
          <t>1</t>
        </is>
      </c>
      <c r="H324" s="8" t="inlineStr">
        <is>
          <t>0</t>
        </is>
      </c>
      <c r="I324" s="8" t="inlineStr">
        <is>
          <t>0</t>
        </is>
      </c>
      <c r="J324" s="8" t="inlineStr">
        <is>
          <t>0</t>
        </is>
      </c>
      <c r="K324" s="9" t="inlineStr">
        <is>
          <t>0</t>
        </is>
      </c>
      <c r="L324" s="9" t="inlineStr">
        <is>
          <t>0</t>
        </is>
      </c>
      <c r="M324" s="9" t="inlineStr">
        <is>
          <t>0</t>
        </is>
      </c>
      <c r="N324" s="9" t="inlineStr">
        <is>
          <t>0</t>
        </is>
      </c>
      <c r="O324" s="10" t="inlineStr">
        <is>
          <t>0</t>
        </is>
      </c>
      <c r="P324" s="10" t="inlineStr">
        <is>
          <t>0</t>
        </is>
      </c>
      <c r="Q324" s="10" t="inlineStr">
        <is>
          <t>0</t>
        </is>
      </c>
      <c r="R324" s="10" t="inlineStr">
        <is>
          <t>0</t>
        </is>
      </c>
      <c r="S324" s="10" t="inlineStr">
        <is>
          <t>0</t>
        </is>
      </c>
    </row>
    <row r="325" ht="133" customHeight="1">
      <c r="A325" s="6">
        <f>IFERROR(__xludf.DUMMYFUNCTION("""COMPUTED_VALUE"""),"Transcription &amp; Translation")</f>
        <v/>
      </c>
      <c r="B325" s="6">
        <f>IFERROR(__xludf.DUMMYFUNCTION("""COMPUTED_VALUE"""),"Resource")</f>
        <v/>
      </c>
      <c r="C325" s="6">
        <f>IFERROR(__xludf.DUMMYFUNCTION("""COMPUTED_VALUE"""),"Question.graasp")</f>
        <v/>
      </c>
      <c r="D325" s="7">
        <f>IFERROR(__xludf.DUMMYFUNCTION("""COMPUTED_VALUE"""),"&lt;p&gt;In the box below give an explanation of why transcription and translation is so important for life and give a short overview of how these processes work.&lt;/p&gt;")</f>
        <v/>
      </c>
      <c r="E325" s="7">
        <f>IFERROR(__xludf.DUMMYFUNCTION("""COMPUTED_VALUE"""),"No artifact embedded")</f>
        <v/>
      </c>
      <c r="F325" s="7" t="inlineStr">
        <is>
          <t>Students were given tasks on transcription and translation, with one item requiring a video watch and another asking for an explanation. Embedded artifacts included a YouTube video link and a platform description.</t>
        </is>
      </c>
      <c r="G325" s="8" t="inlineStr">
        <is>
          <t>0</t>
        </is>
      </c>
      <c r="H325" s="8" t="inlineStr">
        <is>
          <t>0</t>
        </is>
      </c>
      <c r="I325" s="8" t="inlineStr">
        <is>
          <t>1</t>
        </is>
      </c>
      <c r="J325" s="8" t="inlineStr">
        <is>
          <t>0</t>
        </is>
      </c>
      <c r="K325" s="9" t="inlineStr">
        <is>
          <t>1</t>
        </is>
      </c>
      <c r="L325" s="9" t="inlineStr">
        <is>
          <t>1</t>
        </is>
      </c>
      <c r="M325" s="9" t="inlineStr">
        <is>
          <t>0</t>
        </is>
      </c>
      <c r="N325" s="9" t="inlineStr">
        <is>
          <t>0</t>
        </is>
      </c>
      <c r="O325" s="10" t="inlineStr">
        <is>
          <t>1</t>
        </is>
      </c>
      <c r="P325" s="10" t="inlineStr">
        <is>
          <t>0</t>
        </is>
      </c>
      <c r="Q325" s="10" t="inlineStr">
        <is>
          <t>0</t>
        </is>
      </c>
      <c r="R325" s="10" t="inlineStr">
        <is>
          <t>0</t>
        </is>
      </c>
      <c r="S325" s="10" t="inlineStr">
        <is>
          <t>0</t>
        </is>
      </c>
    </row>
    <row r="326" ht="329" customHeight="1">
      <c r="A326" s="6">
        <f>IFERROR(__xludf.DUMMYFUNCTION("""COMPUTED_VALUE"""),"Transcription &amp; Translation")</f>
        <v/>
      </c>
      <c r="B326" s="6">
        <f>IFERROR(__xludf.DUMMYFUNCTION("""COMPUTED_VALUE"""),"Application")</f>
        <v/>
      </c>
      <c r="C326" s="6">
        <f>IFERROR(__xludf.DUMMYFUNCTION("""COMPUTED_VALUE"""),"Input Box")</f>
        <v/>
      </c>
      <c r="D326" s="7">
        <f>IFERROR(__xludf.DUMMYFUNCTION("""COMPUTED_VALUE"""),"No task description")</f>
        <v/>
      </c>
      <c r="E3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26" s="7" t="inlineStr">
        <is>
          <t>Students were given tasks and tools, including YouTube and Golabz app, with varying instructions and artifact descriptions for each item.</t>
        </is>
      </c>
      <c r="G326" s="8" t="inlineStr">
        <is>
          <t>0</t>
        </is>
      </c>
      <c r="H326" s="8" t="inlineStr">
        <is>
          <t>1</t>
        </is>
      </c>
      <c r="I326" s="8" t="inlineStr">
        <is>
          <t>1</t>
        </is>
      </c>
      <c r="J326" s="8" t="inlineStr">
        <is>
          <t>1</t>
        </is>
      </c>
      <c r="K326" s="9" t="inlineStr">
        <is>
          <t>0</t>
        </is>
      </c>
      <c r="L326" s="9" t="inlineStr">
        <is>
          <t>1</t>
        </is>
      </c>
      <c r="M326" s="9" t="inlineStr">
        <is>
          <t>1</t>
        </is>
      </c>
      <c r="N326" s="9" t="inlineStr">
        <is>
          <t>1</t>
        </is>
      </c>
      <c r="O326" s="10" t="inlineStr">
        <is>
          <t>0</t>
        </is>
      </c>
      <c r="P326" s="10" t="inlineStr">
        <is>
          <t>0</t>
        </is>
      </c>
      <c r="Q326" s="10" t="inlineStr">
        <is>
          <t>0</t>
        </is>
      </c>
      <c r="R326" s="10" t="inlineStr">
        <is>
          <t>0</t>
        </is>
      </c>
      <c r="S326" s="10" t="inlineStr">
        <is>
          <t>1</t>
        </is>
      </c>
    </row>
    <row r="327" ht="73" customHeight="1">
      <c r="A327" s="6">
        <f>IFERROR(__xludf.DUMMYFUNCTION("""COMPUTED_VALUE"""),"Transcription &amp; Translation")</f>
        <v/>
      </c>
      <c r="B327" s="6">
        <f>IFERROR(__xludf.DUMMYFUNCTION("""COMPUTED_VALUE"""),"Application")</f>
        <v/>
      </c>
      <c r="C327" s="6">
        <f>IFERROR(__xludf.DUMMYFUNCTION("""COMPUTED_VALUE"""),"Teacher Feedback")</f>
        <v/>
      </c>
      <c r="D327" s="7">
        <f>IFERROR(__xludf.DUMMYFUNCTION("""COMPUTED_VALUE"""),"No task description")</f>
        <v/>
      </c>
      <c r="E327" s="7">
        <f>IFERROR(__xludf.DUMMYFUNCTION("""COMPUTED_VALUE"""),"Golabz app/lab: ""&lt;p&gt;A tool where teachers can provide feedback to students&lt;/p&gt;\r\n""")</f>
        <v/>
      </c>
      <c r="F327" s="7" t="inlineStr">
        <is>
          <t>Students explain transcription/translation importance and process. Embedded artifacts include note-taking apps and a teacher feedback tool.</t>
        </is>
      </c>
      <c r="G327" s="8" t="inlineStr">
        <is>
          <t>0</t>
        </is>
      </c>
      <c r="H327" s="8" t="inlineStr">
        <is>
          <t>0</t>
        </is>
      </c>
      <c r="I327" s="8" t="inlineStr">
        <is>
          <t>0</t>
        </is>
      </c>
      <c r="J327" s="8" t="inlineStr">
        <is>
          <t>1</t>
        </is>
      </c>
      <c r="K327" s="9" t="inlineStr">
        <is>
          <t>0</t>
        </is>
      </c>
      <c r="L327" s="9" t="inlineStr">
        <is>
          <t>0</t>
        </is>
      </c>
      <c r="M327" s="9" t="inlineStr">
        <is>
          <t>0</t>
        </is>
      </c>
      <c r="N327" s="9" t="inlineStr">
        <is>
          <t>0</t>
        </is>
      </c>
      <c r="O327" s="10" t="inlineStr">
        <is>
          <t>0</t>
        </is>
      </c>
      <c r="P327" s="10" t="inlineStr">
        <is>
          <t>0</t>
        </is>
      </c>
      <c r="Q327" s="10" t="inlineStr">
        <is>
          <t>0</t>
        </is>
      </c>
      <c r="R327" s="10" t="inlineStr">
        <is>
          <t>0</t>
        </is>
      </c>
      <c r="S327" s="10" t="inlineStr">
        <is>
          <t>1</t>
        </is>
      </c>
    </row>
    <row r="328" ht="25" customHeight="1">
      <c r="A328" s="6">
        <f>IFERROR(__xludf.DUMMYFUNCTION("""COMPUTED_VALUE"""),"Transcription &amp; Translation")</f>
        <v/>
      </c>
      <c r="B328" s="6">
        <f>IFERROR(__xludf.DUMMYFUNCTION("""COMPUTED_VALUE"""),"Space")</f>
        <v/>
      </c>
      <c r="C328" s="6">
        <f>IFERROR(__xludf.DUMMYFUNCTION("""COMPUTED_VALUE"""),"Learning Outcomes")</f>
        <v/>
      </c>
      <c r="D328" s="7">
        <f>IFERROR(__xludf.DUMMYFUNCTION("""COMPUTED_VALUE"""),"&lt;p&gt;Learning Outcomes.&lt;/p&gt;")</f>
        <v/>
      </c>
      <c r="E328" s="7">
        <f>IFERROR(__xludf.DUMMYFUNCTION("""COMPUTED_VALUE"""),"No artifact embedded")</f>
        <v/>
      </c>
      <c r="F328" s="7" t="inlineStr">
        <is>
          <t>No instructions provided. Embedded artifacts include note-taking and feedback tools in Golabz app/lab.</t>
        </is>
      </c>
      <c r="G328" s="8" t="inlineStr">
        <is>
          <t>1</t>
        </is>
      </c>
      <c r="H328" s="8" t="inlineStr">
        <is>
          <t>0</t>
        </is>
      </c>
      <c r="I328" s="8" t="inlineStr">
        <is>
          <t>0</t>
        </is>
      </c>
      <c r="J328" s="8" t="inlineStr">
        <is>
          <t>0</t>
        </is>
      </c>
      <c r="K328" s="9" t="inlineStr">
        <is>
          <t>1</t>
        </is>
      </c>
      <c r="L328" s="9" t="inlineStr">
        <is>
          <t>0</t>
        </is>
      </c>
      <c r="M328" s="9" t="inlineStr">
        <is>
          <t>0</t>
        </is>
      </c>
      <c r="N328" s="9" t="inlineStr">
        <is>
          <t>0</t>
        </is>
      </c>
      <c r="O328" s="10" t="inlineStr">
        <is>
          <t>0</t>
        </is>
      </c>
      <c r="P328" s="10" t="inlineStr">
        <is>
          <t>0</t>
        </is>
      </c>
      <c r="Q328" s="10" t="inlineStr">
        <is>
          <t>0</t>
        </is>
      </c>
      <c r="R328" s="10" t="inlineStr">
        <is>
          <t>0</t>
        </is>
      </c>
      <c r="S328" s="10" t="inlineStr">
        <is>
          <t>0</t>
        </is>
      </c>
    </row>
    <row r="329" ht="229" customHeight="1">
      <c r="A329" s="6">
        <f>IFERROR(__xludf.DUMMYFUNCTION("""COMPUTED_VALUE"""),"Transcription &amp; Translation")</f>
        <v/>
      </c>
      <c r="B329" s="6">
        <f>IFERROR(__xludf.DUMMYFUNCTION("""COMPUTED_VALUE"""),"Resource")</f>
        <v/>
      </c>
      <c r="C329" s="6">
        <f>IFERROR(__xludf.DUMMYFUNCTION("""COMPUTED_VALUE"""),"Learning Outcomes.graasp")</f>
        <v/>
      </c>
      <c r="D329" s="7">
        <f>IFERROR(__xludf.DUMMYFUNCTION("""COMPUTED_VALUE"""),"&lt;ul&gt;&lt;li&gt;To recall the basic overview of transcription and translation.&lt;/li&gt;&lt;li&gt;To formulate questions based on the two processes for pupils in KS 4 and KS 5.&lt;/li&gt;&lt;li&gt;To link the role of transcription and translation to other processes within a living orga"&amp;"nism.&lt;/li&gt;&lt;/ul&gt;")</f>
        <v/>
      </c>
      <c r="E329" s="7">
        <f>IFERROR(__xludf.DUMMYFUNCTION("""COMPUTED_VALUE"""),"No artifact embedded")</f>
        <v/>
      </c>
      <c r="F329" s="7" t="inlineStr">
        <is>
          <t>Students received task descriptions and some had embedded artifacts, including the Golabz app/lab for teacher feedback.</t>
        </is>
      </c>
      <c r="G329" s="8" t="inlineStr">
        <is>
          <t>1</t>
        </is>
      </c>
      <c r="H329" s="8" t="inlineStr">
        <is>
          <t>0</t>
        </is>
      </c>
      <c r="I329" s="8" t="inlineStr">
        <is>
          <t>0</t>
        </is>
      </c>
      <c r="J329" s="8" t="inlineStr">
        <is>
          <t>0</t>
        </is>
      </c>
      <c r="K329" s="9" t="inlineStr">
        <is>
          <t>1</t>
        </is>
      </c>
      <c r="L329" s="9" t="inlineStr">
        <is>
          <t>0</t>
        </is>
      </c>
      <c r="M329" s="9" t="inlineStr">
        <is>
          <t>0</t>
        </is>
      </c>
      <c r="N329" s="9" t="inlineStr">
        <is>
          <t>0</t>
        </is>
      </c>
      <c r="O329" s="10" t="inlineStr">
        <is>
          <t>0</t>
        </is>
      </c>
      <c r="P329" s="10" t="inlineStr">
        <is>
          <t>1</t>
        </is>
      </c>
      <c r="Q329" s="10" t="inlineStr">
        <is>
          <t>0</t>
        </is>
      </c>
      <c r="R329" s="10" t="inlineStr">
        <is>
          <t>0</t>
        </is>
      </c>
      <c r="S329" s="10" t="inlineStr">
        <is>
          <t>0</t>
        </is>
      </c>
    </row>
    <row r="330" ht="37" customHeight="1">
      <c r="A330" s="6">
        <f>IFERROR(__xludf.DUMMYFUNCTION("""COMPUTED_VALUE"""),"Transcription &amp; Translation")</f>
        <v/>
      </c>
      <c r="B330" s="6">
        <f>IFERROR(__xludf.DUMMYFUNCTION("""COMPUTED_VALUE"""),"Space")</f>
        <v/>
      </c>
      <c r="C330" s="6">
        <f>IFERROR(__xludf.DUMMYFUNCTION("""COMPUTED_VALUE"""),"Investigation")</f>
        <v/>
      </c>
      <c r="D330" s="7">
        <f>IFERROR(__xludf.DUMMYFUNCTION("""COMPUTED_VALUE"""),"This is the Investigation phase.")</f>
        <v/>
      </c>
      <c r="E330" s="7">
        <f>IFERROR(__xludf.DUMMYFUNCTION("""COMPUTED_VALUE"""),"No artifact embedded")</f>
        <v/>
      </c>
      <c r="F330" s="7" t="inlineStr">
        <is>
          <t>Students are given tasks with learning outcomes, recalling transcription/translation, and investigation phases, all without embedded artifacts.</t>
        </is>
      </c>
      <c r="G330" s="8" t="inlineStr">
        <is>
          <t>1</t>
        </is>
      </c>
      <c r="H330" s="8" t="inlineStr">
        <is>
          <t>0</t>
        </is>
      </c>
      <c r="I330" s="8" t="inlineStr">
        <is>
          <t>0</t>
        </is>
      </c>
      <c r="J330" s="8" t="inlineStr">
        <is>
          <t>0</t>
        </is>
      </c>
      <c r="K330" s="9" t="inlineStr">
        <is>
          <t>1</t>
        </is>
      </c>
      <c r="L330" s="9" t="inlineStr">
        <is>
          <t>0</t>
        </is>
      </c>
      <c r="M330" s="9" t="inlineStr">
        <is>
          <t>0</t>
        </is>
      </c>
      <c r="N330" s="9" t="inlineStr">
        <is>
          <t>0</t>
        </is>
      </c>
      <c r="O330" s="10" t="inlineStr">
        <is>
          <t>0</t>
        </is>
      </c>
      <c r="P330" s="10" t="inlineStr">
        <is>
          <t>0</t>
        </is>
      </c>
      <c r="Q330" s="10" t="inlineStr">
        <is>
          <t>1</t>
        </is>
      </c>
      <c r="R330" s="10" t="inlineStr">
        <is>
          <t>0</t>
        </is>
      </c>
      <c r="S330" s="10" t="inlineStr">
        <is>
          <t>0</t>
        </is>
      </c>
    </row>
    <row r="331" ht="409.5" customHeight="1">
      <c r="A331" s="6">
        <f>IFERROR(__xludf.DUMMYFUNCTION("""COMPUTED_VALUE"""),"Transcription &amp; Translation")</f>
        <v/>
      </c>
      <c r="B331" s="6">
        <f>IFERROR(__xludf.DUMMYFUNCTION("""COMPUTED_VALUE"""),"Application")</f>
        <v/>
      </c>
      <c r="C331" s="6">
        <f>IFERROR(__xludf.DUMMYFUNCTION("""COMPUTED_VALUE"""),"DNA to Protein App")</f>
        <v/>
      </c>
      <c r="D331" s="7">
        <f>IFERROR(__xludf.DUMMYFUNCTION("""COMPUTED_VALUE"""),"&lt;p&gt;Explore how the code embedded in DNA is translated into a protein. The process of converting the information in DNA into protein is a two-step process, involving transcription and translation. In transcription, an mRNA copy is made of the DNA. In trans"&amp;"lation, the mRNA travels to a ribosome, where tRNAs bring the matching amino acids together to form a protein.&lt;br&gt;The aims of the lab is:&lt;br&gt;1) To learn about proteins and DNA processes&lt;/p&gt;&lt;p&gt;2) To create differentiated questions for KS4 and KS5 students&lt;"&amp;"br&gt; &lt;/p&gt;")</f>
        <v/>
      </c>
      <c r="E331" s="7">
        <f>IFERROR(__xludf.DUMMYFUNCTION("""COMPUTED_VALUE"""),"Golabz app/lab: ""&lt;p&gt;Explore how the code embedded in DNA is translated into a protein. The process of converting the information in DNA into protein is a two-step process, involving transcription and translation. In transcription, an mRNA copy is made of"&amp;" the DNA. In translation, the mRNA travels to a ribosome, where tRNAs bring the matching amino acids together to form a protein.&lt;br /&gt;\r\nThe primary aim of the lab is:&lt;br /&gt;\r\n1) To learn about proteins and DNA processes&lt;br /&gt;\r\n&amp;nbsp;&lt;/p&gt;\r\n""")</f>
        <v/>
      </c>
      <c r="F331" s="7" t="inlineStr">
        <is>
          <t>Students recall transcription/translation basics, formulate questions, and explore DNA-to-protein conversion using Golabz app.</t>
        </is>
      </c>
      <c r="G331" s="8" t="inlineStr">
        <is>
          <t>0</t>
        </is>
      </c>
      <c r="H331" s="8" t="inlineStr">
        <is>
          <t>1</t>
        </is>
      </c>
      <c r="I331" s="8" t="inlineStr">
        <is>
          <t>1</t>
        </is>
      </c>
      <c r="J331" s="8" t="inlineStr">
        <is>
          <t>1</t>
        </is>
      </c>
      <c r="K331" s="9" t="inlineStr">
        <is>
          <t>1</t>
        </is>
      </c>
      <c r="L331" s="9" t="inlineStr">
        <is>
          <t>0</t>
        </is>
      </c>
      <c r="M331" s="9" t="inlineStr">
        <is>
          <t>0</t>
        </is>
      </c>
      <c r="N331" s="9" t="inlineStr">
        <is>
          <t>0</t>
        </is>
      </c>
      <c r="O331" s="10" t="inlineStr">
        <is>
          <t>1</t>
        </is>
      </c>
      <c r="P331" s="10" t="inlineStr">
        <is>
          <t>0</t>
        </is>
      </c>
      <c r="Q331" s="10" t="inlineStr">
        <is>
          <t>1</t>
        </is>
      </c>
      <c r="R331" s="10" t="inlineStr">
        <is>
          <t>0</t>
        </is>
      </c>
      <c r="S331" s="10" t="inlineStr">
        <is>
          <t>0</t>
        </is>
      </c>
    </row>
    <row r="332" ht="97" customHeight="1">
      <c r="A332" s="6">
        <f>IFERROR(__xludf.DUMMYFUNCTION("""COMPUTED_VALUE"""),"Transcription &amp; Translation")</f>
        <v/>
      </c>
      <c r="B332" s="6">
        <f>IFERROR(__xludf.DUMMYFUNCTION("""COMPUTED_VALUE"""),"Resource")</f>
        <v/>
      </c>
      <c r="C332" s="6">
        <f>IFERROR(__xludf.DUMMYFUNCTION("""COMPUTED_VALUE"""),"question KS4.graasp")</f>
        <v/>
      </c>
      <c r="D332" s="7">
        <f>IFERROR(__xludf.DUMMYFUNCTION("""COMPUTED_VALUE"""),"&lt;p&gt;In the box below write 3 questions on transcription with answers for KS 4 students based on the animation above:&lt;/p&gt;")</f>
        <v/>
      </c>
      <c r="E332" s="7">
        <f>IFERROR(__xludf.DUMMYFUNCTION("""COMPUTED_VALUE"""),"No artifact embedded")</f>
        <v/>
      </c>
      <c r="F332" s="7" t="inlineStr">
        <is>
          <t>Students explore DNA translation, create questions, and write about transcription with answers. Embedded artifacts include a Golabz app/lab.</t>
        </is>
      </c>
      <c r="G332" s="8" t="inlineStr">
        <is>
          <t>0</t>
        </is>
      </c>
      <c r="H332" s="8" t="inlineStr">
        <is>
          <t>0</t>
        </is>
      </c>
      <c r="I332" s="8" t="inlineStr">
        <is>
          <t>1</t>
        </is>
      </c>
      <c r="J332" s="8" t="inlineStr">
        <is>
          <t>0</t>
        </is>
      </c>
      <c r="K332" s="9" t="inlineStr">
        <is>
          <t>1</t>
        </is>
      </c>
      <c r="L332" s="9" t="inlineStr">
        <is>
          <t>1</t>
        </is>
      </c>
      <c r="M332" s="9" t="inlineStr">
        <is>
          <t>0</t>
        </is>
      </c>
      <c r="N332" s="9" t="inlineStr">
        <is>
          <t>0</t>
        </is>
      </c>
      <c r="O332" s="10" t="inlineStr">
        <is>
          <t>0</t>
        </is>
      </c>
      <c r="P332" s="10" t="inlineStr">
        <is>
          <t>1</t>
        </is>
      </c>
      <c r="Q332" s="10" t="inlineStr">
        <is>
          <t>0</t>
        </is>
      </c>
      <c r="R332" s="10" t="inlineStr">
        <is>
          <t>0</t>
        </is>
      </c>
      <c r="S332" s="10" t="inlineStr">
        <is>
          <t>0</t>
        </is>
      </c>
    </row>
    <row r="333" ht="329" customHeight="1">
      <c r="A333" s="6">
        <f>IFERROR(__xludf.DUMMYFUNCTION("""COMPUTED_VALUE"""),"Transcription &amp; Translation")</f>
        <v/>
      </c>
      <c r="B333" s="6">
        <f>IFERROR(__xludf.DUMMYFUNCTION("""COMPUTED_VALUE"""),"Application")</f>
        <v/>
      </c>
      <c r="C333" s="6">
        <f>IFERROR(__xludf.DUMMYFUNCTION("""COMPUTED_VALUE"""),"Input Box")</f>
        <v/>
      </c>
      <c r="D333" s="7">
        <f>IFERROR(__xludf.DUMMYFUNCTION("""COMPUTED_VALUE"""),"No task description")</f>
        <v/>
      </c>
      <c r="E3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3" s="7" t="inlineStr">
        <is>
          <t>Students learn about DNA translation into protein and create questions for KS4/KS5 students using Golabz app/lab.</t>
        </is>
      </c>
      <c r="G333" s="8" t="inlineStr">
        <is>
          <t>0</t>
        </is>
      </c>
      <c r="H333" s="8" t="inlineStr">
        <is>
          <t>1</t>
        </is>
      </c>
      <c r="I333" s="8" t="inlineStr">
        <is>
          <t>1</t>
        </is>
      </c>
      <c r="J333" s="8" t="inlineStr">
        <is>
          <t>1</t>
        </is>
      </c>
      <c r="K333" s="9" t="inlineStr">
        <is>
          <t>1</t>
        </is>
      </c>
      <c r="L333" s="9" t="inlineStr">
        <is>
          <t>1</t>
        </is>
      </c>
      <c r="M333" s="9" t="inlineStr">
        <is>
          <t>1</t>
        </is>
      </c>
      <c r="N333" s="9" t="inlineStr">
        <is>
          <t>1</t>
        </is>
      </c>
      <c r="O333" s="10" t="inlineStr">
        <is>
          <t>0</t>
        </is>
      </c>
      <c r="P333" s="10" t="inlineStr">
        <is>
          <t>0</t>
        </is>
      </c>
      <c r="Q333" s="10" t="inlineStr">
        <is>
          <t>0</t>
        </is>
      </c>
      <c r="R333" s="10" t="inlineStr">
        <is>
          <t>0</t>
        </is>
      </c>
      <c r="S333" s="10" t="inlineStr">
        <is>
          <t>1</t>
        </is>
      </c>
    </row>
    <row r="334" ht="73" customHeight="1">
      <c r="A334" s="6">
        <f>IFERROR(__xludf.DUMMYFUNCTION("""COMPUTED_VALUE"""),"Transcription &amp; Translation")</f>
        <v/>
      </c>
      <c r="B334" s="6">
        <f>IFERROR(__xludf.DUMMYFUNCTION("""COMPUTED_VALUE"""),"Application")</f>
        <v/>
      </c>
      <c r="C334" s="6">
        <f>IFERROR(__xludf.DUMMYFUNCTION("""COMPUTED_VALUE"""),"Teacher Feedback (1)")</f>
        <v/>
      </c>
      <c r="D334" s="7">
        <f>IFERROR(__xludf.DUMMYFUNCTION("""COMPUTED_VALUE"""),"No task description")</f>
        <v/>
      </c>
      <c r="E334" s="7">
        <f>IFERROR(__xludf.DUMMYFUNCTION("""COMPUTED_VALUE"""),"Golabz app/lab: ""&lt;p&gt;A tool where teachers can provide feedback to students&lt;/p&gt;\r\n""")</f>
        <v/>
      </c>
      <c r="F334" s="7" t="inlineStr">
        <is>
          <t>Students write 3 transcription questions with answers. Embedded artifacts include note-taking and feedback tools via the Golabz app/lab.</t>
        </is>
      </c>
      <c r="G334" s="8" t="inlineStr">
        <is>
          <t>0</t>
        </is>
      </c>
      <c r="H334" s="8" t="inlineStr">
        <is>
          <t>0</t>
        </is>
      </c>
      <c r="I334" s="8" t="inlineStr">
        <is>
          <t>0</t>
        </is>
      </c>
      <c r="J334" s="8" t="inlineStr">
        <is>
          <t>1</t>
        </is>
      </c>
      <c r="K334" s="9" t="inlineStr">
        <is>
          <t>0</t>
        </is>
      </c>
      <c r="L334" s="9" t="inlineStr">
        <is>
          <t>0</t>
        </is>
      </c>
      <c r="M334" s="9" t="inlineStr">
        <is>
          <t>0</t>
        </is>
      </c>
      <c r="N334" s="9" t="inlineStr">
        <is>
          <t>0</t>
        </is>
      </c>
      <c r="O334" s="10" t="inlineStr">
        <is>
          <t>0</t>
        </is>
      </c>
      <c r="P334" s="10" t="inlineStr">
        <is>
          <t>0</t>
        </is>
      </c>
      <c r="Q334" s="10" t="inlineStr">
        <is>
          <t>0</t>
        </is>
      </c>
      <c r="R334" s="10" t="inlineStr">
        <is>
          <t>0</t>
        </is>
      </c>
      <c r="S334" s="10" t="inlineStr">
        <is>
          <t>1</t>
        </is>
      </c>
    </row>
    <row r="335" ht="109" customHeight="1">
      <c r="A335" s="6">
        <f>IFERROR(__xludf.DUMMYFUNCTION("""COMPUTED_VALUE"""),"Transcription &amp; Translation")</f>
        <v/>
      </c>
      <c r="B335" s="6">
        <f>IFERROR(__xludf.DUMMYFUNCTION("""COMPUTED_VALUE"""),"Resource")</f>
        <v/>
      </c>
      <c r="C335" s="6">
        <f>IFERROR(__xludf.DUMMYFUNCTION("""COMPUTED_VALUE"""),"Question KS5.graasp")</f>
        <v/>
      </c>
      <c r="D335" s="7">
        <f>IFERROR(__xludf.DUMMYFUNCTION("""COMPUTED_VALUE"""),"&lt;p&gt;In the box below describe what is missing in the animation that is needed for understanding the process of transcription at KS 5 level:&lt;/p&gt;")</f>
        <v/>
      </c>
      <c r="E335" s="7">
        <f>IFERROR(__xludf.DUMMYFUNCTION("""COMPUTED_VALUE"""),"No artifact embedded")</f>
        <v/>
      </c>
      <c r="F335" s="7" t="inlineStr">
        <is>
          <t>Students have no task descriptions for Items 1 and 2. Item 3 requires describing what's missing in an animation about transcription. Embedded artifacts include note-taking and feedback tools.</t>
        </is>
      </c>
      <c r="G335" s="8" t="inlineStr">
        <is>
          <t>0</t>
        </is>
      </c>
      <c r="H335" s="8" t="inlineStr">
        <is>
          <t>0</t>
        </is>
      </c>
      <c r="I335" s="8" t="inlineStr">
        <is>
          <t>1</t>
        </is>
      </c>
      <c r="J335" s="8" t="inlineStr">
        <is>
          <t>1</t>
        </is>
      </c>
      <c r="K335" s="9" t="inlineStr">
        <is>
          <t>1</t>
        </is>
      </c>
      <c r="L335" s="9" t="inlineStr">
        <is>
          <t>1</t>
        </is>
      </c>
      <c r="M335" s="9" t="inlineStr">
        <is>
          <t>0</t>
        </is>
      </c>
      <c r="N335" s="9" t="inlineStr">
        <is>
          <t>0</t>
        </is>
      </c>
      <c r="O335" s="10" t="inlineStr">
        <is>
          <t>1</t>
        </is>
      </c>
      <c r="P335" s="10" t="inlineStr">
        <is>
          <t>1</t>
        </is>
      </c>
      <c r="Q335" s="10" t="inlineStr">
        <is>
          <t>0</t>
        </is>
      </c>
      <c r="R335" s="10" t="inlineStr">
        <is>
          <t>0</t>
        </is>
      </c>
      <c r="S335" s="10" t="inlineStr">
        <is>
          <t>1</t>
        </is>
      </c>
    </row>
    <row r="336" ht="329" customHeight="1">
      <c r="A336" s="6">
        <f>IFERROR(__xludf.DUMMYFUNCTION("""COMPUTED_VALUE"""),"Transcription &amp; Translation")</f>
        <v/>
      </c>
      <c r="B336" s="6">
        <f>IFERROR(__xludf.DUMMYFUNCTION("""COMPUTED_VALUE"""),"Application")</f>
        <v/>
      </c>
      <c r="C336" s="6">
        <f>IFERROR(__xludf.DUMMYFUNCTION("""COMPUTED_VALUE"""),"Input Box (1)")</f>
        <v/>
      </c>
      <c r="D336" s="7">
        <f>IFERROR(__xludf.DUMMYFUNCTION("""COMPUTED_VALUE"""),"No task description")</f>
        <v/>
      </c>
      <c r="E3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6" s="7" t="inlineStr">
        <is>
          <t>Students received tasks with some missing descriptions. Embedded artifacts include Golabz app/lab for feedback and note-taking.</t>
        </is>
      </c>
      <c r="G336" s="8" t="inlineStr">
        <is>
          <t>0</t>
        </is>
      </c>
      <c r="H336" s="8" t="inlineStr">
        <is>
          <t>1</t>
        </is>
      </c>
      <c r="I336" s="8" t="inlineStr">
        <is>
          <t>1</t>
        </is>
      </c>
      <c r="J336" s="8" t="inlineStr">
        <is>
          <t>1</t>
        </is>
      </c>
      <c r="K336" s="9" t="inlineStr">
        <is>
          <t>0</t>
        </is>
      </c>
      <c r="L336" s="9" t="inlineStr">
        <is>
          <t>1</t>
        </is>
      </c>
      <c r="M336" s="9" t="inlineStr">
        <is>
          <t>1</t>
        </is>
      </c>
      <c r="N336" s="9" t="inlineStr">
        <is>
          <t>1</t>
        </is>
      </c>
      <c r="O336" s="10" t="inlineStr">
        <is>
          <t>0</t>
        </is>
      </c>
      <c r="P336" s="10" t="inlineStr">
        <is>
          <t>0</t>
        </is>
      </c>
      <c r="Q336" s="10" t="inlineStr">
        <is>
          <t>0</t>
        </is>
      </c>
      <c r="R336" s="10" t="inlineStr">
        <is>
          <t>0</t>
        </is>
      </c>
      <c r="S336" s="10" t="inlineStr">
        <is>
          <t>1</t>
        </is>
      </c>
    </row>
    <row r="337" ht="73" customHeight="1">
      <c r="A337" s="6">
        <f>IFERROR(__xludf.DUMMYFUNCTION("""COMPUTED_VALUE"""),"Transcription &amp; Translation")</f>
        <v/>
      </c>
      <c r="B337" s="6">
        <f>IFERROR(__xludf.DUMMYFUNCTION("""COMPUTED_VALUE"""),"Application")</f>
        <v/>
      </c>
      <c r="C337" s="6">
        <f>IFERROR(__xludf.DUMMYFUNCTION("""COMPUTED_VALUE"""),"Teacher Feedback")</f>
        <v/>
      </c>
      <c r="D337" s="7">
        <f>IFERROR(__xludf.DUMMYFUNCTION("""COMPUTED_VALUE"""),"No task description")</f>
        <v/>
      </c>
      <c r="E337" s="7">
        <f>IFERROR(__xludf.DUMMYFUNCTION("""COMPUTED_VALUE"""),"Golabz app/lab: ""&lt;p&gt;A tool where teachers can provide feedback to students&lt;/p&gt;\r\n""")</f>
        <v/>
      </c>
      <c r="F337" s="7" t="inlineStr">
        <is>
          <t>Students describe what's missing in an animation for understanding transcription. Embedded artifacts include note-taking and feedback tools.</t>
        </is>
      </c>
      <c r="G337" s="8" t="inlineStr">
        <is>
          <t>0</t>
        </is>
      </c>
      <c r="H337" s="8" t="inlineStr">
        <is>
          <t>0</t>
        </is>
      </c>
      <c r="I337" s="8" t="inlineStr">
        <is>
          <t>0</t>
        </is>
      </c>
      <c r="J337" s="8" t="inlineStr">
        <is>
          <t>1</t>
        </is>
      </c>
      <c r="K337" s="9" t="inlineStr">
        <is>
          <t>0</t>
        </is>
      </c>
      <c r="L337" s="9" t="inlineStr">
        <is>
          <t>0</t>
        </is>
      </c>
      <c r="M337" s="9" t="inlineStr">
        <is>
          <t>0</t>
        </is>
      </c>
      <c r="N337" s="9" t="inlineStr">
        <is>
          <t>0</t>
        </is>
      </c>
      <c r="O337" s="10" t="inlineStr">
        <is>
          <t>0</t>
        </is>
      </c>
      <c r="P337" s="10" t="inlineStr">
        <is>
          <t>0</t>
        </is>
      </c>
      <c r="Q337" s="10" t="inlineStr">
        <is>
          <t>0</t>
        </is>
      </c>
      <c r="R337" s="10" t="inlineStr">
        <is>
          <t>0</t>
        </is>
      </c>
      <c r="S337" s="10" t="inlineStr">
        <is>
          <t>1</t>
        </is>
      </c>
    </row>
    <row r="338" ht="97" customHeight="1">
      <c r="A338" s="6">
        <f>IFERROR(__xludf.DUMMYFUNCTION("""COMPUTED_VALUE"""),"Transcription &amp; Translation")</f>
        <v/>
      </c>
      <c r="B338" s="6">
        <f>IFERROR(__xludf.DUMMYFUNCTION("""COMPUTED_VALUE"""),"Resource")</f>
        <v/>
      </c>
      <c r="C338" s="6">
        <f>IFERROR(__xludf.DUMMYFUNCTION("""COMPUTED_VALUE"""),"question ks4 2.graasp")</f>
        <v/>
      </c>
      <c r="D338" s="7">
        <f>IFERROR(__xludf.DUMMYFUNCTION("""COMPUTED_VALUE"""),"&lt;p&gt;In the box below write 3 questions on translation with answers for KS 4 students based on the animation above:&lt;/p&gt;")</f>
        <v/>
      </c>
      <c r="E338" s="7">
        <f>IFERROR(__xludf.DUMMYFUNCTION("""COMPUTED_VALUE"""),"No artifact embedded")</f>
        <v/>
      </c>
      <c r="F338" s="7" t="inlineStr">
        <is>
          <t>Students have no task descriptions for Items 1 and 2, but Item 3 requires writing 3 translation questions. Embedded artifacts include note-taking and feedback tools.</t>
        </is>
      </c>
      <c r="G338" s="8" t="inlineStr">
        <is>
          <t>0</t>
        </is>
      </c>
      <c r="H338" s="8" t="inlineStr">
        <is>
          <t>0</t>
        </is>
      </c>
      <c r="I338" s="8" t="inlineStr">
        <is>
          <t>1</t>
        </is>
      </c>
      <c r="J338" s="8" t="inlineStr">
        <is>
          <t>0</t>
        </is>
      </c>
      <c r="K338" s="9" t="inlineStr">
        <is>
          <t>1</t>
        </is>
      </c>
      <c r="L338" s="9" t="inlineStr">
        <is>
          <t>1</t>
        </is>
      </c>
      <c r="M338" s="9" t="inlineStr">
        <is>
          <t>0</t>
        </is>
      </c>
      <c r="N338" s="9" t="inlineStr">
        <is>
          <t>0</t>
        </is>
      </c>
      <c r="O338" s="10" t="inlineStr">
        <is>
          <t>0</t>
        </is>
      </c>
      <c r="P338" s="10" t="inlineStr">
        <is>
          <t>1</t>
        </is>
      </c>
      <c r="Q338" s="10" t="inlineStr">
        <is>
          <t>0</t>
        </is>
      </c>
      <c r="R338" s="10" t="inlineStr">
        <is>
          <t>0</t>
        </is>
      </c>
      <c r="S338" s="10" t="inlineStr">
        <is>
          <t>0</t>
        </is>
      </c>
    </row>
    <row r="339" ht="329" customHeight="1">
      <c r="A339" s="6">
        <f>IFERROR(__xludf.DUMMYFUNCTION("""COMPUTED_VALUE"""),"Transcription &amp; Translation")</f>
        <v/>
      </c>
      <c r="B339" s="6">
        <f>IFERROR(__xludf.DUMMYFUNCTION("""COMPUTED_VALUE"""),"Application")</f>
        <v/>
      </c>
      <c r="C339" s="6">
        <f>IFERROR(__xludf.DUMMYFUNCTION("""COMPUTED_VALUE"""),"Input Box (2)")</f>
        <v/>
      </c>
      <c r="D339" s="7">
        <f>IFERROR(__xludf.DUMMYFUNCTION("""COMPUTED_VALUE"""),"No task description")</f>
        <v/>
      </c>
      <c r="E33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9" s="7" t="inlineStr">
        <is>
          <t>Students received task descriptions and embedded artifacts, including Golabz app/lab tools for feedback and note-taking.</t>
        </is>
      </c>
      <c r="G339" s="8" t="inlineStr">
        <is>
          <t>0</t>
        </is>
      </c>
      <c r="H339" s="8" t="inlineStr">
        <is>
          <t>1</t>
        </is>
      </c>
      <c r="I339" s="8" t="inlineStr">
        <is>
          <t>1</t>
        </is>
      </c>
      <c r="J339" s="8" t="inlineStr">
        <is>
          <t>1</t>
        </is>
      </c>
      <c r="K339" s="9" t="inlineStr">
        <is>
          <t>1</t>
        </is>
      </c>
      <c r="L339" s="9" t="inlineStr">
        <is>
          <t>1</t>
        </is>
      </c>
      <c r="M339" s="9" t="inlineStr">
        <is>
          <t>1</t>
        </is>
      </c>
      <c r="N339" s="9" t="inlineStr">
        <is>
          <t>1</t>
        </is>
      </c>
      <c r="O339" s="10" t="inlineStr">
        <is>
          <t>0</t>
        </is>
      </c>
      <c r="P339" s="10" t="inlineStr">
        <is>
          <t>0</t>
        </is>
      </c>
      <c r="Q339" s="10" t="inlineStr">
        <is>
          <t>0</t>
        </is>
      </c>
      <c r="R339" s="10" t="inlineStr">
        <is>
          <t>0</t>
        </is>
      </c>
      <c r="S339" s="10" t="inlineStr">
        <is>
          <t>1</t>
        </is>
      </c>
    </row>
    <row r="340" ht="73" customHeight="1">
      <c r="A340" s="6">
        <f>IFERROR(__xludf.DUMMYFUNCTION("""COMPUTED_VALUE"""),"Transcription &amp; Translation")</f>
        <v/>
      </c>
      <c r="B340" s="6">
        <f>IFERROR(__xludf.DUMMYFUNCTION("""COMPUTED_VALUE"""),"Application")</f>
        <v/>
      </c>
      <c r="C340" s="6">
        <f>IFERROR(__xludf.DUMMYFUNCTION("""COMPUTED_VALUE"""),"Teacher Feedback (2)")</f>
        <v/>
      </c>
      <c r="D340" s="7">
        <f>IFERROR(__xludf.DUMMYFUNCTION("""COMPUTED_VALUE"""),"No task description")</f>
        <v/>
      </c>
      <c r="E340" s="7">
        <f>IFERROR(__xludf.DUMMYFUNCTION("""COMPUTED_VALUE"""),"Golabz app/lab: ""&lt;p&gt;A tool where teachers can provide feedback to students&lt;/p&gt;\r\n""")</f>
        <v/>
      </c>
      <c r="F340" s="7" t="inlineStr">
        <is>
          <t>Students write 3 translation questions with answers. Embedded artifacts include note-taking and feedback tools.</t>
        </is>
      </c>
      <c r="G340" s="8" t="inlineStr">
        <is>
          <t>0</t>
        </is>
      </c>
      <c r="H340" s="8" t="inlineStr">
        <is>
          <t>0</t>
        </is>
      </c>
      <c r="I340" s="8" t="inlineStr">
        <is>
          <t>0</t>
        </is>
      </c>
      <c r="J340" s="8" t="inlineStr">
        <is>
          <t>1</t>
        </is>
      </c>
      <c r="K340" s="9" t="inlineStr">
        <is>
          <t>0</t>
        </is>
      </c>
      <c r="L340" s="9" t="inlineStr">
        <is>
          <t>0</t>
        </is>
      </c>
      <c r="M340" s="9" t="inlineStr">
        <is>
          <t>0</t>
        </is>
      </c>
      <c r="N340" s="9" t="inlineStr">
        <is>
          <t>0</t>
        </is>
      </c>
      <c r="O340" s="10" t="inlineStr">
        <is>
          <t>0</t>
        </is>
      </c>
      <c r="P340" s="10" t="inlineStr">
        <is>
          <t>0</t>
        </is>
      </c>
      <c r="Q340" s="10" t="inlineStr">
        <is>
          <t>0</t>
        </is>
      </c>
      <c r="R340" s="10" t="inlineStr">
        <is>
          <t>0</t>
        </is>
      </c>
      <c r="S340" s="10" t="inlineStr">
        <is>
          <t>1</t>
        </is>
      </c>
    </row>
    <row r="341" ht="109" customHeight="1">
      <c r="A341" s="6">
        <f>IFERROR(__xludf.DUMMYFUNCTION("""COMPUTED_VALUE"""),"Transcription &amp; Translation")</f>
        <v/>
      </c>
      <c r="B341" s="6">
        <f>IFERROR(__xludf.DUMMYFUNCTION("""COMPUTED_VALUE"""),"Resource")</f>
        <v/>
      </c>
      <c r="C341" s="6">
        <f>IFERROR(__xludf.DUMMYFUNCTION("""COMPUTED_VALUE"""),"question ks5 2.graasp")</f>
        <v/>
      </c>
      <c r="D341" s="7">
        <f>IFERROR(__xludf.DUMMYFUNCTION("""COMPUTED_VALUE"""),"&lt;p&gt;In the box below describe what is missing in the animation that is needed for understanding the process of translation at KS 5 level:&lt;/p&gt;")</f>
        <v/>
      </c>
      <c r="E341" s="7">
        <f>IFERROR(__xludf.DUMMYFUNCTION("""COMPUTED_VALUE"""),"No artifact embedded")</f>
        <v/>
      </c>
      <c r="F341" s="7" t="inlineStr">
        <is>
          <t>Students have no task descriptions for Items 1 and 2, but are given apps to take notes and provide feedback. Item 3 asks students to describe what's missing in an animation about translation.</t>
        </is>
      </c>
      <c r="G341" s="8" t="inlineStr">
        <is>
          <t>0</t>
        </is>
      </c>
      <c r="H341" s="8" t="inlineStr">
        <is>
          <t>0</t>
        </is>
      </c>
      <c r="I341" s="8" t="inlineStr">
        <is>
          <t>1</t>
        </is>
      </c>
      <c r="J341" s="8" t="inlineStr">
        <is>
          <t>1</t>
        </is>
      </c>
      <c r="K341" s="9" t="inlineStr">
        <is>
          <t>1</t>
        </is>
      </c>
      <c r="L341" s="9" t="inlineStr">
        <is>
          <t>1</t>
        </is>
      </c>
      <c r="M341" s="9" t="inlineStr">
        <is>
          <t>0</t>
        </is>
      </c>
      <c r="N341" s="9" t="inlineStr">
        <is>
          <t>0</t>
        </is>
      </c>
      <c r="O341" s="10" t="inlineStr">
        <is>
          <t>1</t>
        </is>
      </c>
      <c r="P341" s="10" t="inlineStr">
        <is>
          <t>1</t>
        </is>
      </c>
      <c r="Q341" s="10" t="inlineStr">
        <is>
          <t>0</t>
        </is>
      </c>
      <c r="R341" s="10" t="inlineStr">
        <is>
          <t>0</t>
        </is>
      </c>
      <c r="S341" s="10" t="inlineStr">
        <is>
          <t>1</t>
        </is>
      </c>
    </row>
    <row r="342" ht="329" customHeight="1">
      <c r="A342" s="6">
        <f>IFERROR(__xludf.DUMMYFUNCTION("""COMPUTED_VALUE"""),"Transcription &amp; Translation")</f>
        <v/>
      </c>
      <c r="B342" s="6">
        <f>IFERROR(__xludf.DUMMYFUNCTION("""COMPUTED_VALUE"""),"Application")</f>
        <v/>
      </c>
      <c r="C342" s="6">
        <f>IFERROR(__xludf.DUMMYFUNCTION("""COMPUTED_VALUE"""),"Input Box (3)")</f>
        <v/>
      </c>
      <c r="D342" s="7">
        <f>IFERROR(__xludf.DUMMYFUNCTION("""COMPUTED_VALUE"""),"No task description")</f>
        <v/>
      </c>
      <c r="E34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2" s="7" t="inlineStr">
        <is>
          <t>Students received 3 tasks with varying levels of description and embedded artifacts, including Golabz apps for feedback and note-taking.</t>
        </is>
      </c>
      <c r="G342" s="8" t="inlineStr">
        <is>
          <t>0</t>
        </is>
      </c>
      <c r="H342" s="8" t="inlineStr">
        <is>
          <t>1</t>
        </is>
      </c>
      <c r="I342" s="8" t="inlineStr">
        <is>
          <t>1</t>
        </is>
      </c>
      <c r="J342" s="8" t="inlineStr">
        <is>
          <t>1</t>
        </is>
      </c>
      <c r="K342" s="9" t="inlineStr">
        <is>
          <t>0</t>
        </is>
      </c>
      <c r="L342" s="9" t="inlineStr">
        <is>
          <t>0</t>
        </is>
      </c>
      <c r="M342" s="9" t="inlineStr">
        <is>
          <t>1</t>
        </is>
      </c>
      <c r="N342" s="9" t="inlineStr">
        <is>
          <t>1</t>
        </is>
      </c>
      <c r="O342" s="10" t="inlineStr">
        <is>
          <t>0</t>
        </is>
      </c>
      <c r="P342" s="10" t="inlineStr">
        <is>
          <t>0</t>
        </is>
      </c>
      <c r="Q342" s="10" t="inlineStr">
        <is>
          <t>0</t>
        </is>
      </c>
      <c r="R342" s="10" t="inlineStr">
        <is>
          <t>0</t>
        </is>
      </c>
      <c r="S342" s="10" t="inlineStr">
        <is>
          <t>1</t>
        </is>
      </c>
    </row>
    <row r="343" ht="73" customHeight="1">
      <c r="A343" s="6">
        <f>IFERROR(__xludf.DUMMYFUNCTION("""COMPUTED_VALUE"""),"Transcription &amp; Translation")</f>
        <v/>
      </c>
      <c r="B343" s="6">
        <f>IFERROR(__xludf.DUMMYFUNCTION("""COMPUTED_VALUE"""),"Application")</f>
        <v/>
      </c>
      <c r="C343" s="6">
        <f>IFERROR(__xludf.DUMMYFUNCTION("""COMPUTED_VALUE"""),"Teacher Feedback (3)")</f>
        <v/>
      </c>
      <c r="D343" s="7">
        <f>IFERROR(__xludf.DUMMYFUNCTION("""COMPUTED_VALUE"""),"No task description")</f>
        <v/>
      </c>
      <c r="E343" s="7">
        <f>IFERROR(__xludf.DUMMYFUNCTION("""COMPUTED_VALUE"""),"Golabz app/lab: ""&lt;p&gt;A tool where teachers can provide feedback to students&lt;/p&gt;\r\n""")</f>
        <v/>
      </c>
      <c r="F343" s="7" t="inlineStr">
        <is>
          <t>Students describe what's missing in an animation for understanding translation. Embedded artifacts include note-taking and feedback tools.</t>
        </is>
      </c>
      <c r="G343" s="8" t="inlineStr">
        <is>
          <t>0</t>
        </is>
      </c>
      <c r="H343" s="8" t="inlineStr">
        <is>
          <t>0</t>
        </is>
      </c>
      <c r="I343" s="8" t="inlineStr">
        <is>
          <t>0</t>
        </is>
      </c>
      <c r="J343" s="8" t="inlineStr">
        <is>
          <t>1</t>
        </is>
      </c>
      <c r="K343" s="9" t="inlineStr">
        <is>
          <t>0</t>
        </is>
      </c>
      <c r="L343" s="9" t="inlineStr">
        <is>
          <t>0</t>
        </is>
      </c>
      <c r="M343" s="9" t="inlineStr">
        <is>
          <t>0</t>
        </is>
      </c>
      <c r="N343" s="9" t="inlineStr">
        <is>
          <t>0</t>
        </is>
      </c>
      <c r="O343" s="10" t="inlineStr">
        <is>
          <t>0</t>
        </is>
      </c>
      <c r="P343" s="10" t="inlineStr">
        <is>
          <t>0</t>
        </is>
      </c>
      <c r="Q343" s="10" t="inlineStr">
        <is>
          <t>0</t>
        </is>
      </c>
      <c r="R343" s="10" t="inlineStr">
        <is>
          <t>0</t>
        </is>
      </c>
      <c r="S343" s="10" t="inlineStr">
        <is>
          <t>1</t>
        </is>
      </c>
    </row>
    <row r="344" ht="37" customHeight="1">
      <c r="A344" s="6">
        <f>IFERROR(__xludf.DUMMYFUNCTION("""COMPUTED_VALUE"""),"Transcription &amp; Translation")</f>
        <v/>
      </c>
      <c r="B344" s="6">
        <f>IFERROR(__xludf.DUMMYFUNCTION("""COMPUTED_VALUE"""),"Space")</f>
        <v/>
      </c>
      <c r="C344" s="6">
        <f>IFERROR(__xludf.DUMMYFUNCTION("""COMPUTED_VALUE"""),"Conclusion")</f>
        <v/>
      </c>
      <c r="D344" s="7">
        <f>IFERROR(__xludf.DUMMYFUNCTION("""COMPUTED_VALUE"""),"This is the Conclusion phase.")</f>
        <v/>
      </c>
      <c r="E344" s="7">
        <f>IFERROR(__xludf.DUMMYFUNCTION("""COMPUTED_VALUE"""),"No artifact embedded")</f>
        <v/>
      </c>
      <c r="F344" s="7" t="inlineStr">
        <is>
          <t>No instructions are provided. Embedded artifacts include a note-taking app and a feedback tool.</t>
        </is>
      </c>
      <c r="G344" s="8" t="inlineStr">
        <is>
          <t>1</t>
        </is>
      </c>
      <c r="H344" s="8" t="inlineStr">
        <is>
          <t>0</t>
        </is>
      </c>
      <c r="I344" s="8" t="inlineStr">
        <is>
          <t>0</t>
        </is>
      </c>
      <c r="J344" s="8" t="inlineStr">
        <is>
          <t>0</t>
        </is>
      </c>
      <c r="K344" s="9" t="inlineStr">
        <is>
          <t>1</t>
        </is>
      </c>
      <c r="L344" s="9" t="inlineStr">
        <is>
          <t>0</t>
        </is>
      </c>
      <c r="M344" s="9" t="inlineStr">
        <is>
          <t>0</t>
        </is>
      </c>
      <c r="N344" s="9" t="inlineStr">
        <is>
          <t>0</t>
        </is>
      </c>
      <c r="O344" s="10" t="inlineStr">
        <is>
          <t>0</t>
        </is>
      </c>
      <c r="P344" s="10" t="inlineStr">
        <is>
          <t>0</t>
        </is>
      </c>
      <c r="Q344" s="10" t="inlineStr">
        <is>
          <t>0</t>
        </is>
      </c>
      <c r="R344" s="10" t="inlineStr">
        <is>
          <t>1</t>
        </is>
      </c>
      <c r="S344" s="10" t="inlineStr">
        <is>
          <t>0</t>
        </is>
      </c>
    </row>
    <row r="345" ht="61" customHeight="1">
      <c r="A345" s="6">
        <f>IFERROR(__xludf.DUMMYFUNCTION("""COMPUTED_VALUE"""),"Transcription &amp; Translation")</f>
        <v/>
      </c>
      <c r="B345" s="6">
        <f>IFERROR(__xludf.DUMMYFUNCTION("""COMPUTED_VALUE"""),"Resource")</f>
        <v/>
      </c>
      <c r="C345" s="6">
        <f>IFERROR(__xludf.DUMMYFUNCTION("""COMPUTED_VALUE"""),"Conclusion 1.graasp")</f>
        <v/>
      </c>
      <c r="D345" s="7">
        <f>IFERROR(__xludf.DUMMYFUNCTION("""COMPUTED_VALUE"""),"&lt;p&gt;Write a short conclusion on the main things you have learned today&lt;/p&gt;")</f>
        <v/>
      </c>
      <c r="E345" s="7">
        <f>IFERROR(__xludf.DUMMYFUNCTION("""COMPUTED_VALUE"""),"No artifact embedded")</f>
        <v/>
      </c>
      <c r="F345" s="7" t="inlineStr">
        <is>
          <t>Students were given tasks with descriptions and some had embedded artifacts, including Golabz app for teacher feedback.</t>
        </is>
      </c>
      <c r="G345" s="8" t="inlineStr">
        <is>
          <t>0</t>
        </is>
      </c>
      <c r="H345" s="8" t="inlineStr">
        <is>
          <t>0</t>
        </is>
      </c>
      <c r="I345" s="8" t="inlineStr">
        <is>
          <t>1</t>
        </is>
      </c>
      <c r="J345" s="8" t="inlineStr">
        <is>
          <t>0</t>
        </is>
      </c>
      <c r="K345" s="9" t="inlineStr">
        <is>
          <t>1</t>
        </is>
      </c>
      <c r="L345" s="9" t="inlineStr">
        <is>
          <t>1</t>
        </is>
      </c>
      <c r="M345" s="9" t="inlineStr">
        <is>
          <t>0</t>
        </is>
      </c>
      <c r="N345" s="9" t="inlineStr">
        <is>
          <t>0</t>
        </is>
      </c>
      <c r="O345" s="10" t="inlineStr">
        <is>
          <t>0</t>
        </is>
      </c>
      <c r="P345" s="10" t="inlineStr">
        <is>
          <t>0</t>
        </is>
      </c>
      <c r="Q345" s="10" t="inlineStr">
        <is>
          <t>0</t>
        </is>
      </c>
      <c r="R345" s="10" t="inlineStr">
        <is>
          <t>1</t>
        </is>
      </c>
      <c r="S345" s="10" t="inlineStr">
        <is>
          <t>0</t>
        </is>
      </c>
    </row>
    <row r="346" ht="329" customHeight="1">
      <c r="A346" s="6">
        <f>IFERROR(__xludf.DUMMYFUNCTION("""COMPUTED_VALUE"""),"Transcription &amp; Translation")</f>
        <v/>
      </c>
      <c r="B346" s="6">
        <f>IFERROR(__xludf.DUMMYFUNCTION("""COMPUTED_VALUE"""),"Application")</f>
        <v/>
      </c>
      <c r="C346" s="6">
        <f>IFERROR(__xludf.DUMMYFUNCTION("""COMPUTED_VALUE"""),"Input Box")</f>
        <v/>
      </c>
      <c r="D346" s="7">
        <f>IFERROR(__xludf.DUMMYFUNCTION("""COMPUTED_VALUE"""),"No task description")</f>
        <v/>
      </c>
      <c r="E3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6" s="7" t="inlineStr">
        <is>
          <t>Students were instructed to conclude their learnings. Embedded artifacts include a note-taking app, Golabz, which allows teachers to overview student inputs and enables collaboration.</t>
        </is>
      </c>
      <c r="G346" s="8" t="inlineStr">
        <is>
          <t>0</t>
        </is>
      </c>
      <c r="H346" s="8" t="inlineStr">
        <is>
          <t>1</t>
        </is>
      </c>
      <c r="I346" s="8" t="inlineStr">
        <is>
          <t>1</t>
        </is>
      </c>
      <c r="J346" s="8" t="inlineStr">
        <is>
          <t>1</t>
        </is>
      </c>
      <c r="K346" s="9" t="inlineStr">
        <is>
          <t>1</t>
        </is>
      </c>
      <c r="L346" s="9" t="inlineStr">
        <is>
          <t>1</t>
        </is>
      </c>
      <c r="M346" s="9" t="inlineStr">
        <is>
          <t>1</t>
        </is>
      </c>
      <c r="N346" s="9" t="inlineStr">
        <is>
          <t>1</t>
        </is>
      </c>
      <c r="O346" s="10" t="inlineStr">
        <is>
          <t>0</t>
        </is>
      </c>
      <c r="P346" s="10" t="inlineStr">
        <is>
          <t>0</t>
        </is>
      </c>
      <c r="Q346" s="10" t="inlineStr">
        <is>
          <t>0</t>
        </is>
      </c>
      <c r="R346" s="10" t="inlineStr">
        <is>
          <t>0</t>
        </is>
      </c>
      <c r="S346" s="10" t="inlineStr">
        <is>
          <t>1</t>
        </is>
      </c>
    </row>
    <row r="347" ht="73" customHeight="1">
      <c r="A347" s="6">
        <f>IFERROR(__xludf.DUMMYFUNCTION("""COMPUTED_VALUE"""),"Transcription &amp; Translation")</f>
        <v/>
      </c>
      <c r="B347" s="6">
        <f>IFERROR(__xludf.DUMMYFUNCTION("""COMPUTED_VALUE"""),"Application")</f>
        <v/>
      </c>
      <c r="C347" s="6">
        <f>IFERROR(__xludf.DUMMYFUNCTION("""COMPUTED_VALUE"""),"Teacher Feedback")</f>
        <v/>
      </c>
      <c r="D347" s="7">
        <f>IFERROR(__xludf.DUMMYFUNCTION("""COMPUTED_VALUE"""),"No task description")</f>
        <v/>
      </c>
      <c r="E347" s="7">
        <f>IFERROR(__xludf.DUMMYFUNCTION("""COMPUTED_VALUE"""),"Golabz app/lab: ""&lt;p&gt;A tool where teachers can provide feedback to students&lt;/p&gt;\r\n""")</f>
        <v/>
      </c>
      <c r="F347" s="7" t="inlineStr">
        <is>
          <t>Students were instructed to write a conclusion on main learnings. Embedded artifacts include note-taking and feedback tools in the Golabz app/lab.</t>
        </is>
      </c>
      <c r="G347" s="8" t="inlineStr">
        <is>
          <t>0</t>
        </is>
      </c>
      <c r="H347" s="8" t="inlineStr">
        <is>
          <t>0</t>
        </is>
      </c>
      <c r="I347" s="8" t="inlineStr">
        <is>
          <t>0</t>
        </is>
      </c>
      <c r="J347" s="8" t="inlineStr">
        <is>
          <t>1</t>
        </is>
      </c>
      <c r="K347" s="9" t="inlineStr">
        <is>
          <t>0</t>
        </is>
      </c>
      <c r="L347" s="9" t="inlineStr">
        <is>
          <t>0</t>
        </is>
      </c>
      <c r="M347" s="9" t="inlineStr">
        <is>
          <t>0</t>
        </is>
      </c>
      <c r="N347" s="9" t="inlineStr">
        <is>
          <t>0</t>
        </is>
      </c>
      <c r="O347" s="10" t="inlineStr">
        <is>
          <t>0</t>
        </is>
      </c>
      <c r="P347" s="10" t="inlineStr">
        <is>
          <t>0</t>
        </is>
      </c>
      <c r="Q347" s="10" t="inlineStr">
        <is>
          <t>0</t>
        </is>
      </c>
      <c r="R347" s="10" t="inlineStr">
        <is>
          <t>0</t>
        </is>
      </c>
      <c r="S347" s="10" t="inlineStr">
        <is>
          <t>1</t>
        </is>
      </c>
    </row>
    <row r="348" ht="37" customHeight="1">
      <c r="A348" s="6">
        <f>IFERROR(__xludf.DUMMYFUNCTION("""COMPUTED_VALUE"""),"Transcription &amp; Translation")</f>
        <v/>
      </c>
      <c r="B348" s="6">
        <f>IFERROR(__xludf.DUMMYFUNCTION("""COMPUTED_VALUE"""),"Space")</f>
        <v/>
      </c>
      <c r="C348" s="6">
        <f>IFERROR(__xludf.DUMMYFUNCTION("""COMPUTED_VALUE"""),"Discussion")</f>
        <v/>
      </c>
      <c r="D348" s="7">
        <f>IFERROR(__xludf.DUMMYFUNCTION("""COMPUTED_VALUE"""),"This is the Discussion phase.")</f>
        <v/>
      </c>
      <c r="E348" s="7">
        <f>IFERROR(__xludf.DUMMYFUNCTION("""COMPUTED_VALUE"""),"No artifact embedded")</f>
        <v/>
      </c>
      <c r="F348" s="7" t="inlineStr">
        <is>
          <t>Students received no task descriptions, but had access to apps for note-taking and teacher feedback.</t>
        </is>
      </c>
      <c r="G348" s="8" t="inlineStr">
        <is>
          <t>0</t>
        </is>
      </c>
      <c r="H348" s="8" t="inlineStr">
        <is>
          <t>0</t>
        </is>
      </c>
      <c r="I348" s="8" t="inlineStr">
        <is>
          <t>0</t>
        </is>
      </c>
      <c r="J348" s="8" t="inlineStr">
        <is>
          <t>1</t>
        </is>
      </c>
      <c r="K348" s="9" t="inlineStr">
        <is>
          <t>0</t>
        </is>
      </c>
      <c r="L348" s="9" t="inlineStr">
        <is>
          <t>0</t>
        </is>
      </c>
      <c r="M348" s="9" t="inlineStr">
        <is>
          <t>1</t>
        </is>
      </c>
      <c r="N348" s="9" t="inlineStr">
        <is>
          <t>0</t>
        </is>
      </c>
      <c r="O348" s="10" t="inlineStr">
        <is>
          <t>0</t>
        </is>
      </c>
      <c r="P348" s="10" t="inlineStr">
        <is>
          <t>0</t>
        </is>
      </c>
      <c r="Q348" s="10" t="inlineStr">
        <is>
          <t>0</t>
        </is>
      </c>
      <c r="R348" s="10" t="inlineStr">
        <is>
          <t>0</t>
        </is>
      </c>
      <c r="S348" s="10" t="inlineStr">
        <is>
          <t>1</t>
        </is>
      </c>
    </row>
    <row r="349" ht="362" customHeight="1">
      <c r="A349" s="6">
        <f>IFERROR(__xludf.DUMMYFUNCTION("""COMPUTED_VALUE"""),"Transcription &amp; Translation")</f>
        <v/>
      </c>
      <c r="B349" s="6">
        <f>IFERROR(__xludf.DUMMYFUNCTION("""COMPUTED_VALUE"""),"Resource")</f>
        <v/>
      </c>
      <c r="C349" s="6">
        <f>IFERROR(__xludf.DUMMYFUNCTION("""COMPUTED_VALUE"""),"Discussion 1.graasp")</f>
        <v/>
      </c>
      <c r="D349" s="7">
        <f>IFERROR(__xludf.DUMMYFUNCTION("""COMPUTED_VALUE"""),"&lt;p&gt;&lt;strong&gt;Cells use the two-step process of transcription and translation to read each gene and produce a string of amino acids that makes up a protein. The role of transcription and translation can be linked to other processes within a living organism.&lt;"&amp;"/strong&gt;&lt;/p&gt;&lt;p&gt;&lt;br&gt;&lt;/p&gt;&lt;p&gt;Discuss the link between the two-step process and enzyme activity in a living organism. Use the video below to help you explain the structure and function of enzymes.&lt;/p&gt;")</f>
        <v/>
      </c>
      <c r="E349" s="7">
        <f>IFERROR(__xludf.DUMMYFUNCTION("""COMPUTED_VALUE"""),"No artifact embedded")</f>
        <v/>
      </c>
      <c r="F349" s="7" t="inlineStr">
        <is>
          <t>Students receive task descriptions and access to an embedded Golabz app/lab for feedback, with some items lacking artifacts or detailed instructions.</t>
        </is>
      </c>
      <c r="G349" s="8" t="inlineStr">
        <is>
          <t>0</t>
        </is>
      </c>
      <c r="H349" s="8" t="inlineStr">
        <is>
          <t>0</t>
        </is>
      </c>
      <c r="I349" s="8" t="inlineStr">
        <is>
          <t>1</t>
        </is>
      </c>
      <c r="J349" s="8" t="inlineStr">
        <is>
          <t>0</t>
        </is>
      </c>
      <c r="K349" s="9" t="inlineStr">
        <is>
          <t>1</t>
        </is>
      </c>
      <c r="L349" s="9" t="inlineStr">
        <is>
          <t>1</t>
        </is>
      </c>
      <c r="M349" s="9" t="inlineStr">
        <is>
          <t>1</t>
        </is>
      </c>
      <c r="N349" s="9" t="inlineStr">
        <is>
          <t>0</t>
        </is>
      </c>
      <c r="O349" s="10" t="inlineStr">
        <is>
          <t>1</t>
        </is>
      </c>
      <c r="P349" s="10" t="inlineStr">
        <is>
          <t>1</t>
        </is>
      </c>
      <c r="Q349" s="10" t="inlineStr">
        <is>
          <t>0</t>
        </is>
      </c>
      <c r="R349" s="10" t="inlineStr">
        <is>
          <t>0</t>
        </is>
      </c>
      <c r="S349" s="10" t="inlineStr">
        <is>
          <t>1</t>
        </is>
      </c>
    </row>
    <row r="350" ht="121" customHeight="1">
      <c r="A350" s="6">
        <f>IFERROR(__xludf.DUMMYFUNCTION("""COMPUTED_VALUE"""),"Transcription &amp; Translation")</f>
        <v/>
      </c>
      <c r="B350" s="6">
        <f>IFERROR(__xludf.DUMMYFUNCTION("""COMPUTED_VALUE"""),"Resource")</f>
        <v/>
      </c>
      <c r="C350" s="6">
        <f>IFERROR(__xludf.DUMMYFUNCTION("""COMPUTED_VALUE"""),"Enzyme Function | University Of Surrey")</f>
        <v/>
      </c>
      <c r="D350" s="7">
        <f>IFERROR(__xludf.DUMMYFUNCTION("""COMPUTED_VALUE"""),"No task description")</f>
        <v/>
      </c>
      <c r="E350" s="7">
        <f>IFERROR(__xludf.DUMMYFUNCTION("""COMPUTED_VALUE"""),"youtube.com: A widely known video-sharing platform where users can watch videos on a vast array of topics, including educational content.")</f>
        <v/>
      </c>
      <c r="F350" s="7" t="inlineStr">
        <is>
          <t>Students discuss transcription and translation's link to enzyme activity. No artifacts are embedded in Items 1 and 2, but Item 3 mentions YouTube as an artifact.</t>
        </is>
      </c>
      <c r="G350" s="8" t="inlineStr">
        <is>
          <t>1</t>
        </is>
      </c>
      <c r="H350" s="8" t="inlineStr">
        <is>
          <t>0</t>
        </is>
      </c>
      <c r="I350" s="8" t="inlineStr">
        <is>
          <t>0</t>
        </is>
      </c>
      <c r="J350" s="8" t="inlineStr">
        <is>
          <t>0</t>
        </is>
      </c>
      <c r="K350" s="9" t="inlineStr">
        <is>
          <t>0</t>
        </is>
      </c>
      <c r="L350" s="9" t="inlineStr">
        <is>
          <t>0</t>
        </is>
      </c>
      <c r="M350" s="9" t="inlineStr">
        <is>
          <t>0</t>
        </is>
      </c>
      <c r="N350" s="9" t="inlineStr">
        <is>
          <t>0</t>
        </is>
      </c>
      <c r="O350" s="10" t="inlineStr">
        <is>
          <t>0</t>
        </is>
      </c>
      <c r="P350" s="10" t="inlineStr">
        <is>
          <t>0</t>
        </is>
      </c>
      <c r="Q350" s="10" t="inlineStr">
        <is>
          <t>0</t>
        </is>
      </c>
      <c r="R350" s="10" t="inlineStr">
        <is>
          <t>0</t>
        </is>
      </c>
      <c r="S350" s="10" t="inlineStr">
        <is>
          <t>0</t>
        </is>
      </c>
    </row>
    <row r="351" ht="329" customHeight="1">
      <c r="A351" s="6">
        <f>IFERROR(__xludf.DUMMYFUNCTION("""COMPUTED_VALUE"""),"Transcription &amp; Translation")</f>
        <v/>
      </c>
      <c r="B351" s="6">
        <f>IFERROR(__xludf.DUMMYFUNCTION("""COMPUTED_VALUE"""),"Application")</f>
        <v/>
      </c>
      <c r="C351" s="6">
        <f>IFERROR(__xludf.DUMMYFUNCTION("""COMPUTED_VALUE"""),"Input Box")</f>
        <v/>
      </c>
      <c r="D351" s="7">
        <f>IFERROR(__xludf.DUMMYFUNCTION("""COMPUTED_VALUE"""),"No task description")</f>
        <v/>
      </c>
      <c r="E3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1" s="7" t="inlineStr">
        <is>
          <t>Students discuss transcription and translation's link to enzyme activity using a video. Embedded artifacts include a video and note-taking apps (Golabz and Input Box).</t>
        </is>
      </c>
      <c r="G351" s="8" t="inlineStr">
        <is>
          <t>0</t>
        </is>
      </c>
      <c r="H351" s="8" t="inlineStr">
        <is>
          <t>1</t>
        </is>
      </c>
      <c r="I351" s="8" t="inlineStr">
        <is>
          <t>1</t>
        </is>
      </c>
      <c r="J351" s="8" t="inlineStr">
        <is>
          <t>1</t>
        </is>
      </c>
      <c r="K351" s="9" t="inlineStr">
        <is>
          <t>0</t>
        </is>
      </c>
      <c r="L351" s="9" t="inlineStr">
        <is>
          <t>1</t>
        </is>
      </c>
      <c r="M351" s="9" t="inlineStr">
        <is>
          <t>1</t>
        </is>
      </c>
      <c r="N351" s="9" t="inlineStr">
        <is>
          <t>1</t>
        </is>
      </c>
      <c r="O351" s="10" t="inlineStr">
        <is>
          <t>0</t>
        </is>
      </c>
      <c r="P351" s="10" t="inlineStr">
        <is>
          <t>0</t>
        </is>
      </c>
      <c r="Q351" s="10" t="inlineStr">
        <is>
          <t>0</t>
        </is>
      </c>
      <c r="R351" s="10" t="inlineStr">
        <is>
          <t>0</t>
        </is>
      </c>
      <c r="S351" s="10" t="inlineStr">
        <is>
          <t>1</t>
        </is>
      </c>
    </row>
    <row r="352" ht="73" customHeight="1">
      <c r="A352" s="6">
        <f>IFERROR(__xludf.DUMMYFUNCTION("""COMPUTED_VALUE"""),"Transcription &amp; Translation")</f>
        <v/>
      </c>
      <c r="B352" s="6">
        <f>IFERROR(__xludf.DUMMYFUNCTION("""COMPUTED_VALUE"""),"Application")</f>
        <v/>
      </c>
      <c r="C352" s="6">
        <f>IFERROR(__xludf.DUMMYFUNCTION("""COMPUTED_VALUE"""),"Teacher Feedback")</f>
        <v/>
      </c>
      <c r="D352" s="7">
        <f>IFERROR(__xludf.DUMMYFUNCTION("""COMPUTED_VALUE"""),"No task description")</f>
        <v/>
      </c>
      <c r="E352" s="7">
        <f>IFERROR(__xludf.DUMMYFUNCTION("""COMPUTED_VALUE"""),"Golabz app/lab: ""&lt;p&gt;A tool where teachers can provide feedback to students&lt;/p&gt;\r\n""")</f>
        <v/>
      </c>
      <c r="F352" s="7" t="inlineStr">
        <is>
          <t>No task descriptions are provided. Embedded artifacts include YouTube and two Golabz apps for note-taking and teacher feedback.</t>
        </is>
      </c>
      <c r="G352" s="8" t="inlineStr">
        <is>
          <t>0</t>
        </is>
      </c>
      <c r="H352" s="8" t="inlineStr">
        <is>
          <t>0</t>
        </is>
      </c>
      <c r="I352" s="8" t="inlineStr">
        <is>
          <t>0</t>
        </is>
      </c>
      <c r="J352" s="8" t="inlineStr">
        <is>
          <t>1</t>
        </is>
      </c>
      <c r="K352" s="9" t="inlineStr">
        <is>
          <t>0</t>
        </is>
      </c>
      <c r="L352" s="9" t="inlineStr">
        <is>
          <t>0</t>
        </is>
      </c>
      <c r="M352" s="9" t="inlineStr">
        <is>
          <t>0</t>
        </is>
      </c>
      <c r="N352" s="9" t="inlineStr">
        <is>
          <t>0</t>
        </is>
      </c>
      <c r="O352" s="10" t="inlineStr">
        <is>
          <t>0</t>
        </is>
      </c>
      <c r="P352" s="10" t="inlineStr">
        <is>
          <t>0</t>
        </is>
      </c>
      <c r="Q352" s="10" t="inlineStr">
        <is>
          <t>0</t>
        </is>
      </c>
      <c r="R352" s="10" t="inlineStr">
        <is>
          <t>0</t>
        </is>
      </c>
      <c r="S352" s="10" t="inlineStr">
        <is>
          <t>1</t>
        </is>
      </c>
    </row>
    <row r="353" ht="109" customHeight="1">
      <c r="A353" s="6">
        <f>IFERROR(__xludf.DUMMYFUNCTION("""COMPUTED_VALUE"""),"Transcription &amp; Translation")</f>
        <v/>
      </c>
      <c r="B353" s="6">
        <f>IFERROR(__xludf.DUMMYFUNCTION("""COMPUTED_VALUE"""),"Resource")</f>
        <v/>
      </c>
      <c r="C353" s="6">
        <f>IFERROR(__xludf.DUMMYFUNCTION("""COMPUTED_VALUE"""),"Discussion 2.graasp")</f>
        <v/>
      </c>
      <c r="D353" s="7">
        <f>IFERROR(__xludf.DUMMYFUNCTION("""COMPUTED_VALUE"""),"&lt;p&gt;Discuss the role of transcription and translation in &lt;strong&gt;&lt;em&gt;two&lt;/em&gt;&lt;/strong&gt; other processes within a living organism.&lt;/p&gt;")</f>
        <v/>
      </c>
      <c r="E353" s="7">
        <f>IFERROR(__xludf.DUMMYFUNCTION("""COMPUTED_VALUE"""),"No artifact embedded")</f>
        <v/>
      </c>
      <c r="F353" s="7" t="inlineStr">
        <is>
          <t>Students received no task descriptions for Items 1 and 2, but an app/lab tool was provided. Item 3 described a discussion task with no embedded artifact.</t>
        </is>
      </c>
      <c r="G353" s="8" t="inlineStr">
        <is>
          <t>0</t>
        </is>
      </c>
      <c r="H353" s="8" t="inlineStr">
        <is>
          <t>0</t>
        </is>
      </c>
      <c r="I353" s="8" t="inlineStr">
        <is>
          <t>1</t>
        </is>
      </c>
      <c r="J353" s="8" t="inlineStr">
        <is>
          <t>0</t>
        </is>
      </c>
      <c r="K353" s="9" t="inlineStr">
        <is>
          <t>1</t>
        </is>
      </c>
      <c r="L353" s="9" t="inlineStr">
        <is>
          <t>1</t>
        </is>
      </c>
      <c r="M353" s="9" t="inlineStr">
        <is>
          <t>1</t>
        </is>
      </c>
      <c r="N353" s="9" t="inlineStr">
        <is>
          <t>0</t>
        </is>
      </c>
      <c r="O353" s="10" t="inlineStr">
        <is>
          <t>1</t>
        </is>
      </c>
      <c r="P353" s="10" t="inlineStr">
        <is>
          <t>1</t>
        </is>
      </c>
      <c r="Q353" s="10" t="inlineStr">
        <is>
          <t>0</t>
        </is>
      </c>
      <c r="R353" s="10" t="inlineStr">
        <is>
          <t>0</t>
        </is>
      </c>
      <c r="S353" s="10" t="inlineStr">
        <is>
          <t>1</t>
        </is>
      </c>
    </row>
    <row r="354" ht="329" customHeight="1">
      <c r="A354" s="6">
        <f>IFERROR(__xludf.DUMMYFUNCTION("""COMPUTED_VALUE"""),"Transcription &amp; Translation")</f>
        <v/>
      </c>
      <c r="B354" s="6">
        <f>IFERROR(__xludf.DUMMYFUNCTION("""COMPUTED_VALUE"""),"Application")</f>
        <v/>
      </c>
      <c r="C354" s="6">
        <f>IFERROR(__xludf.DUMMYFUNCTION("""COMPUTED_VALUE"""),"Input Box (1)")</f>
        <v/>
      </c>
      <c r="D354" s="7">
        <f>IFERROR(__xludf.DUMMYFUNCTION("""COMPUTED_VALUE"""),"No task description")</f>
        <v/>
      </c>
      <c r="E35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4" s="7" t="inlineStr">
        <is>
          <t>Students received tasks and used Golabz apps, including a feedback tool and note-taking app with optional collaboration mode.</t>
        </is>
      </c>
      <c r="G354" s="8" t="inlineStr">
        <is>
          <t>0</t>
        </is>
      </c>
      <c r="H354" s="8" t="inlineStr">
        <is>
          <t>1</t>
        </is>
      </c>
      <c r="I354" s="8" t="inlineStr">
        <is>
          <t>1</t>
        </is>
      </c>
      <c r="J354" s="8" t="inlineStr">
        <is>
          <t>1</t>
        </is>
      </c>
      <c r="K354" s="9" t="inlineStr">
        <is>
          <t>0</t>
        </is>
      </c>
      <c r="L354" s="9" t="inlineStr">
        <is>
          <t>1</t>
        </is>
      </c>
      <c r="M354" s="9" t="inlineStr">
        <is>
          <t>1</t>
        </is>
      </c>
      <c r="N354" s="9" t="inlineStr">
        <is>
          <t>1</t>
        </is>
      </c>
      <c r="O354" s="10" t="inlineStr">
        <is>
          <t>0</t>
        </is>
      </c>
      <c r="P354" s="10" t="inlineStr">
        <is>
          <t>0</t>
        </is>
      </c>
      <c r="Q354" s="10" t="inlineStr">
        <is>
          <t>0</t>
        </is>
      </c>
      <c r="R354" s="10" t="inlineStr">
        <is>
          <t>0</t>
        </is>
      </c>
      <c r="S354" s="10" t="inlineStr">
        <is>
          <t>1</t>
        </is>
      </c>
    </row>
    <row r="355" ht="73" customHeight="1">
      <c r="A355" s="6">
        <f>IFERROR(__xludf.DUMMYFUNCTION("""COMPUTED_VALUE"""),"Transcription &amp; Translation")</f>
        <v/>
      </c>
      <c r="B355" s="6">
        <f>IFERROR(__xludf.DUMMYFUNCTION("""COMPUTED_VALUE"""),"Application")</f>
        <v/>
      </c>
      <c r="C355" s="6">
        <f>IFERROR(__xludf.DUMMYFUNCTION("""COMPUTED_VALUE"""),"Teacher Feedback (1)")</f>
        <v/>
      </c>
      <c r="D355" s="7">
        <f>IFERROR(__xludf.DUMMYFUNCTION("""COMPUTED_VALUE"""),"No task description")</f>
        <v/>
      </c>
      <c r="E355" s="7">
        <f>IFERROR(__xludf.DUMMYFUNCTION("""COMPUTED_VALUE"""),"Golabz app/lab: ""&lt;p&gt;A tool where teachers can provide feedback to students&lt;/p&gt;\r\n""")</f>
        <v/>
      </c>
      <c r="F355" s="7" t="inlineStr">
        <is>
          <t>Students discuss transcription/translation roles; artifacts include note-taking and feedback tools.</t>
        </is>
      </c>
      <c r="G355" s="8" t="inlineStr">
        <is>
          <t>1</t>
        </is>
      </c>
      <c r="H355" s="8" t="inlineStr">
        <is>
          <t>0</t>
        </is>
      </c>
      <c r="I355" s="8" t="inlineStr">
        <is>
          <t>0</t>
        </is>
      </c>
      <c r="J355" s="8" t="inlineStr">
        <is>
          <t>1</t>
        </is>
      </c>
      <c r="K355" s="9" t="inlineStr">
        <is>
          <t>0</t>
        </is>
      </c>
      <c r="L355" s="9" t="inlineStr">
        <is>
          <t>0</t>
        </is>
      </c>
      <c r="M355" s="9" t="inlineStr">
        <is>
          <t>0</t>
        </is>
      </c>
      <c r="N355" s="9" t="inlineStr">
        <is>
          <t>0</t>
        </is>
      </c>
      <c r="O355" s="10" t="inlineStr">
        <is>
          <t>0</t>
        </is>
      </c>
      <c r="P355" s="10" t="inlineStr">
        <is>
          <t>0</t>
        </is>
      </c>
      <c r="Q355" s="10" t="inlineStr">
        <is>
          <t>0</t>
        </is>
      </c>
      <c r="R355" s="10" t="inlineStr">
        <is>
          <t>0</t>
        </is>
      </c>
      <c r="S355" s="10" t="inlineStr">
        <is>
          <t>1</t>
        </is>
      </c>
    </row>
    <row r="356" ht="85" customHeight="1">
      <c r="A356" s="6">
        <f>IFERROR(__xludf.DUMMYFUNCTION("""COMPUTED_VALUE"""),"Managing a Haber Process Plant")</f>
        <v/>
      </c>
      <c r="B356" s="6">
        <f>IFERROR(__xludf.DUMMYFUNCTION("""COMPUTED_VALUE"""),"Space")</f>
        <v/>
      </c>
      <c r="C356" s="6">
        <f>IFERROR(__xludf.DUMMYFUNCTION("""COMPUTED_VALUE"""),"Orientation")</f>
        <v/>
      </c>
      <c r="D356" s="7">
        <f>IFERROR(__xludf.DUMMYFUNCTION("""COMPUTED_VALUE"""),"&lt;p&gt;THE HABER PROCESS - the chemical reaction that feeds the world&lt;/p&gt;")</f>
        <v/>
      </c>
      <c r="E356" s="7">
        <f>IFERROR(__xludf.DUMMYFUNCTION("""COMPUTED_VALUE"""),"No artifact embedded")</f>
        <v/>
      </c>
      <c r="F356" s="7" t="inlineStr">
        <is>
          <t>No task descriptions, but Items 1 and 2 have Golabz app/lab artifacts for note-taking and feedback.</t>
        </is>
      </c>
      <c r="G356" s="8" t="inlineStr">
        <is>
          <t>1</t>
        </is>
      </c>
      <c r="H356" s="8" t="inlineStr">
        <is>
          <t>0</t>
        </is>
      </c>
      <c r="I356" s="8" t="inlineStr">
        <is>
          <t>0</t>
        </is>
      </c>
      <c r="J356" s="8" t="inlineStr">
        <is>
          <t>0</t>
        </is>
      </c>
      <c r="K356" s="9" t="inlineStr">
        <is>
          <t>1</t>
        </is>
      </c>
      <c r="L356" s="9" t="inlineStr">
        <is>
          <t>0</t>
        </is>
      </c>
      <c r="M356" s="9" t="inlineStr">
        <is>
          <t>0</t>
        </is>
      </c>
      <c r="N356" s="9" t="inlineStr">
        <is>
          <t>0</t>
        </is>
      </c>
      <c r="O356" s="10" t="inlineStr">
        <is>
          <t>1</t>
        </is>
      </c>
      <c r="P356" s="10" t="inlineStr">
        <is>
          <t>0</t>
        </is>
      </c>
      <c r="Q356" s="10" t="inlineStr">
        <is>
          <t>0</t>
        </is>
      </c>
      <c r="R356" s="10" t="inlineStr">
        <is>
          <t>0</t>
        </is>
      </c>
      <c r="S356" s="10" t="inlineStr">
        <is>
          <t>0</t>
        </is>
      </c>
    </row>
    <row r="357" ht="121" customHeight="1">
      <c r="A357" s="6">
        <f>IFERROR(__xludf.DUMMYFUNCTION("""COMPUTED_VALUE"""),"Managing a Haber Process Plant")</f>
        <v/>
      </c>
      <c r="B357" s="6">
        <f>IFERROR(__xludf.DUMMYFUNCTION("""COMPUTED_VALUE"""),"Resource")</f>
        <v/>
      </c>
      <c r="C357" s="6">
        <f>IFERROR(__xludf.DUMMYFUNCTION("""COMPUTED_VALUE"""),"The chemical reaction that feeds the world - Daniel D. Dulek.mp4")</f>
        <v/>
      </c>
      <c r="D357" s="7">
        <f>IFERROR(__xludf.DUMMYFUNCTION("""COMPUTED_VALUE"""),"No task description")</f>
        <v/>
      </c>
      <c r="E357" s="7">
        <f>IFERROR(__xludf.DUMMYFUNCTION("""COMPUTED_VALUE"""),"video/mp4 – A video file containing moving images and possibly audio, suitable for playback on most modern devices and platforms.")</f>
        <v/>
      </c>
      <c r="F357" s="7" t="inlineStr">
        <is>
          <t>Students received tasks with varying descriptions and embedded artifacts, including a feedback tool, a chemical reaction topic, and a video file.</t>
        </is>
      </c>
      <c r="G357" s="8" t="inlineStr">
        <is>
          <t>1</t>
        </is>
      </c>
      <c r="H357" s="8" t="inlineStr">
        <is>
          <t>0</t>
        </is>
      </c>
      <c r="I357" s="8" t="inlineStr">
        <is>
          <t>0</t>
        </is>
      </c>
      <c r="J357" s="8" t="inlineStr">
        <is>
          <t>0</t>
        </is>
      </c>
      <c r="K357" s="9" t="inlineStr">
        <is>
          <t>0</t>
        </is>
      </c>
      <c r="L357" s="9" t="inlineStr">
        <is>
          <t>0</t>
        </is>
      </c>
      <c r="M357" s="9" t="inlineStr">
        <is>
          <t>0</t>
        </is>
      </c>
      <c r="N357" s="9" t="inlineStr">
        <is>
          <t>0</t>
        </is>
      </c>
      <c r="O357" s="10" t="inlineStr">
        <is>
          <t>0</t>
        </is>
      </c>
      <c r="P357" s="10" t="inlineStr">
        <is>
          <t>0</t>
        </is>
      </c>
      <c r="Q357" s="10" t="inlineStr">
        <is>
          <t>0</t>
        </is>
      </c>
      <c r="R357" s="10" t="inlineStr">
        <is>
          <t>0</t>
        </is>
      </c>
      <c r="S357" s="10" t="inlineStr">
        <is>
          <t>0</t>
        </is>
      </c>
    </row>
    <row r="358" ht="61" customHeight="1">
      <c r="A358" s="6">
        <f>IFERROR(__xludf.DUMMYFUNCTION("""COMPUTED_VALUE"""),"Managing a Haber Process Plant")</f>
        <v/>
      </c>
      <c r="B358" s="6">
        <f>IFERROR(__xludf.DUMMYFUNCTION("""COMPUTED_VALUE"""),"Space")</f>
        <v/>
      </c>
      <c r="C358" s="6">
        <f>IFERROR(__xludf.DUMMYFUNCTION("""COMPUTED_VALUE"""),"Conceptualisation")</f>
        <v/>
      </c>
      <c r="D358" s="7">
        <f>IFERROR(__xludf.DUMMYFUNCTION("""COMPUTED_VALUE"""),"&lt;p&gt;Manage the plant to produce as much ammonia as possible&lt;/p&gt;")</f>
        <v/>
      </c>
      <c r="E358" s="7">
        <f>IFERROR(__xludf.DUMMYFUNCTION("""COMPUTED_VALUE"""),"No artifact embedded")</f>
        <v/>
      </c>
      <c r="F358" s="7" t="inlineStr">
        <is>
          <t>Students were instructed on the Haber process and managing a plant to produce ammonia, with one item including an embedded MP4 video artifact.</t>
        </is>
      </c>
      <c r="G358" s="8" t="inlineStr">
        <is>
          <t>0</t>
        </is>
      </c>
      <c r="H358" s="8" t="inlineStr">
        <is>
          <t>1</t>
        </is>
      </c>
      <c r="I358" s="8" t="inlineStr">
        <is>
          <t>1</t>
        </is>
      </c>
      <c r="J358" s="8" t="inlineStr">
        <is>
          <t>0</t>
        </is>
      </c>
      <c r="K358" s="9" t="inlineStr">
        <is>
          <t>1</t>
        </is>
      </c>
      <c r="L358" s="9" t="inlineStr">
        <is>
          <t>0</t>
        </is>
      </c>
      <c r="M358" s="9" t="inlineStr">
        <is>
          <t>0</t>
        </is>
      </c>
      <c r="N358" s="9" t="inlineStr">
        <is>
          <t>0</t>
        </is>
      </c>
      <c r="O358" s="10" t="inlineStr">
        <is>
          <t>1</t>
        </is>
      </c>
      <c r="P358" s="10" t="inlineStr">
        <is>
          <t>0</t>
        </is>
      </c>
      <c r="Q358" s="10" t="inlineStr">
        <is>
          <t>1</t>
        </is>
      </c>
      <c r="R358" s="10" t="inlineStr">
        <is>
          <t>0</t>
        </is>
      </c>
      <c r="S358" s="10" t="inlineStr">
        <is>
          <t>0</t>
        </is>
      </c>
    </row>
    <row r="359" ht="409.5" customHeight="1">
      <c r="A359" s="6">
        <f>IFERROR(__xludf.DUMMYFUNCTION("""COMPUTED_VALUE"""),"Managing a Haber Process Plant")</f>
        <v/>
      </c>
      <c r="B359" s="6">
        <f>IFERROR(__xludf.DUMMYFUNCTION("""COMPUTED_VALUE"""),"Resource")</f>
        <v/>
      </c>
      <c r="C359" s="6">
        <f>IFERROR(__xludf.DUMMYFUNCTION("""COMPUTED_VALUE"""),"Managing the plant.graasp")</f>
        <v/>
      </c>
      <c r="D359" s="7">
        <f>IFERROR(__xludf.DUMMYFUNCTION("""COMPUTED_VALUE"""),"&lt;p&gt;Use the Haber process to synthesize ammonia (NH3) from nitrogen (N2) and hydrogen (H2), according to the following balanced chemical equation:&lt;/p&gt;&lt;p&gt;&lt;br&gt;&lt;/p&gt;&lt;p&gt;  N2(g) + 3H2(g)  →2NH3(g)&lt;br&gt;&lt;br&gt;&lt;/p&gt;&lt;p&gt;As the manager of the plant, your job is to produce"&amp;" the maximum amount of NH3 for the least amount of money during each 24-hour shift.&lt;/p&gt;&lt;p&gt;&lt;br&gt;You can adjust several independent variables using the Control Panel and analyze the results (including yield, time to equilibrium, and net profit) on the output"&amp;" monitor. You’ll want to vary each independent variable to determine how it affects the results.&lt;/p&gt;")</f>
        <v/>
      </c>
      <c r="E359" s="7">
        <f>IFERROR(__xludf.DUMMYFUNCTION("""COMPUTED_VALUE"""),"No artifact embedded")</f>
        <v/>
      </c>
      <c r="F359" s="7" t="inlineStr">
        <is>
          <t>Students are given tasks to manage a plant producing ammonia with varying levels of guidance and no embedded artifacts.</t>
        </is>
      </c>
      <c r="G359" s="8" t="inlineStr">
        <is>
          <t>0</t>
        </is>
      </c>
      <c r="H359" s="8" t="inlineStr">
        <is>
          <t>1</t>
        </is>
      </c>
      <c r="I359" s="8" t="inlineStr">
        <is>
          <t>1</t>
        </is>
      </c>
      <c r="J359" s="8" t="inlineStr">
        <is>
          <t>1</t>
        </is>
      </c>
      <c r="K359" s="9" t="inlineStr">
        <is>
          <t>1</t>
        </is>
      </c>
      <c r="L359" s="9" t="inlineStr">
        <is>
          <t>1</t>
        </is>
      </c>
      <c r="M359" s="9" t="inlineStr">
        <is>
          <t>0</t>
        </is>
      </c>
      <c r="N359" s="9" t="inlineStr">
        <is>
          <t>0</t>
        </is>
      </c>
      <c r="O359" s="10" t="inlineStr">
        <is>
          <t>1</t>
        </is>
      </c>
      <c r="P359" s="10" t="inlineStr">
        <is>
          <t>1</t>
        </is>
      </c>
      <c r="Q359" s="10" t="inlineStr">
        <is>
          <t>1</t>
        </is>
      </c>
      <c r="R359" s="10" t="inlineStr">
        <is>
          <t>0</t>
        </is>
      </c>
      <c r="S359" s="10" t="inlineStr">
        <is>
          <t>0</t>
        </is>
      </c>
    </row>
    <row r="360" ht="61" customHeight="1">
      <c r="A360" s="6">
        <f>IFERROR(__xludf.DUMMYFUNCTION("""COMPUTED_VALUE"""),"Managing a Haber Process Plant")</f>
        <v/>
      </c>
      <c r="B360" s="6">
        <f>IFERROR(__xludf.DUMMYFUNCTION("""COMPUTED_VALUE"""),"Space")</f>
        <v/>
      </c>
      <c r="C360" s="6">
        <f>IFERROR(__xludf.DUMMYFUNCTION("""COMPUTED_VALUE"""),"Investigation")</f>
        <v/>
      </c>
      <c r="D360" s="7">
        <f>IFERROR(__xludf.DUMMYFUNCTION("""COMPUTED_VALUE"""),"&lt;p&gt;Write your hypothesis re the effect of pressure on the yield of ammonia&lt;/p&gt;")</f>
        <v/>
      </c>
      <c r="E360" s="7">
        <f>IFERROR(__xludf.DUMMYFUNCTION("""COMPUTED_VALUE"""),"No artifact embedded")</f>
        <v/>
      </c>
      <c r="F360" s="7" t="inlineStr">
        <is>
          <t>Students manage a plant to produce ammonia, adjusting variables and analyzing results, then write a hypothesis about pressure's effect on yield.</t>
        </is>
      </c>
      <c r="G360" s="8" t="inlineStr">
        <is>
          <t>0</t>
        </is>
      </c>
      <c r="H360" s="8" t="inlineStr">
        <is>
          <t>0</t>
        </is>
      </c>
      <c r="I360" s="8" t="inlineStr">
        <is>
          <t>1</t>
        </is>
      </c>
      <c r="J360" s="8" t="inlineStr">
        <is>
          <t>0</t>
        </is>
      </c>
      <c r="K360" s="9" t="inlineStr">
        <is>
          <t>1</t>
        </is>
      </c>
      <c r="L360" s="9" t="inlineStr">
        <is>
          <t>1</t>
        </is>
      </c>
      <c r="M360" s="9" t="inlineStr">
        <is>
          <t>0</t>
        </is>
      </c>
      <c r="N360" s="9" t="inlineStr">
        <is>
          <t>0</t>
        </is>
      </c>
      <c r="O360" s="10" t="inlineStr">
        <is>
          <t>1</t>
        </is>
      </c>
      <c r="P360" s="10" t="inlineStr">
        <is>
          <t>1</t>
        </is>
      </c>
      <c r="Q360" s="10" t="inlineStr">
        <is>
          <t>1</t>
        </is>
      </c>
      <c r="R360" s="10" t="inlineStr">
        <is>
          <t>0</t>
        </is>
      </c>
      <c r="S360" s="10" t="inlineStr">
        <is>
          <t>0</t>
        </is>
      </c>
    </row>
    <row r="361" ht="409.5" customHeight="1">
      <c r="A361" s="6">
        <f>IFERROR(__xludf.DUMMYFUNCTION("""COMPUTED_VALUE"""),"Managing a Haber Process Plant")</f>
        <v/>
      </c>
      <c r="B361" s="6">
        <f>IFERROR(__xludf.DUMMYFUNCTION("""COMPUTED_VALUE"""),"Application")</f>
        <v/>
      </c>
      <c r="C361" s="6">
        <f>IFERROR(__xludf.DUMMYFUNCTION("""COMPUTED_VALUE"""),"Hypothesis Scratchpad")</f>
        <v/>
      </c>
      <c r="D361" s="7">
        <f>IFERROR(__xludf.DUMMYFUNCTION("""COMPUTED_VALUE"""),"&lt;p&gt;Write your hypothesis re effect of temperature on the yield of ammonia&lt;/p&gt;")</f>
        <v/>
      </c>
      <c r="E361"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1" s="7" t="inlineStr">
        <is>
          <t>Students are instructed to synthesize ammonia and write hypotheses on pressure and temperature effects. Embedded artifacts include a control panel and output monitor for simulation, and a Hypothesis Scratchpad app for formulating hypotheses.</t>
        </is>
      </c>
      <c r="G361" s="8" t="inlineStr">
        <is>
          <t>0</t>
        </is>
      </c>
      <c r="H361" s="8" t="inlineStr">
        <is>
          <t>1</t>
        </is>
      </c>
      <c r="I361" s="8" t="inlineStr">
        <is>
          <t>1</t>
        </is>
      </c>
      <c r="J361" s="8" t="inlineStr">
        <is>
          <t>1</t>
        </is>
      </c>
      <c r="K361" s="9" t="inlineStr">
        <is>
          <t>1</t>
        </is>
      </c>
      <c r="L361" s="9" t="inlineStr">
        <is>
          <t>1</t>
        </is>
      </c>
      <c r="M361" s="9" t="inlineStr">
        <is>
          <t>0</t>
        </is>
      </c>
      <c r="N361" s="9" t="inlineStr">
        <is>
          <t>1</t>
        </is>
      </c>
      <c r="O361" s="10" t="inlineStr">
        <is>
          <t>1</t>
        </is>
      </c>
      <c r="P361" s="10" t="inlineStr">
        <is>
          <t>1</t>
        </is>
      </c>
      <c r="Q361" s="10" t="inlineStr">
        <is>
          <t>1</t>
        </is>
      </c>
      <c r="R361" s="10" t="inlineStr">
        <is>
          <t>0</t>
        </is>
      </c>
      <c r="S361" s="10" t="inlineStr">
        <is>
          <t>0</t>
        </is>
      </c>
    </row>
    <row r="362" ht="409.5" customHeight="1">
      <c r="A362" s="6">
        <f>IFERROR(__xludf.DUMMYFUNCTION("""COMPUTED_VALUE"""),"Managing a Haber Process Plant")</f>
        <v/>
      </c>
      <c r="B362" s="6">
        <f>IFERROR(__xludf.DUMMYFUNCTION("""COMPUTED_VALUE"""),"Application")</f>
        <v/>
      </c>
      <c r="C362" s="6">
        <f>IFERROR(__xludf.DUMMYFUNCTION("""COMPUTED_VALUE"""),"Hypothesis Scratchpad (1)")</f>
        <v/>
      </c>
      <c r="D362" s="7">
        <f>IFERROR(__xludf.DUMMYFUNCTION("""COMPUTED_VALUE"""),"No task description")</f>
        <v/>
      </c>
      <c r="E36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2" s="7" t="inlineStr">
        <is>
          <t>Students write hypotheses on ammonia yield. Embedded artifact: Hypothesis Scratchpad tool for forming hypotheses.</t>
        </is>
      </c>
      <c r="G362" s="8" t="inlineStr">
        <is>
          <t>0</t>
        </is>
      </c>
      <c r="H362" s="8" t="inlineStr">
        <is>
          <t>1</t>
        </is>
      </c>
      <c r="I362" s="8" t="inlineStr">
        <is>
          <t>1</t>
        </is>
      </c>
      <c r="J362" s="8" t="inlineStr">
        <is>
          <t>1</t>
        </is>
      </c>
      <c r="K362" s="9" t="inlineStr">
        <is>
          <t>1</t>
        </is>
      </c>
      <c r="L362" s="9" t="inlineStr">
        <is>
          <t>0</t>
        </is>
      </c>
      <c r="M362" s="9" t="inlineStr">
        <is>
          <t>1</t>
        </is>
      </c>
      <c r="N362" s="9" t="inlineStr">
        <is>
          <t>1</t>
        </is>
      </c>
      <c r="O362" s="10" t="inlineStr">
        <is>
          <t>0</t>
        </is>
      </c>
      <c r="P362" s="10" t="inlineStr">
        <is>
          <t>1</t>
        </is>
      </c>
      <c r="Q362" s="10" t="inlineStr">
        <is>
          <t>1</t>
        </is>
      </c>
      <c r="R362" s="10" t="inlineStr">
        <is>
          <t>0</t>
        </is>
      </c>
      <c r="S362" s="10" t="inlineStr">
        <is>
          <t>0</t>
        </is>
      </c>
    </row>
    <row r="363" ht="409.5" customHeight="1">
      <c r="A363" s="6">
        <f>IFERROR(__xludf.DUMMYFUNCTION("""COMPUTED_VALUE"""),"Managing a Haber Process Plant")</f>
        <v/>
      </c>
      <c r="B363" s="6">
        <f>IFERROR(__xludf.DUMMYFUNCTION("""COMPUTED_VALUE"""),"Resource")</f>
        <v/>
      </c>
      <c r="C363" s="6">
        <f>IFERROR(__xludf.DUMMYFUNCTION("""COMPUTED_VALUE"""),"Follow the following instructions to investigate the effect of varying pressure on the yield of ammonia and.graasp")</f>
        <v/>
      </c>
      <c r="D363" s="7">
        <f>IFERROR(__xludf.DUMMYFUNCTION("""COMPUTED_VALUE"""),"&lt;p&gt;You can adjust several independent variables using the Control Panel and analyze the results (including yield, time to equilibrium, and net profit) on the output monitor. You’ll want to vary each independent variable to determine how it affects the res"&amp;"ults.&lt;/p&gt;&lt;p&gt;1) Begin by experimenting with the effect of Pressure on the system. Set Temperature to 200˚C, then choose a Pressure. Now, press the Run button. After the 24-hour run, press the See Results button to view your data.&lt;/p&gt;&lt;p&gt;&lt;br&gt;Try 3-5 differen"&amp;"t pressure values, keeping all other variables constant and record the effect on yield of ammonia and the time to equilibrate, then graph your results.&lt;/p&gt;&lt;p&gt;&lt;br&gt;&lt;/p&gt;&lt;p&gt;2) Repeat step 1 at 400˚C and at 600˚C&lt;/p&gt;")</f>
        <v/>
      </c>
      <c r="E363" s="7">
        <f>IFERROR(__xludf.DUMMYFUNCTION("""COMPUTED_VALUE"""),"No artifact embedded")</f>
        <v/>
      </c>
      <c r="F363" s="7" t="inlineStr">
        <is>
          <t>Students write hypotheses and experiment with variables affecting ammonia yield using the Hypothesis Scratchpad app.</t>
        </is>
      </c>
      <c r="G363" s="8" t="inlineStr">
        <is>
          <t>0</t>
        </is>
      </c>
      <c r="H363" s="8" t="inlineStr">
        <is>
          <t>1</t>
        </is>
      </c>
      <c r="I363" s="8" t="inlineStr">
        <is>
          <t>1</t>
        </is>
      </c>
      <c r="J363" s="8" t="inlineStr">
        <is>
          <t>1</t>
        </is>
      </c>
      <c r="K363" s="9" t="inlineStr">
        <is>
          <t>1</t>
        </is>
      </c>
      <c r="L363" s="9" t="inlineStr">
        <is>
          <t>1</t>
        </is>
      </c>
      <c r="M363" s="9" t="inlineStr">
        <is>
          <t>0</t>
        </is>
      </c>
      <c r="N363" s="9" t="inlineStr">
        <is>
          <t>0</t>
        </is>
      </c>
      <c r="O363" s="10" t="inlineStr">
        <is>
          <t>0</t>
        </is>
      </c>
      <c r="P363" s="10" t="inlineStr">
        <is>
          <t>1</t>
        </is>
      </c>
      <c r="Q363" s="10" t="inlineStr">
        <is>
          <t>1</t>
        </is>
      </c>
      <c r="R363" s="10" t="inlineStr">
        <is>
          <t>0</t>
        </is>
      </c>
      <c r="S363" s="10" t="inlineStr">
        <is>
          <t>0</t>
        </is>
      </c>
    </row>
    <row r="364" ht="121" customHeight="1">
      <c r="A364" s="6">
        <f>IFERROR(__xludf.DUMMYFUNCTION("""COMPUTED_VALUE"""),"Managing a Haber Process Plant")</f>
        <v/>
      </c>
      <c r="B364" s="6">
        <f>IFERROR(__xludf.DUMMYFUNCTION("""COMPUTED_VALUE"""),"Resource")</f>
        <v/>
      </c>
      <c r="C364" s="6">
        <f>IFERROR(__xludf.DUMMYFUNCTION("""COMPUTED_VALUE"""),"Haber: Control Panel")</f>
        <v/>
      </c>
      <c r="D364" s="7">
        <f>IFERROR(__xludf.DUMMYFUNCTION("""COMPUTED_VALUE"""),"No task description")</f>
        <v/>
      </c>
      <c r="E364" s="7">
        <f>IFERROR(__xludf.DUMMYFUNCTION("""COMPUTED_VALUE"""),"Artifact from learner.org: Annenberg Learner provides educational resources, such as information on the Haber process in chemistry.")</f>
        <v/>
      </c>
      <c r="F364" s="7" t="inlineStr">
        <is>
          <t>Students receive tasks and use interactive tools, such as the Hypothesis Scratchpad and Control Panel, with embedded artifacts like Golabz app/lab and Annenberg Learner.</t>
        </is>
      </c>
      <c r="G364" s="8" t="inlineStr">
        <is>
          <t>1</t>
        </is>
      </c>
      <c r="H364" s="8" t="inlineStr">
        <is>
          <t>0</t>
        </is>
      </c>
      <c r="I364" s="8" t="inlineStr">
        <is>
          <t>0</t>
        </is>
      </c>
      <c r="J364" s="8" t="inlineStr">
        <is>
          <t>0</t>
        </is>
      </c>
      <c r="K364" s="9" t="inlineStr">
        <is>
          <t>0</t>
        </is>
      </c>
      <c r="L364" s="9" t="inlineStr">
        <is>
          <t>0</t>
        </is>
      </c>
      <c r="M364" s="9" t="inlineStr">
        <is>
          <t>0</t>
        </is>
      </c>
      <c r="N364" s="9" t="inlineStr">
        <is>
          <t>0</t>
        </is>
      </c>
      <c r="O364" s="10" t="inlineStr">
        <is>
          <t>0</t>
        </is>
      </c>
      <c r="P364" s="10" t="inlineStr">
        <is>
          <t>0</t>
        </is>
      </c>
      <c r="Q364" s="10" t="inlineStr">
        <is>
          <t>0</t>
        </is>
      </c>
      <c r="R364" s="10" t="inlineStr">
        <is>
          <t>0</t>
        </is>
      </c>
      <c r="S364" s="10" t="inlineStr">
        <is>
          <t>0</t>
        </is>
      </c>
    </row>
    <row r="365" ht="409.5" customHeight="1">
      <c r="A365" s="6">
        <f>IFERROR(__xludf.DUMMYFUNCTION("""COMPUTED_VALUE"""),"Managing a Haber Process Plant")</f>
        <v/>
      </c>
      <c r="B365" s="6">
        <f>IFERROR(__xludf.DUMMYFUNCTION("""COMPUTED_VALUE"""),"Application")</f>
        <v/>
      </c>
      <c r="C365" s="6">
        <f>IFERROR(__xludf.DUMMYFUNCTION("""COMPUTED_VALUE"""),"Table tool")</f>
        <v/>
      </c>
      <c r="D365" s="7">
        <f>IFERROR(__xludf.DUMMYFUNCTION("""COMPUTED_VALUE"""),"&lt;p&gt;Enter your observations re effect of pressure on the %yield of ammonia and time for system to equilibrate at 200, 400 and 600 deg Celsius in the Table below&lt;/p&gt;")</f>
        <v/>
      </c>
      <c r="E36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365" s="7" t="inlineStr">
        <is>
          <t>Students experiment with pressure's effect on ammonia yield and equilibrium time at different temperatures (200˚C, 400˚C, 600˚C) using a Control Panel. Embedded artifacts include a table tool and educational resources from Annenberg Learner.</t>
        </is>
      </c>
      <c r="G365" s="8" t="inlineStr">
        <is>
          <t>0</t>
        </is>
      </c>
      <c r="H365" s="8" t="inlineStr">
        <is>
          <t>1</t>
        </is>
      </c>
      <c r="I365" s="8" t="inlineStr">
        <is>
          <t>1</t>
        </is>
      </c>
      <c r="J365" s="8" t="inlineStr">
        <is>
          <t>1</t>
        </is>
      </c>
      <c r="K365" s="9" t="inlineStr">
        <is>
          <t>1</t>
        </is>
      </c>
      <c r="L365" s="9" t="inlineStr">
        <is>
          <t>1</t>
        </is>
      </c>
      <c r="M365" s="9" t="inlineStr">
        <is>
          <t>0</t>
        </is>
      </c>
      <c r="N365" s="9" t="inlineStr">
        <is>
          <t>1</t>
        </is>
      </c>
      <c r="O365" s="10" t="inlineStr">
        <is>
          <t>0</t>
        </is>
      </c>
      <c r="P365" s="10" t="inlineStr">
        <is>
          <t>0</t>
        </is>
      </c>
      <c r="Q365" s="10" t="inlineStr">
        <is>
          <t>1</t>
        </is>
      </c>
      <c r="R365" s="10" t="inlineStr">
        <is>
          <t>0</t>
        </is>
      </c>
      <c r="S365" s="10" t="inlineStr">
        <is>
          <t>0</t>
        </is>
      </c>
    </row>
    <row r="366" ht="73" customHeight="1">
      <c r="A366" s="6">
        <f>IFERROR(__xludf.DUMMYFUNCTION("""COMPUTED_VALUE"""),"Managing a Haber Process Plant")</f>
        <v/>
      </c>
      <c r="B366" s="6">
        <f>IFERROR(__xludf.DUMMYFUNCTION("""COMPUTED_VALUE"""),"Space")</f>
        <v/>
      </c>
      <c r="C366" s="6">
        <f>IFERROR(__xludf.DUMMYFUNCTION("""COMPUTED_VALUE"""),"Conclusion")</f>
        <v/>
      </c>
      <c r="D366" s="7">
        <f>IFERROR(__xludf.DUMMYFUNCTION("""COMPUTED_VALUE"""),"&lt;p&gt;Once you have carried out the investigation, you need to analyse your results&lt;/p&gt;")</f>
        <v/>
      </c>
      <c r="E366" s="7">
        <f>IFERROR(__xludf.DUMMYFUNCTION("""COMPUTED_VALUE"""),"No artifact embedded")</f>
        <v/>
      </c>
      <c r="F366" s="7" t="inlineStr">
        <is>
          <t>Students receive task descriptions and access to embedded artifacts, including educational resources and interactive tools like tables and data entry tools.</t>
        </is>
      </c>
      <c r="G366" s="8" t="inlineStr">
        <is>
          <t>0</t>
        </is>
      </c>
      <c r="H366" s="8" t="inlineStr">
        <is>
          <t>0</t>
        </is>
      </c>
      <c r="I366" s="8" t="inlineStr">
        <is>
          <t>0</t>
        </is>
      </c>
      <c r="J366" s="8" t="inlineStr">
        <is>
          <t>0</t>
        </is>
      </c>
      <c r="K366" s="9" t="inlineStr">
        <is>
          <t>1</t>
        </is>
      </c>
      <c r="L366" s="9" t="inlineStr">
        <is>
          <t>0</t>
        </is>
      </c>
      <c r="M366" s="9" t="inlineStr">
        <is>
          <t>0</t>
        </is>
      </c>
      <c r="N366" s="9" t="inlineStr">
        <is>
          <t>0</t>
        </is>
      </c>
      <c r="O366" s="10" t="inlineStr">
        <is>
          <t>0</t>
        </is>
      </c>
      <c r="P366" s="10" t="inlineStr">
        <is>
          <t>0</t>
        </is>
      </c>
      <c r="Q366" s="10" t="inlineStr">
        <is>
          <t>1</t>
        </is>
      </c>
      <c r="R366" s="10" t="inlineStr">
        <is>
          <t>1</t>
        </is>
      </c>
      <c r="S366" s="10" t="inlineStr">
        <is>
          <t>0</t>
        </is>
      </c>
    </row>
    <row r="367" ht="169" customHeight="1">
      <c r="A367" s="6">
        <f>IFERROR(__xludf.DUMMYFUNCTION("""COMPUTED_VALUE"""),"Managing a Haber Process Plant")</f>
        <v/>
      </c>
      <c r="B367" s="6">
        <f>IFERROR(__xludf.DUMMYFUNCTION("""COMPUTED_VALUE"""),"Application")</f>
        <v/>
      </c>
      <c r="C367" s="6">
        <f>IFERROR(__xludf.DUMMYFUNCTION("""COMPUTED_VALUE"""),"File Drop")</f>
        <v/>
      </c>
      <c r="D367" s="7">
        <f>IFERROR(__xludf.DUMMYFUNCTION("""COMPUTED_VALUE"""),"&lt;p&gt;Analyse your results by plotting a graph of % yield against pressure for the different temperatures investigated. You may either plot your graph freehand or use any computer software of your choice&lt;/p&gt;")</f>
        <v/>
      </c>
      <c r="E367" s="7">
        <f>IFERROR(__xludf.DUMMYFUNCTION("""COMPUTED_VALUE"""),"Golabz app/lab: ""&lt;p&gt;This app allows students to upload files, e.g., assignment and reports, to the Inquiry learning Space. The app also allows teachers to download the uploaded files.&lt;/p&gt;\r\n""")</f>
        <v/>
      </c>
      <c r="F367" s="7" t="inlineStr">
        <is>
          <t>Students enter data, analyze results, and plot graphs using Golabz apps, including table and file upload tools.</t>
        </is>
      </c>
      <c r="G367" s="8" t="inlineStr">
        <is>
          <t>0</t>
        </is>
      </c>
      <c r="H367" s="8" t="inlineStr">
        <is>
          <t>1</t>
        </is>
      </c>
      <c r="I367" s="8" t="inlineStr">
        <is>
          <t>1</t>
        </is>
      </c>
      <c r="J367" s="8" t="inlineStr">
        <is>
          <t>0</t>
        </is>
      </c>
      <c r="K367" s="9" t="inlineStr">
        <is>
          <t>1</t>
        </is>
      </c>
      <c r="L367" s="9" t="inlineStr">
        <is>
          <t>1</t>
        </is>
      </c>
      <c r="M367" s="9" t="inlineStr">
        <is>
          <t>0</t>
        </is>
      </c>
      <c r="N367" s="9" t="inlineStr">
        <is>
          <t>0</t>
        </is>
      </c>
      <c r="O367" s="10" t="inlineStr">
        <is>
          <t>0</t>
        </is>
      </c>
      <c r="P367" s="10" t="inlineStr">
        <is>
          <t>0</t>
        </is>
      </c>
      <c r="Q367" s="10" t="inlineStr">
        <is>
          <t>1</t>
        </is>
      </c>
      <c r="R367" s="10" t="inlineStr">
        <is>
          <t>1</t>
        </is>
      </c>
      <c r="S367" s="10" t="inlineStr">
        <is>
          <t>0</t>
        </is>
      </c>
    </row>
    <row r="368" ht="329" customHeight="1">
      <c r="A368" s="6">
        <f>IFERROR(__xludf.DUMMYFUNCTION("""COMPUTED_VALUE"""),"Managing a Haber Process Plant")</f>
        <v/>
      </c>
      <c r="B368" s="6">
        <f>IFERROR(__xludf.DUMMYFUNCTION("""COMPUTED_VALUE"""),"Application")</f>
        <v/>
      </c>
      <c r="C368" s="6">
        <f>IFERROR(__xludf.DUMMYFUNCTION("""COMPUTED_VALUE"""),"Input Box")</f>
        <v/>
      </c>
      <c r="D368" s="7">
        <f>IFERROR(__xludf.DUMMYFUNCTION("""COMPUTED_VALUE"""),"&lt;p&gt;Consult your graph and state which conditions of temperature and pressure give the highest yield of ammonia.&lt;/p&gt;")</f>
        <v/>
      </c>
      <c r="E36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8" s="7" t="inlineStr">
        <is>
          <t>Students analyze results, plot graphs, and identify optimal conditions using tools like Golabz app/lab and Input Box for note-taking and file-sharing.</t>
        </is>
      </c>
      <c r="G368" s="8" t="inlineStr">
        <is>
          <t>0</t>
        </is>
      </c>
      <c r="H368" s="8" t="inlineStr">
        <is>
          <t>0</t>
        </is>
      </c>
      <c r="I368" s="8" t="inlineStr">
        <is>
          <t>1</t>
        </is>
      </c>
      <c r="J368" s="8" t="inlineStr">
        <is>
          <t>1</t>
        </is>
      </c>
      <c r="K368" s="9" t="inlineStr">
        <is>
          <t>1</t>
        </is>
      </c>
      <c r="L368" s="9" t="inlineStr">
        <is>
          <t>1</t>
        </is>
      </c>
      <c r="M368" s="9" t="inlineStr">
        <is>
          <t>0</t>
        </is>
      </c>
      <c r="N368" s="9" t="inlineStr">
        <is>
          <t>1</t>
        </is>
      </c>
      <c r="O368" s="10" t="inlineStr">
        <is>
          <t>0</t>
        </is>
      </c>
      <c r="P368" s="10" t="inlineStr">
        <is>
          <t>0</t>
        </is>
      </c>
      <c r="Q368" s="10" t="inlineStr">
        <is>
          <t>1</t>
        </is>
      </c>
      <c r="R368" s="10" t="inlineStr">
        <is>
          <t>1</t>
        </is>
      </c>
      <c r="S368" s="10" t="inlineStr">
        <is>
          <t>0</t>
        </is>
      </c>
    </row>
    <row r="369" ht="351" customHeight="1">
      <c r="A369" s="6">
        <f>IFERROR(__xludf.DUMMYFUNCTION("""COMPUTED_VALUE"""),"Managing a Haber Process Plant")</f>
        <v/>
      </c>
      <c r="B369" s="6">
        <f>IFERROR(__xludf.DUMMYFUNCTION("""COMPUTED_VALUE"""),"Application")</f>
        <v/>
      </c>
      <c r="C369" s="6">
        <f>IFERROR(__xludf.DUMMYFUNCTION("""COMPUTED_VALUE"""),"Input Box (1)")</f>
        <v/>
      </c>
      <c r="D369" s="7">
        <f>IFERROR(__xludf.DUMMYFUNCTION("""COMPUTED_VALUE"""),"&lt;p&gt;The actual conditions used in the plant are 200 atm pressure and 400 deg Celsius. Do these conditions give the highest yield? Look again at your table of results and refer to your results about the time needed to equilibriate for the conditions used to"&amp;" give the highest yield and the conditions actually used in the plant. Try to explain the reason/s why the industrialist actually resorts to these conditions and not to the ones that give the highest yield&lt;/p&gt;")</f>
        <v/>
      </c>
      <c r="E36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9" s="7" t="inlineStr">
        <is>
          <t>Students analyze results, plot graphs, and identify optimal conditions for ammonia yield using Golabz apps for note-taking and file uploads.</t>
        </is>
      </c>
      <c r="G369" s="8" t="inlineStr">
        <is>
          <t>0</t>
        </is>
      </c>
      <c r="H369" s="8" t="inlineStr">
        <is>
          <t>0</t>
        </is>
      </c>
      <c r="I369" s="8" t="inlineStr">
        <is>
          <t>1</t>
        </is>
      </c>
      <c r="J369" s="8" t="inlineStr">
        <is>
          <t>1</t>
        </is>
      </c>
      <c r="K369" s="9" t="inlineStr">
        <is>
          <t>1</t>
        </is>
      </c>
      <c r="L369" s="9" t="inlineStr">
        <is>
          <t>1</t>
        </is>
      </c>
      <c r="M369" s="9" t="inlineStr">
        <is>
          <t>0</t>
        </is>
      </c>
      <c r="N369" s="9" t="inlineStr">
        <is>
          <t>1</t>
        </is>
      </c>
      <c r="O369" s="10" t="inlineStr">
        <is>
          <t>1</t>
        </is>
      </c>
      <c r="P369" s="10" t="inlineStr">
        <is>
          <t>1</t>
        </is>
      </c>
      <c r="Q369" s="10" t="inlineStr">
        <is>
          <t>1</t>
        </is>
      </c>
      <c r="R369" s="10" t="inlineStr">
        <is>
          <t>1</t>
        </is>
      </c>
      <c r="S369" s="10" t="inlineStr">
        <is>
          <t>1</t>
        </is>
      </c>
    </row>
    <row r="370" ht="73" customHeight="1">
      <c r="A370" s="6">
        <f>IFERROR(__xludf.DUMMYFUNCTION("""COMPUTED_VALUE"""),"Managing a Haber Process Plant")</f>
        <v/>
      </c>
      <c r="B370" s="6">
        <f>IFERROR(__xludf.DUMMYFUNCTION("""COMPUTED_VALUE"""),"Application")</f>
        <v/>
      </c>
      <c r="C370" s="6">
        <f>IFERROR(__xludf.DUMMYFUNCTION("""COMPUTED_VALUE"""),"Teacher Feedback")</f>
        <v/>
      </c>
      <c r="D370" s="7">
        <f>IFERROR(__xludf.DUMMYFUNCTION("""COMPUTED_VALUE"""),"No task description")</f>
        <v/>
      </c>
      <c r="E370" s="7">
        <f>IFERROR(__xludf.DUMMYFUNCTION("""COMPUTED_VALUE"""),"Golabz app/lab: ""&lt;p&gt;A tool where teachers can provide feedback to students&lt;/p&gt;\r\n""")</f>
        <v/>
      </c>
      <c r="F370" s="7" t="inlineStr">
        <is>
          <t>Students analyze temperature and pressure conditions for highest ammonia yield, using an input box app for notes and collaboration.</t>
        </is>
      </c>
      <c r="G370" s="8" t="inlineStr">
        <is>
          <t>0</t>
        </is>
      </c>
      <c r="H370" s="8" t="inlineStr">
        <is>
          <t>0</t>
        </is>
      </c>
      <c r="I370" s="8" t="inlineStr">
        <is>
          <t>0</t>
        </is>
      </c>
      <c r="J370" s="8" t="inlineStr">
        <is>
          <t>1</t>
        </is>
      </c>
      <c r="K370" s="9" t="inlineStr">
        <is>
          <t>0</t>
        </is>
      </c>
      <c r="L370" s="9" t="inlineStr">
        <is>
          <t>0</t>
        </is>
      </c>
      <c r="M370" s="9" t="inlineStr">
        <is>
          <t>0</t>
        </is>
      </c>
      <c r="N370" s="9" t="inlineStr">
        <is>
          <t>0</t>
        </is>
      </c>
      <c r="O370" s="10" t="inlineStr">
        <is>
          <t>0</t>
        </is>
      </c>
      <c r="P370" s="10" t="inlineStr">
        <is>
          <t>0</t>
        </is>
      </c>
      <c r="Q370" s="10" t="inlineStr">
        <is>
          <t>0</t>
        </is>
      </c>
      <c r="R370" s="10" t="inlineStr">
        <is>
          <t>0</t>
        </is>
      </c>
      <c r="S370" s="10" t="inlineStr">
        <is>
          <t>1</t>
        </is>
      </c>
    </row>
    <row r="371" ht="25" customHeight="1">
      <c r="A371" s="6">
        <f>IFERROR(__xludf.DUMMYFUNCTION("""COMPUTED_VALUE"""),"function of human eye")</f>
        <v/>
      </c>
      <c r="B371" s="6">
        <f>IFERROR(__xludf.DUMMYFUNCTION("""COMPUTED_VALUE"""),"Space")</f>
        <v/>
      </c>
      <c r="C371" s="6">
        <f>IFERROR(__xludf.DUMMYFUNCTION("""COMPUTED_VALUE"""),"engage")</f>
        <v/>
      </c>
      <c r="D371" s="7">
        <f>IFERROR(__xludf.DUMMYFUNCTION("""COMPUTED_VALUE"""),"No task description")</f>
        <v/>
      </c>
      <c r="E371" s="7">
        <f>IFERROR(__xludf.DUMMYFUNCTION("""COMPUTED_VALUE"""),"No artifact embedded")</f>
        <v/>
      </c>
      <c r="F371" s="7" t="inlineStr">
        <is>
          <t>Students analyze plant conditions and yields, using an input box app to take notes, with teacher overview.</t>
        </is>
      </c>
      <c r="G371" s="8" t="inlineStr">
        <is>
          <t>1</t>
        </is>
      </c>
      <c r="H371" s="8" t="inlineStr">
        <is>
          <t>0</t>
        </is>
      </c>
      <c r="I371" s="8" t="inlineStr">
        <is>
          <t>0</t>
        </is>
      </c>
      <c r="J371" s="8" t="inlineStr">
        <is>
          <t>0</t>
        </is>
      </c>
      <c r="K371" s="9" t="inlineStr">
        <is>
          <t>0</t>
        </is>
      </c>
      <c r="L371" s="9" t="inlineStr">
        <is>
          <t>0</t>
        </is>
      </c>
      <c r="M371" s="9" t="inlineStr">
        <is>
          <t>0</t>
        </is>
      </c>
      <c r="N371" s="9" t="inlineStr">
        <is>
          <t>0</t>
        </is>
      </c>
      <c r="O371" s="10" t="inlineStr">
        <is>
          <t>0</t>
        </is>
      </c>
      <c r="P371" s="10" t="inlineStr">
        <is>
          <t>0</t>
        </is>
      </c>
      <c r="Q371" s="10" t="inlineStr">
        <is>
          <t>0</t>
        </is>
      </c>
      <c r="R371" s="10" t="inlineStr">
        <is>
          <t>0</t>
        </is>
      </c>
      <c r="S371" s="10" t="inlineStr">
        <is>
          <t>0</t>
        </is>
      </c>
    </row>
    <row r="372" ht="229" customHeight="1">
      <c r="A372" s="6">
        <f>IFERROR(__xludf.DUMMYFUNCTION("""COMPUTED_VALUE"""),"function of human eye")</f>
        <v/>
      </c>
      <c r="B372" s="6">
        <f>IFERROR(__xludf.DUMMYFUNCTION("""COMPUTED_VALUE"""),"Resource")</f>
        <v/>
      </c>
      <c r="C372" s="6">
        <f>IFERROR(__xludf.DUMMYFUNCTION("""COMPUTED_VALUE"""),"human eye.PNG")</f>
        <v/>
      </c>
      <c r="D372" s="7">
        <f>IFERROR(__xludf.DUMMYFUNCTION("""COMPUTED_VALUE"""),"&lt;p&gt;Mammalian eye is one of the sensory organs in the body. It has photo receptors which are responsible for perception of light as a stimulus. it has various parts which are adapted to their functions. A momg the parts are the cornea, humor, lens and reti"&amp;"na.&lt;/p&gt;&lt;p&gt;&lt;br&gt;&lt;/p&gt;")</f>
        <v/>
      </c>
      <c r="E372" s="7">
        <f>IFERROR(__xludf.DUMMYFUNCTION("""COMPUTED_VALUE"""),"image/png – A high-quality image with support for transparency, often used in design and web applications.")</f>
        <v/>
      </c>
      <c r="F372" s="7" t="inlineStr">
        <is>
          <t>Students received no task descriptions for Items 1 and 2. Item 3 described the mammalian eye, with an embedded PNG image artifact.</t>
        </is>
      </c>
      <c r="G372" s="8" t="inlineStr">
        <is>
          <t>1</t>
        </is>
      </c>
      <c r="H372" s="8" t="inlineStr">
        <is>
          <t>0</t>
        </is>
      </c>
      <c r="I372" s="8" t="inlineStr">
        <is>
          <t>0</t>
        </is>
      </c>
      <c r="J372" s="8" t="inlineStr">
        <is>
          <t>0</t>
        </is>
      </c>
      <c r="K372" s="9" t="inlineStr">
        <is>
          <t>0</t>
        </is>
      </c>
      <c r="L372" s="9" t="inlineStr">
        <is>
          <t>0</t>
        </is>
      </c>
      <c r="M372" s="9" t="inlineStr">
        <is>
          <t>0</t>
        </is>
      </c>
      <c r="N372" s="9" t="inlineStr">
        <is>
          <t>0</t>
        </is>
      </c>
      <c r="O372" s="10" t="inlineStr">
        <is>
          <t>0</t>
        </is>
      </c>
      <c r="P372" s="10" t="inlineStr">
        <is>
          <t>0</t>
        </is>
      </c>
      <c r="Q372" s="10" t="inlineStr">
        <is>
          <t>0</t>
        </is>
      </c>
      <c r="R372" s="10" t="inlineStr">
        <is>
          <t>0</t>
        </is>
      </c>
      <c r="S372" s="10" t="inlineStr">
        <is>
          <t>0</t>
        </is>
      </c>
    </row>
    <row r="373" ht="252" customHeight="1">
      <c r="A373" s="6">
        <f>IFERROR(__xludf.DUMMYFUNCTION("""COMPUTED_VALUE"""),"function of human eye")</f>
        <v/>
      </c>
      <c r="B373" s="6">
        <f>IFERROR(__xludf.DUMMYFUNCTION("""COMPUTED_VALUE"""),"Application")</f>
        <v/>
      </c>
      <c r="C373" s="6">
        <f>IFERROR(__xludf.DUMMYFUNCTION("""COMPUTED_VALUE"""),"Quest")</f>
        <v/>
      </c>
      <c r="D373" s="7">
        <f>IFERROR(__xludf.DUMMYFUNCTION("""COMPUTED_VALUE"""),"&lt;p&gt;observe the photo above, pair and compare it with  your neighbor's eye.&lt;br&gt;&lt;/p&gt;&lt;p&gt;&lt;br&gt;&lt;/p&gt;&lt;p&gt;Q. which parts of the eye can you see?&lt;/p&gt;&lt;p&gt;Q. Briefly describe the parts you have named above carry out their function.&lt;/p&gt;&lt;p&gt;Q. what is the differrence betw"&amp;"een the back and the blue parts.&lt;/p&gt;")</f>
        <v/>
      </c>
      <c r="E373"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373" s="7" t="inlineStr">
        <is>
          <t>Students are instructed to describe eye parts and their functions, with embedded artifacts including an image of the eye and a questionnaire app.</t>
        </is>
      </c>
      <c r="G373" s="8" t="inlineStr">
        <is>
          <t>0</t>
        </is>
      </c>
      <c r="H373" s="8" t="inlineStr">
        <is>
          <t>0</t>
        </is>
      </c>
      <c r="I373" s="8" t="inlineStr">
        <is>
          <t>0</t>
        </is>
      </c>
      <c r="J373" s="8" t="inlineStr">
        <is>
          <t>1</t>
        </is>
      </c>
      <c r="K373" s="9" t="inlineStr">
        <is>
          <t>0</t>
        </is>
      </c>
      <c r="L373" s="9" t="inlineStr">
        <is>
          <t>0</t>
        </is>
      </c>
      <c r="M373" s="9" t="inlineStr">
        <is>
          <t>1</t>
        </is>
      </c>
      <c r="N373" s="9" t="inlineStr">
        <is>
          <t>0</t>
        </is>
      </c>
      <c r="O373" s="10" t="inlineStr">
        <is>
          <t>1</t>
        </is>
      </c>
      <c r="P373" s="10" t="inlineStr">
        <is>
          <t>0</t>
        </is>
      </c>
      <c r="Q373" s="10" t="inlineStr">
        <is>
          <t>1</t>
        </is>
      </c>
      <c r="R373" s="10" t="inlineStr">
        <is>
          <t>0</t>
        </is>
      </c>
      <c r="S373" s="10" t="inlineStr">
        <is>
          <t>0</t>
        </is>
      </c>
    </row>
    <row r="374" ht="329" customHeight="1">
      <c r="A374" s="6">
        <f>IFERROR(__xludf.DUMMYFUNCTION("""COMPUTED_VALUE"""),"function of human eye")</f>
        <v/>
      </c>
      <c r="B374" s="6">
        <f>IFERROR(__xludf.DUMMYFUNCTION("""COMPUTED_VALUE"""),"Application")</f>
        <v/>
      </c>
      <c r="C374" s="6">
        <f>IFERROR(__xludf.DUMMYFUNCTION("""COMPUTED_VALUE"""),"Input Box")</f>
        <v/>
      </c>
      <c r="D374" s="7">
        <f>IFERROR(__xludf.DUMMYFUNCTION("""COMPUTED_VALUE"""),"No task description")</f>
        <v/>
      </c>
      <c r="E37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74" s="7" t="inlineStr">
        <is>
          <t>Students observe and compare eye parts, describing their functions and differences. Embedded artifacts include images and interactive apps for note-taking and surveys.</t>
        </is>
      </c>
      <c r="G374" s="8" t="inlineStr">
        <is>
          <t>0</t>
        </is>
      </c>
      <c r="H374" s="8" t="inlineStr">
        <is>
          <t>1</t>
        </is>
      </c>
      <c r="I374" s="8" t="inlineStr">
        <is>
          <t>1</t>
        </is>
      </c>
      <c r="J374" s="8" t="inlineStr">
        <is>
          <t>1</t>
        </is>
      </c>
      <c r="K374" s="9" t="inlineStr">
        <is>
          <t>1</t>
        </is>
      </c>
      <c r="L374" s="9" t="inlineStr">
        <is>
          <t>1</t>
        </is>
      </c>
      <c r="M374" s="9" t="inlineStr">
        <is>
          <t>1</t>
        </is>
      </c>
      <c r="N374" s="9" t="inlineStr">
        <is>
          <t>1</t>
        </is>
      </c>
      <c r="O374" s="10" t="inlineStr">
        <is>
          <t>0</t>
        </is>
      </c>
      <c r="P374" s="10" t="inlineStr">
        <is>
          <t>0</t>
        </is>
      </c>
      <c r="Q374" s="10" t="inlineStr">
        <is>
          <t>0</t>
        </is>
      </c>
      <c r="R374" s="10" t="inlineStr">
        <is>
          <t>0</t>
        </is>
      </c>
      <c r="S374" s="10" t="inlineStr">
        <is>
          <t>1</t>
        </is>
      </c>
    </row>
    <row r="375" ht="285" customHeight="1">
      <c r="A375" s="6">
        <f>IFERROR(__xludf.DUMMYFUNCTION("""COMPUTED_VALUE"""),"function of human eye")</f>
        <v/>
      </c>
      <c r="B375" s="6">
        <f>IFERROR(__xludf.DUMMYFUNCTION("""COMPUTED_VALUE"""),"Space")</f>
        <v/>
      </c>
      <c r="C375" s="6">
        <f>IFERROR(__xludf.DUMMYFUNCTION("""COMPUTED_VALUE"""),"explore")</f>
        <v/>
      </c>
      <c r="D375" s="7">
        <f>IFERROR(__xludf.DUMMYFUNCTION("""COMPUTED_VALUE"""),"&lt;p&gt;Mammalian eye has many parts which enable perception of sight.&lt;/p&gt;&lt;p&gt;The lab below will help you observe how the light rays are reflected from an object and the role of the following parts:cornea,lens and the cells of the retina. It also demonstrate ho"&amp;"w the iris control the amount of light getting to the retina.&lt;/p&gt;&lt;p&gt;&lt;br&gt;&lt;/p&gt;&lt;p&gt;&lt;br&gt;&lt;/p&gt;&lt;p&gt;&lt;br&gt;&lt;/p&gt;")</f>
        <v/>
      </c>
      <c r="E375" s="7">
        <f>IFERROR(__xludf.DUMMYFUNCTION("""COMPUTED_VALUE"""),"No artifact embedded")</f>
        <v/>
      </c>
      <c r="F375" s="7" t="inlineStr">
        <is>
          <t>Students observe and compare eye photos, identifying and describing parts and their functions, using Golabz app/lab for questionnaires and note-taking.</t>
        </is>
      </c>
      <c r="G375" s="8" t="inlineStr">
        <is>
          <t>0</t>
        </is>
      </c>
      <c r="H375" s="8" t="inlineStr">
        <is>
          <t>0</t>
        </is>
      </c>
      <c r="I375" s="8" t="inlineStr">
        <is>
          <t>0</t>
        </is>
      </c>
      <c r="J375" s="8" t="inlineStr">
        <is>
          <t>0</t>
        </is>
      </c>
      <c r="K375" s="9" t="inlineStr">
        <is>
          <t>1</t>
        </is>
      </c>
      <c r="L375" s="9" t="inlineStr">
        <is>
          <t>0</t>
        </is>
      </c>
      <c r="M375" s="9" t="inlineStr">
        <is>
          <t>0</t>
        </is>
      </c>
      <c r="N375" s="9" t="inlineStr">
        <is>
          <t>0</t>
        </is>
      </c>
      <c r="O375" s="10" t="inlineStr">
        <is>
          <t>1</t>
        </is>
      </c>
      <c r="P375" s="10" t="inlineStr">
        <is>
          <t>0</t>
        </is>
      </c>
      <c r="Q375" s="10" t="inlineStr">
        <is>
          <t>1</t>
        </is>
      </c>
      <c r="R375" s="10" t="inlineStr">
        <is>
          <t>0</t>
        </is>
      </c>
      <c r="S375" s="10" t="inlineStr">
        <is>
          <t>0</t>
        </is>
      </c>
    </row>
    <row r="376" ht="409.5" customHeight="1">
      <c r="A376" s="6">
        <f>IFERROR(__xludf.DUMMYFUNCTION("""COMPUTED_VALUE"""),"function of human eye")</f>
        <v/>
      </c>
      <c r="B376" s="6">
        <f>IFERROR(__xludf.DUMMYFUNCTION("""COMPUTED_VALUE"""),"Resource")</f>
        <v/>
      </c>
      <c r="C376" s="6">
        <f>IFERROR(__xludf.DUMMYFUNCTION("""COMPUTED_VALUE"""),"lab instructions.graasp")</f>
        <v/>
      </c>
      <c r="D376" s="7">
        <f>IFERROR(__xludf.DUMMYFUNCTION("""COMPUTED_VALUE"""),"&lt;p&gt;You have been provided with  an animation of a mammalian eye. &lt;/p&gt;&lt;p&gt;Play and study how the mammalian eye functions by accommodation of far and near objects and light intensity. &lt;/p&gt;&lt;p&gt;For each case record your observation using observation tool provid"&amp;"ed. &lt;/p&gt;&lt;p&gt;1. investigate what happens to the curvature of the eye lens when observing far and near objects and in each case see the rays. Record your observation&lt;/p&gt;&lt;p&gt;2. play the animations and pause on the cornea. record your observation.&lt;/p&gt;&lt;p&gt;3.inves"&amp;"tigate what happens to the pupil in dim and bright light. Record your observation.&lt;br&gt;&lt;/p&gt;")</f>
        <v/>
      </c>
      <c r="E376" s="7">
        <f>IFERROR(__xludf.DUMMYFUNCTION("""COMPUTED_VALUE"""),"No artifact embedded")</f>
        <v/>
      </c>
      <c r="F376" s="7" t="inlineStr">
        <is>
          <t>Students received task descriptions with some having embedded artifacts, such as Golabz app/lab for note-taking.</t>
        </is>
      </c>
      <c r="G376" s="8" t="inlineStr">
        <is>
          <t>0</t>
        </is>
      </c>
      <c r="H376" s="8" t="inlineStr">
        <is>
          <t>1</t>
        </is>
      </c>
      <c r="I376" s="8" t="inlineStr">
        <is>
          <t>1</t>
        </is>
      </c>
      <c r="J376" s="8" t="inlineStr">
        <is>
          <t>1</t>
        </is>
      </c>
      <c r="K376" s="9" t="inlineStr">
        <is>
          <t>1</t>
        </is>
      </c>
      <c r="L376" s="9" t="inlineStr">
        <is>
          <t>1</t>
        </is>
      </c>
      <c r="M376" s="9" t="inlineStr">
        <is>
          <t>0</t>
        </is>
      </c>
      <c r="N376" s="9" t="inlineStr">
        <is>
          <t>0</t>
        </is>
      </c>
      <c r="O376" s="10" t="inlineStr">
        <is>
          <t>1</t>
        </is>
      </c>
      <c r="P376" s="10" t="inlineStr">
        <is>
          <t>0</t>
        </is>
      </c>
      <c r="Q376" s="10" t="inlineStr">
        <is>
          <t>1</t>
        </is>
      </c>
      <c r="R376" s="10" t="inlineStr">
        <is>
          <t>0</t>
        </is>
      </c>
      <c r="S376" s="10" t="inlineStr">
        <is>
          <t>0</t>
        </is>
      </c>
    </row>
    <row r="377" ht="133" customHeight="1">
      <c r="A377" s="6">
        <f>IFERROR(__xludf.DUMMYFUNCTION("""COMPUTED_VALUE"""),"function of human eye")</f>
        <v/>
      </c>
      <c r="B377" s="6">
        <f>IFERROR(__xludf.DUMMYFUNCTION("""COMPUTED_VALUE"""),"Resource")</f>
        <v/>
      </c>
      <c r="C377" s="6">
        <f>IFERROR(__xludf.DUMMYFUNCTION("""COMPUTED_VALUE"""),"KScience - Animations")</f>
        <v/>
      </c>
      <c r="D377" s="7">
        <f>IFERROR(__xludf.DUMMYFUNCTION("""COMPUTED_VALUE"""),"No task description")</f>
        <v/>
      </c>
      <c r="E377" s="7">
        <f>IFERROR(__xludf.DUMMYFUNCTION("""COMPUTED_VALUE"""),"Artifact from kscience.co.uk: A UK-based educational site offering animations and interactive content related to science topics, such as eye function.")</f>
        <v/>
      </c>
      <c r="F377" s="7" t="inlineStr">
        <is>
          <t>Students observe mammalian eye parts and functions through labs and animations, recording observations on lens curvature, cornea, and pupil responses to light. Embedded artifacts include an animation and a link to kscience.co.uk.</t>
        </is>
      </c>
      <c r="G377" s="8" t="inlineStr">
        <is>
          <t>1</t>
        </is>
      </c>
      <c r="H377" s="8" t="inlineStr">
        <is>
          <t>0</t>
        </is>
      </c>
      <c r="I377" s="8" t="inlineStr">
        <is>
          <t>0</t>
        </is>
      </c>
      <c r="J377" s="8" t="inlineStr">
        <is>
          <t>1</t>
        </is>
      </c>
      <c r="K377" s="9" t="inlineStr">
        <is>
          <t>0</t>
        </is>
      </c>
      <c r="L377" s="9" t="inlineStr">
        <is>
          <t>0</t>
        </is>
      </c>
      <c r="M377" s="9" t="inlineStr">
        <is>
          <t>0</t>
        </is>
      </c>
      <c r="N377" s="9" t="inlineStr">
        <is>
          <t>0</t>
        </is>
      </c>
      <c r="O377" s="10" t="inlineStr">
        <is>
          <t>0</t>
        </is>
      </c>
      <c r="P377" s="10" t="inlineStr">
        <is>
          <t>0</t>
        </is>
      </c>
      <c r="Q377" s="10" t="inlineStr">
        <is>
          <t>0</t>
        </is>
      </c>
      <c r="R377" s="10" t="inlineStr">
        <is>
          <t>0</t>
        </is>
      </c>
      <c r="S377" s="10" t="inlineStr">
        <is>
          <t>0</t>
        </is>
      </c>
    </row>
    <row r="378" ht="395" customHeight="1">
      <c r="A378" s="6">
        <f>IFERROR(__xludf.DUMMYFUNCTION("""COMPUTED_VALUE"""),"function of human eye")</f>
        <v/>
      </c>
      <c r="B378" s="6">
        <f>IFERROR(__xludf.DUMMYFUNCTION("""COMPUTED_VALUE"""),"Application")</f>
        <v/>
      </c>
      <c r="C378" s="6">
        <f>IFERROR(__xludf.DUMMYFUNCTION("""COMPUTED_VALUE"""),"Observation Tool")</f>
        <v/>
      </c>
      <c r="D378" s="7">
        <f>IFERROR(__xludf.DUMMYFUNCTION("""COMPUTED_VALUE"""),"&lt;p&gt;Record your observation &lt;/p&gt;")</f>
        <v/>
      </c>
      <c r="E37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78" s="7" t="inlineStr">
        <is>
          <t>Students study an animation of a mammalian eye, recording observations on lens curvature, cornea, and pupil response to light using a provided observation tool. Embedded artifacts include an educational animation and a lab app for recording observations.</t>
        </is>
      </c>
      <c r="G378" s="8" t="inlineStr">
        <is>
          <t>0</t>
        </is>
      </c>
      <c r="H378" s="8" t="inlineStr">
        <is>
          <t>1</t>
        </is>
      </c>
      <c r="I378" s="8" t="inlineStr">
        <is>
          <t>1</t>
        </is>
      </c>
      <c r="J378" s="8" t="inlineStr">
        <is>
          <t>1</t>
        </is>
      </c>
      <c r="K378" s="9" t="inlineStr">
        <is>
          <t>1</t>
        </is>
      </c>
      <c r="L378" s="9" t="inlineStr">
        <is>
          <t>1</t>
        </is>
      </c>
      <c r="M378" s="9" t="inlineStr">
        <is>
          <t>0</t>
        </is>
      </c>
      <c r="N378" s="9" t="inlineStr">
        <is>
          <t>1</t>
        </is>
      </c>
      <c r="O378" s="10" t="inlineStr">
        <is>
          <t>0</t>
        </is>
      </c>
      <c r="P378" s="10" t="inlineStr">
        <is>
          <t>0</t>
        </is>
      </c>
      <c r="Q378" s="10" t="inlineStr">
        <is>
          <t>1</t>
        </is>
      </c>
      <c r="R378" s="10" t="inlineStr">
        <is>
          <t>1</t>
        </is>
      </c>
      <c r="S378" s="10" t="inlineStr">
        <is>
          <t>0</t>
        </is>
      </c>
    </row>
    <row r="379" ht="25" customHeight="1">
      <c r="A379" s="6">
        <f>IFERROR(__xludf.DUMMYFUNCTION("""COMPUTED_VALUE"""),"function of human eye")</f>
        <v/>
      </c>
      <c r="B379" s="6">
        <f>IFERROR(__xludf.DUMMYFUNCTION("""COMPUTED_VALUE"""),"Space")</f>
        <v/>
      </c>
      <c r="C379" s="6">
        <f>IFERROR(__xludf.DUMMYFUNCTION("""COMPUTED_VALUE"""),"explain")</f>
        <v/>
      </c>
      <c r="D379" s="7">
        <f>IFERROR(__xludf.DUMMYFUNCTION("""COMPUTED_VALUE"""),"No task description")</f>
        <v/>
      </c>
      <c r="E379" s="7">
        <f>IFERROR(__xludf.DUMMYFUNCTION("""COMPUTED_VALUE"""),"No artifact embedded")</f>
        <v/>
      </c>
      <c r="F379" s="7" t="inlineStr">
        <is>
          <t>Students were given tasks with some having no descriptions. Embedded artifacts included a science animation and an observation tool from Golabz app/lab.</t>
        </is>
      </c>
      <c r="G379" s="8" t="inlineStr">
        <is>
          <t>1</t>
        </is>
      </c>
      <c r="H379" s="8" t="inlineStr">
        <is>
          <t>0</t>
        </is>
      </c>
      <c r="I379" s="8" t="inlineStr">
        <is>
          <t>0</t>
        </is>
      </c>
      <c r="J379" s="8" t="inlineStr">
        <is>
          <t>0</t>
        </is>
      </c>
      <c r="K379" s="9" t="inlineStr">
        <is>
          <t>0</t>
        </is>
      </c>
      <c r="L379" s="9" t="inlineStr">
        <is>
          <t>0</t>
        </is>
      </c>
      <c r="M379" s="9" t="inlineStr">
        <is>
          <t>0</t>
        </is>
      </c>
      <c r="N379" s="9" t="inlineStr">
        <is>
          <t>0</t>
        </is>
      </c>
      <c r="O379" s="10" t="inlineStr">
        <is>
          <t>0</t>
        </is>
      </c>
      <c r="P379" s="10" t="inlineStr">
        <is>
          <t>0</t>
        </is>
      </c>
      <c r="Q379" s="10" t="inlineStr">
        <is>
          <t>0</t>
        </is>
      </c>
      <c r="R379" s="10" t="inlineStr">
        <is>
          <t>0</t>
        </is>
      </c>
      <c r="S379" s="10" t="inlineStr">
        <is>
          <t>0</t>
        </is>
      </c>
    </row>
    <row r="380" ht="229" customHeight="1">
      <c r="A380" s="6">
        <f>IFERROR(__xludf.DUMMYFUNCTION("""COMPUTED_VALUE"""),"function of human eye")</f>
        <v/>
      </c>
      <c r="B380" s="6">
        <f>IFERROR(__xludf.DUMMYFUNCTION("""COMPUTED_VALUE"""),"Resource")</f>
        <v/>
      </c>
      <c r="C380" s="6">
        <f>IFERROR(__xludf.DUMMYFUNCTION("""COMPUTED_VALUE"""),"function of human eye.graasp")</f>
        <v/>
      </c>
      <c r="D380" s="7">
        <f>IFERROR(__xludf.DUMMYFUNCTION("""COMPUTED_VALUE"""),"&lt;p&gt;Q. Explain your observation on what happens to the light ray as they pass the cornea.&lt;/p&gt;&lt;p&gt;Q. Explain what you have observed on the accommodation of far and near objects.&lt;/p&gt;&lt;p&gt;Q. Explain your observation on what happens to the pupil in dim and bright"&amp;" light.&lt;br&gt;&lt;/p&gt;&lt;p&gt;&lt;br&gt;&lt;/p&gt;")</f>
        <v/>
      </c>
      <c r="E380" s="7">
        <f>IFERROR(__xludf.DUMMYFUNCTION("""COMPUTED_VALUE"""),"No artifact embedded")</f>
        <v/>
      </c>
      <c r="F380" s="7" t="inlineStr">
        <is>
          <t>Students record observations using Golabz app, analyzing experiments. Item 3 requires written explanations of observations on light rays and pupil reactions.</t>
        </is>
      </c>
      <c r="G380" s="8" t="inlineStr">
        <is>
          <t>0</t>
        </is>
      </c>
      <c r="H380" s="8" t="inlineStr">
        <is>
          <t>0</t>
        </is>
      </c>
      <c r="I380" s="8" t="inlineStr">
        <is>
          <t>1</t>
        </is>
      </c>
      <c r="J380" s="8" t="inlineStr">
        <is>
          <t>0</t>
        </is>
      </c>
      <c r="K380" s="9" t="inlineStr">
        <is>
          <t>1</t>
        </is>
      </c>
      <c r="L380" s="9" t="inlineStr">
        <is>
          <t>1</t>
        </is>
      </c>
      <c r="M380" s="9" t="inlineStr">
        <is>
          <t>0</t>
        </is>
      </c>
      <c r="N380" s="9" t="inlineStr">
        <is>
          <t>0</t>
        </is>
      </c>
      <c r="O380" s="10" t="inlineStr">
        <is>
          <t>1</t>
        </is>
      </c>
      <c r="P380" s="10" t="inlineStr">
        <is>
          <t>1</t>
        </is>
      </c>
      <c r="Q380" s="10" t="inlineStr">
        <is>
          <t>1</t>
        </is>
      </c>
      <c r="R380" s="10" t="inlineStr">
        <is>
          <t>1</t>
        </is>
      </c>
      <c r="S380" s="10" t="inlineStr">
        <is>
          <t>1</t>
        </is>
      </c>
    </row>
    <row r="381" ht="329" customHeight="1">
      <c r="A381" s="6">
        <f>IFERROR(__xludf.DUMMYFUNCTION("""COMPUTED_VALUE"""),"function of human eye")</f>
        <v/>
      </c>
      <c r="B381" s="6">
        <f>IFERROR(__xludf.DUMMYFUNCTION("""COMPUTED_VALUE"""),"Application")</f>
        <v/>
      </c>
      <c r="C381" s="6">
        <f>IFERROR(__xludf.DUMMYFUNCTION("""COMPUTED_VALUE"""),"Input Box")</f>
        <v/>
      </c>
      <c r="D381" s="7">
        <f>IFERROR(__xludf.DUMMYFUNCTION("""COMPUTED_VALUE"""),"No task description")</f>
        <v/>
      </c>
      <c r="E3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81" s="7" t="inlineStr">
        <is>
          <t>Students were given tasks with no descriptions for Items 1 and 3. Item 2 had questions about light refraction and pupil response. An embedded Golabz app allowed note-taking and collaboration in Item 3.</t>
        </is>
      </c>
      <c r="G381" s="8" t="inlineStr">
        <is>
          <t>0</t>
        </is>
      </c>
      <c r="H381" s="8" t="inlineStr">
        <is>
          <t>1</t>
        </is>
      </c>
      <c r="I381" s="8" t="inlineStr">
        <is>
          <t>1</t>
        </is>
      </c>
      <c r="J381" s="8" t="inlineStr">
        <is>
          <t>1</t>
        </is>
      </c>
      <c r="K381" s="9" t="inlineStr">
        <is>
          <t>0</t>
        </is>
      </c>
      <c r="L381" s="9" t="inlineStr">
        <is>
          <t>1</t>
        </is>
      </c>
      <c r="M381" s="9" t="inlineStr">
        <is>
          <t>1</t>
        </is>
      </c>
      <c r="N381" s="9" t="inlineStr">
        <is>
          <t>1</t>
        </is>
      </c>
      <c r="O381" s="10" t="inlineStr">
        <is>
          <t>0</t>
        </is>
      </c>
      <c r="P381" s="10" t="inlineStr">
        <is>
          <t>0</t>
        </is>
      </c>
      <c r="Q381" s="10" t="inlineStr">
        <is>
          <t>0</t>
        </is>
      </c>
      <c r="R381" s="10" t="inlineStr">
        <is>
          <t>0</t>
        </is>
      </c>
      <c r="S381" s="10" t="inlineStr">
        <is>
          <t>1</t>
        </is>
      </c>
    </row>
    <row r="382" ht="25" customHeight="1">
      <c r="A382" s="6">
        <f>IFERROR(__xludf.DUMMYFUNCTION("""COMPUTED_VALUE"""),"function of human eye")</f>
        <v/>
      </c>
      <c r="B382" s="6">
        <f>IFERROR(__xludf.DUMMYFUNCTION("""COMPUTED_VALUE"""),"Space")</f>
        <v/>
      </c>
      <c r="C382" s="6">
        <f>IFERROR(__xludf.DUMMYFUNCTION("""COMPUTED_VALUE"""),"elaborate")</f>
        <v/>
      </c>
      <c r="D382" s="7">
        <f>IFERROR(__xludf.DUMMYFUNCTION("""COMPUTED_VALUE"""),"No task description")</f>
        <v/>
      </c>
      <c r="E382" s="7">
        <f>IFERROR(__xludf.DUMMYFUNCTION("""COMPUTED_VALUE"""),"No artifact embedded")</f>
        <v/>
      </c>
      <c r="F382" s="7" t="inlineStr">
        <is>
          <t>Students observe and explain light ray behavior through the cornea, accommodation of objects, and pupil response to light. Embedded artifacts include a note-taking app for collaboration and feedback.</t>
        </is>
      </c>
      <c r="G382" s="8" t="inlineStr">
        <is>
          <t>1</t>
        </is>
      </c>
      <c r="H382" s="8" t="inlineStr">
        <is>
          <t>0</t>
        </is>
      </c>
      <c r="I382" s="8" t="inlineStr">
        <is>
          <t>0</t>
        </is>
      </c>
      <c r="J382" s="8" t="inlineStr">
        <is>
          <t>0</t>
        </is>
      </c>
      <c r="K382" s="9" t="inlineStr">
        <is>
          <t>0</t>
        </is>
      </c>
      <c r="L382" s="9" t="inlineStr">
        <is>
          <t>0</t>
        </is>
      </c>
      <c r="M382" s="9" t="inlineStr">
        <is>
          <t>0</t>
        </is>
      </c>
      <c r="N382" s="9" t="inlineStr">
        <is>
          <t>0</t>
        </is>
      </c>
      <c r="O382" s="10" t="inlineStr">
        <is>
          <t>0</t>
        </is>
      </c>
      <c r="P382" s="10" t="inlineStr">
        <is>
          <t>0</t>
        </is>
      </c>
      <c r="Q382" s="10" t="inlineStr">
        <is>
          <t>0</t>
        </is>
      </c>
      <c r="R382" s="10" t="inlineStr">
        <is>
          <t>0</t>
        </is>
      </c>
      <c r="S382" s="10" t="inlineStr">
        <is>
          <t>0</t>
        </is>
      </c>
    </row>
    <row r="383" ht="229" customHeight="1">
      <c r="A383" s="6">
        <f>IFERROR(__xludf.DUMMYFUNCTION("""COMPUTED_VALUE"""),"function of human eye")</f>
        <v/>
      </c>
      <c r="B383" s="6">
        <f>IFERROR(__xludf.DUMMYFUNCTION("""COMPUTED_VALUE"""),"Resource")</f>
        <v/>
      </c>
      <c r="C383" s="6">
        <f>IFERROR(__xludf.DUMMYFUNCTION("""COMPUTED_VALUE"""),"How human eye functions.graasp")</f>
        <v/>
      </c>
      <c r="D383" s="7">
        <f>IFERROR(__xludf.DUMMYFUNCTION("""COMPUTED_VALUE"""),"&lt;p&gt;The human eye is the organ of sight.&lt;br&gt;The eye organ detects light, and converts it to electrochemical impulses in neurons.&lt;br&gt;Rod and cone cells in the retina allow us see light, figure out &lt;br&gt;perception of depth (how near and far objects are) and t"&amp;"o differentiate &lt;br&gt;color.&lt;/p&gt;")</f>
        <v/>
      </c>
      <c r="E383" s="7">
        <f>IFERROR(__xludf.DUMMYFUNCTION("""COMPUTED_VALUE"""),"No artifact embedded")</f>
        <v/>
      </c>
      <c r="F383" s="7" t="inlineStr">
        <is>
          <t>No task descriptions; artifacts include Golabz app/lab for note-taking and collaboration.</t>
        </is>
      </c>
      <c r="G383" s="8" t="inlineStr">
        <is>
          <t>1</t>
        </is>
      </c>
      <c r="H383" s="8" t="inlineStr">
        <is>
          <t>0</t>
        </is>
      </c>
      <c r="I383" s="8" t="inlineStr">
        <is>
          <t>0</t>
        </is>
      </c>
      <c r="J383" s="8" t="inlineStr">
        <is>
          <t>0</t>
        </is>
      </c>
      <c r="K383" s="9" t="inlineStr">
        <is>
          <t>0</t>
        </is>
      </c>
      <c r="L383" s="9" t="inlineStr">
        <is>
          <t>0</t>
        </is>
      </c>
      <c r="M383" s="9" t="inlineStr">
        <is>
          <t>0</t>
        </is>
      </c>
      <c r="N383" s="9" t="inlineStr">
        <is>
          <t>0</t>
        </is>
      </c>
      <c r="O383" s="10" t="inlineStr">
        <is>
          <t>0</t>
        </is>
      </c>
      <c r="P383" s="10" t="inlineStr">
        <is>
          <t>0</t>
        </is>
      </c>
      <c r="Q383" s="10" t="inlineStr">
        <is>
          <t>0</t>
        </is>
      </c>
      <c r="R383" s="10" t="inlineStr">
        <is>
          <t>0</t>
        </is>
      </c>
      <c r="S383" s="10" t="inlineStr">
        <is>
          <t>0</t>
        </is>
      </c>
    </row>
    <row r="384" ht="121" customHeight="1">
      <c r="A384" s="6">
        <f>IFERROR(__xludf.DUMMYFUNCTION("""COMPUTED_VALUE"""),"function of human eye")</f>
        <v/>
      </c>
      <c r="B384" s="6">
        <f>IFERROR(__xludf.DUMMYFUNCTION("""COMPUTED_VALUE"""),"Resource")</f>
        <v/>
      </c>
      <c r="C384" s="6">
        <f>IFERROR(__xludf.DUMMYFUNCTION("""COMPUTED_VALUE"""),"human  eye structure.PNG")</f>
        <v/>
      </c>
      <c r="D384" s="7">
        <f>IFERROR(__xludf.DUMMYFUNCTION("""COMPUTED_VALUE"""),"Vmeous Humor Aqueous Humor Clliary Muscxe Eprtnelrum Cornea 'Pun Iris EYElashes Kenna Fovea Lens Optic Nerve Eyelid Orbital Muscles")</f>
        <v/>
      </c>
      <c r="E384" s="7">
        <f>IFERROR(__xludf.DUMMYFUNCTION("""COMPUTED_VALUE"""),"image/png – A high-quality image with support for transparency, often used in design and web applications.")</f>
        <v/>
      </c>
      <c r="F384" s="7" t="inlineStr">
        <is>
          <t>Students received task descriptions about the human eye. Embedded artifacts included no items, then an image in Item 3.</t>
        </is>
      </c>
      <c r="G384" s="8" t="inlineStr">
        <is>
          <t>1</t>
        </is>
      </c>
      <c r="H384" s="8" t="inlineStr">
        <is>
          <t>0</t>
        </is>
      </c>
      <c r="I384" s="8" t="inlineStr">
        <is>
          <t>0</t>
        </is>
      </c>
      <c r="J384" s="8" t="inlineStr">
        <is>
          <t>0</t>
        </is>
      </c>
      <c r="K384" s="9" t="inlineStr">
        <is>
          <t>0</t>
        </is>
      </c>
      <c r="L384" s="9" t="inlineStr">
        <is>
          <t>0</t>
        </is>
      </c>
      <c r="M384" s="9" t="inlineStr">
        <is>
          <t>0</t>
        </is>
      </c>
      <c r="N384" s="9" t="inlineStr">
        <is>
          <t>0</t>
        </is>
      </c>
      <c r="O384" s="10" t="inlineStr">
        <is>
          <t>0</t>
        </is>
      </c>
      <c r="P384" s="10" t="inlineStr">
        <is>
          <t>0</t>
        </is>
      </c>
      <c r="Q384" s="10" t="inlineStr">
        <is>
          <t>0</t>
        </is>
      </c>
      <c r="R384" s="10" t="inlineStr">
        <is>
          <t>0</t>
        </is>
      </c>
      <c r="S384" s="10" t="inlineStr">
        <is>
          <t>0</t>
        </is>
      </c>
    </row>
    <row r="385" ht="362" customHeight="1">
      <c r="A385" s="6">
        <f>IFERROR(__xludf.DUMMYFUNCTION("""COMPUTED_VALUE"""),"function of human eye")</f>
        <v/>
      </c>
      <c r="B385" s="6">
        <f>IFERROR(__xludf.DUMMYFUNCTION("""COMPUTED_VALUE"""),"Resource")</f>
        <v/>
      </c>
      <c r="C385" s="6">
        <f>IFERROR(__xludf.DUMMYFUNCTION("""COMPUTED_VALUE"""),"human eye is like a camera.graasp")</f>
        <v/>
      </c>
      <c r="D385" s="7">
        <f>IFERROR(__xludf.DUMMYFUNCTION("""COMPUTED_VALUE"""),"&lt;p&gt;The individual components of the eye work in a manner similar to a &lt;br&gt;camera. Each part plays a vital role in providing clear vision. A human &lt;br&gt;eye is like a camera with the cornea, which is like a lens cover. As the&lt;br&gt; eye’s main focusing element,"&amp;" the cornea takes widely diverging rays of &lt;br&gt;light and bends them through the pupil, the dark, round opening in the &lt;br&gt;center of the colored iris. The iris and pupil act like the aperture of a&lt;br&gt; camera.&lt;/p&gt;")</f>
        <v/>
      </c>
      <c r="E385" s="7">
        <f>IFERROR(__xludf.DUMMYFUNCTION("""COMPUTED_VALUE"""),"No artifact embedded")</f>
        <v/>
      </c>
      <c r="F385" s="7" t="inlineStr">
        <is>
          <t>Students learn about eye anatomy and function. Embedded artifacts include an image/png file in Item 2.</t>
        </is>
      </c>
      <c r="G385" s="8" t="inlineStr">
        <is>
          <t>1</t>
        </is>
      </c>
      <c r="H385" s="8" t="inlineStr">
        <is>
          <t>0</t>
        </is>
      </c>
      <c r="I385" s="8" t="inlineStr">
        <is>
          <t>0</t>
        </is>
      </c>
      <c r="J385" s="8" t="inlineStr">
        <is>
          <t>0</t>
        </is>
      </c>
      <c r="K385" s="9" t="inlineStr">
        <is>
          <t>0</t>
        </is>
      </c>
      <c r="L385" s="9" t="inlineStr">
        <is>
          <t>0</t>
        </is>
      </c>
      <c r="M385" s="9" t="inlineStr">
        <is>
          <t>0</t>
        </is>
      </c>
      <c r="N385" s="9" t="inlineStr">
        <is>
          <t>0</t>
        </is>
      </c>
      <c r="O385" s="10" t="inlineStr">
        <is>
          <t>0</t>
        </is>
      </c>
      <c r="P385" s="10" t="inlineStr">
        <is>
          <t>0</t>
        </is>
      </c>
      <c r="Q385" s="10" t="inlineStr">
        <is>
          <t>0</t>
        </is>
      </c>
      <c r="R385" s="10" t="inlineStr">
        <is>
          <t>0</t>
        </is>
      </c>
      <c r="S385" s="10" t="inlineStr">
        <is>
          <t>0</t>
        </is>
      </c>
    </row>
    <row r="386" ht="97" customHeight="1">
      <c r="A386" s="6">
        <f>IFERROR(__xludf.DUMMYFUNCTION("""COMPUTED_VALUE"""),"function of human eye")</f>
        <v/>
      </c>
      <c r="B386" s="6">
        <f>IFERROR(__xludf.DUMMYFUNCTION("""COMPUTED_VALUE"""),"Resource")</f>
        <v/>
      </c>
      <c r="C386" s="6">
        <f>IFERROR(__xludf.DUMMYFUNCTION("""COMPUTED_VALUE"""),"Camera.PNG")</f>
        <v/>
      </c>
      <c r="D386" s="7">
        <f>IFERROR(__xludf.DUMMYFUNCTION("""COMPUTED_VALUE"""),", rsznurz _ '\ Lem _ 7 7 7 Slick mm!")</f>
        <v/>
      </c>
      <c r="E386" s="7">
        <f>IFERROR(__xludf.DUMMYFUNCTION("""COMPUTED_VALUE"""),"image/png – A high-quality image with support for transparency, often used in design and web applications.")</f>
        <v/>
      </c>
      <c r="F386" s="7" t="inlineStr">
        <is>
          <t>Students are given tasks describing eye components, with some items including PNG images as embedded artifacts.</t>
        </is>
      </c>
      <c r="G386" s="8" t="inlineStr">
        <is>
          <t>1</t>
        </is>
      </c>
      <c r="H386" s="8" t="inlineStr">
        <is>
          <t>0</t>
        </is>
      </c>
      <c r="I386" s="8" t="inlineStr">
        <is>
          <t>0</t>
        </is>
      </c>
      <c r="J386" s="8" t="inlineStr">
        <is>
          <t>0</t>
        </is>
      </c>
      <c r="K386" s="9" t="inlineStr">
        <is>
          <t>0</t>
        </is>
      </c>
      <c r="L386" s="9" t="inlineStr">
        <is>
          <t>0</t>
        </is>
      </c>
      <c r="M386" s="9" t="inlineStr">
        <is>
          <t>0</t>
        </is>
      </c>
      <c r="N386" s="9" t="inlineStr">
        <is>
          <t>0</t>
        </is>
      </c>
      <c r="O386" s="10" t="inlineStr">
        <is>
          <t>0</t>
        </is>
      </c>
      <c r="P386" s="10" t="inlineStr">
        <is>
          <t>0</t>
        </is>
      </c>
      <c r="Q386" s="10" t="inlineStr">
        <is>
          <t>0</t>
        </is>
      </c>
      <c r="R386" s="10" t="inlineStr">
        <is>
          <t>0</t>
        </is>
      </c>
      <c r="S386" s="10" t="inlineStr">
        <is>
          <t>0</t>
        </is>
      </c>
    </row>
    <row r="387" ht="409.5" customHeight="1">
      <c r="A387" s="6">
        <f>IFERROR(__xludf.DUMMYFUNCTION("""COMPUTED_VALUE"""),"function of human eye")</f>
        <v/>
      </c>
      <c r="B387" s="6">
        <f>IFERROR(__xludf.DUMMYFUNCTION("""COMPUTED_VALUE"""),"Resource")</f>
        <v/>
      </c>
      <c r="C387" s="6">
        <f>IFERROR(__xludf.DUMMYFUNCTION("""COMPUTED_VALUE"""),"human eye is like the camera.graasp")</f>
        <v/>
      </c>
      <c r="D387" s="7">
        <f>IFERROR(__xludf.DUMMYFUNCTION("""COMPUTED_VALUE"""),"&lt;p&gt;Next in line is the lens which acts like the lens in a camera, helping to focus light to the back of the eye.&lt;br&gt;The very back of the eye is lined with a layer called the retina &lt;br&gt;which is similar to the film in a camera. The retina is a membrane &lt;br"&amp;"&gt;containing photoreceptor nerve cells that line the inside back wall of &lt;br&gt;the eye. The receptor cells (rods and cones) of the retina change the &lt;br&gt;light rays into electrical impulses and send them through the optic &lt;br&gt;nerve to the brain where an image"&amp;" is perceived. The center 10% of the &lt;br&gt;retina is called the macula. This is responsible for your sharp vision, &lt;br&gt;your reading vision.&lt;br&gt;The peripheral retina is responsible for the peripheral vision. As &lt;br&gt;with the camera, if the “film” is bad in th"&amp;"e eye (i.e. the retina), no &lt;br&gt;matter how good the rest of the eye is you will not get a good picture.&lt;br&gt;The human eye is remarkable. It accommodates to changing lighting &lt;br&gt;conditions and focuses light rays originating from various distances &lt;br&gt;from "&amp;"the eye. When all of the components of the eye function properly, &lt;br&gt;light is converted to impulses and conveyed to the brain where an image &lt;br&gt;is perceived.&lt;/p&gt;")</f>
        <v/>
      </c>
      <c r="E387" s="7">
        <f>IFERROR(__xludf.DUMMYFUNCTION("""COMPUTED_VALUE"""),"No artifact embedded")</f>
        <v/>
      </c>
      <c r="F387" s="7" t="inlineStr">
        <is>
          <t>Students were instructed to describe the human eye's components. Embedded artifacts include a PNG image in Item2.</t>
        </is>
      </c>
      <c r="G387" s="8" t="inlineStr">
        <is>
          <t>1</t>
        </is>
      </c>
      <c r="H387" s="8" t="inlineStr">
        <is>
          <t>0</t>
        </is>
      </c>
      <c r="I387" s="8" t="inlineStr">
        <is>
          <t>0</t>
        </is>
      </c>
      <c r="J387" s="8" t="inlineStr">
        <is>
          <t>0</t>
        </is>
      </c>
      <c r="K387" s="9" t="inlineStr">
        <is>
          <t>0</t>
        </is>
      </c>
      <c r="L387" s="9" t="inlineStr">
        <is>
          <t>0</t>
        </is>
      </c>
      <c r="M387" s="9" t="inlineStr">
        <is>
          <t>0</t>
        </is>
      </c>
      <c r="N387" s="9" t="inlineStr">
        <is>
          <t>0</t>
        </is>
      </c>
      <c r="O387" s="10" t="inlineStr">
        <is>
          <t>0</t>
        </is>
      </c>
      <c r="P387" s="10" t="inlineStr">
        <is>
          <t>0</t>
        </is>
      </c>
      <c r="Q387" s="10" t="inlineStr">
        <is>
          <t>0</t>
        </is>
      </c>
      <c r="R387" s="10" t="inlineStr">
        <is>
          <t>0</t>
        </is>
      </c>
      <c r="S387" s="10" t="inlineStr">
        <is>
          <t>0</t>
        </is>
      </c>
    </row>
    <row r="388" ht="37" customHeight="1">
      <c r="A388" s="6">
        <f>IFERROR(__xludf.DUMMYFUNCTION("""COMPUTED_VALUE"""),"function of human eye")</f>
        <v/>
      </c>
      <c r="B388" s="6">
        <f>IFERROR(__xludf.DUMMYFUNCTION("""COMPUTED_VALUE"""),"Space")</f>
        <v/>
      </c>
      <c r="C388" s="6">
        <f>IFERROR(__xludf.DUMMYFUNCTION("""COMPUTED_VALUE"""),"evaluate")</f>
        <v/>
      </c>
      <c r="D388" s="7">
        <f>IFERROR(__xludf.DUMMYFUNCTION("""COMPUTED_VALUE"""),"&lt;p&gt;Evaluate your self after learning&lt;/p&gt;")</f>
        <v/>
      </c>
      <c r="E388" s="7">
        <f>IFERROR(__xludf.DUMMYFUNCTION("""COMPUTED_VALUE"""),"No artifact embedded")</f>
        <v/>
      </c>
      <c r="F388" s="7" t="inlineStr">
        <is>
          <t>No instructions are provided; task descriptions include a nonsensical text, an eye anatomy lesson, and a self-evaluation prompt.</t>
        </is>
      </c>
      <c r="G388" s="8" t="inlineStr">
        <is>
          <t>0</t>
        </is>
      </c>
      <c r="H388" s="8" t="inlineStr">
        <is>
          <t>0</t>
        </is>
      </c>
      <c r="I388" s="8" t="inlineStr">
        <is>
          <t>0</t>
        </is>
      </c>
      <c r="J388" s="8" t="inlineStr">
        <is>
          <t>0</t>
        </is>
      </c>
      <c r="K388" s="9" t="inlineStr">
        <is>
          <t>1</t>
        </is>
      </c>
      <c r="L388" s="9" t="inlineStr">
        <is>
          <t>1</t>
        </is>
      </c>
      <c r="M388" s="9" t="inlineStr">
        <is>
          <t>0</t>
        </is>
      </c>
      <c r="N388" s="9" t="inlineStr">
        <is>
          <t>0</t>
        </is>
      </c>
      <c r="O388" s="10" t="inlineStr">
        <is>
          <t>0</t>
        </is>
      </c>
      <c r="P388" s="10" t="inlineStr">
        <is>
          <t>0</t>
        </is>
      </c>
      <c r="Q388" s="10" t="inlineStr">
        <is>
          <t>0</t>
        </is>
      </c>
      <c r="R388" s="10" t="inlineStr">
        <is>
          <t>0</t>
        </is>
      </c>
      <c r="S388" s="10" t="inlineStr">
        <is>
          <t>1</t>
        </is>
      </c>
    </row>
    <row r="389" ht="121" customHeight="1">
      <c r="A389" s="6">
        <f>IFERROR(__xludf.DUMMYFUNCTION("""COMPUTED_VALUE"""),"function of human eye")</f>
        <v/>
      </c>
      <c r="B389" s="6">
        <f>IFERROR(__xludf.DUMMYFUNCTION("""COMPUTED_VALUE"""),"Resource")</f>
        <v/>
      </c>
      <c r="C389" s="6">
        <f>IFERROR(__xludf.DUMMYFUNCTION("""COMPUTED_VALUE"""),"KScience - Animations")</f>
        <v/>
      </c>
      <c r="D389" s="7">
        <f>IFERROR(__xludf.DUMMYFUNCTION("""COMPUTED_VALUE"""),"No task description")</f>
        <v/>
      </c>
      <c r="E389" s="7">
        <f>IFERROR(__xludf.DUMMYFUNCTION("""COMPUTED_VALUE"""),"kscience.co.uk: A UK-based educational site offering animations and interactive content related to science topics, such as eye function.")</f>
        <v/>
      </c>
      <c r="F389" s="7" t="inlineStr">
        <is>
          <t>Students learn about the human eye, then evaluate themselves. An educational website is provided as a resource.</t>
        </is>
      </c>
      <c r="G389" s="8" t="inlineStr">
        <is>
          <t>1</t>
        </is>
      </c>
      <c r="H389" s="8" t="inlineStr">
        <is>
          <t>1</t>
        </is>
      </c>
      <c r="I389" s="8" t="inlineStr">
        <is>
          <t>0</t>
        </is>
      </c>
      <c r="J389" s="8" t="inlineStr">
        <is>
          <t>1</t>
        </is>
      </c>
      <c r="K389" s="9" t="inlineStr">
        <is>
          <t>0</t>
        </is>
      </c>
      <c r="L389" s="9" t="inlineStr">
        <is>
          <t>0</t>
        </is>
      </c>
      <c r="M389" s="9" t="inlineStr">
        <is>
          <t>0</t>
        </is>
      </c>
      <c r="N389" s="9" t="inlineStr">
        <is>
          <t>0</t>
        </is>
      </c>
      <c r="O389" s="10" t="inlineStr">
        <is>
          <t>0</t>
        </is>
      </c>
      <c r="P389" s="10" t="inlineStr">
        <is>
          <t>0</t>
        </is>
      </c>
      <c r="Q389" s="10" t="inlineStr">
        <is>
          <t>0</t>
        </is>
      </c>
      <c r="R389" s="10" t="inlineStr">
        <is>
          <t>0</t>
        </is>
      </c>
      <c r="S389" s="10" t="inlineStr">
        <is>
          <t>0</t>
        </is>
      </c>
    </row>
    <row r="390" ht="109" customHeight="1">
      <c r="A390" s="6">
        <f>IFERROR(__xludf.DUMMYFUNCTION("""COMPUTED_VALUE"""),"function of human eye")</f>
        <v/>
      </c>
      <c r="B390" s="6">
        <f>IFERROR(__xludf.DUMMYFUNCTION("""COMPUTED_VALUE"""),"Resource")</f>
        <v/>
      </c>
      <c r="C390" s="6">
        <f>IFERROR(__xludf.DUMMYFUNCTION("""COMPUTED_VALUE"""),"Quiz: Eyes")</f>
        <v/>
      </c>
      <c r="D390" s="7">
        <f>IFERROR(__xludf.DUMMYFUNCTION("""COMPUTED_VALUE"""),"Take this quiz about your eyes.")</f>
        <v/>
      </c>
      <c r="E390" s="7">
        <f>IFERROR(__xludf.DUMMYFUNCTION("""COMPUTED_VALUE"""),"Artifact from kidshealth.org: Offers health-related information and quizzes designed for children, such as eye health quizzes.")</f>
        <v/>
      </c>
      <c r="F390" s="7" t="inlineStr">
        <is>
          <t>Students were instructed to evaluate themselves and take a quiz, with embedded artifacts from kscience.co.uk and kidshealth.org.</t>
        </is>
      </c>
      <c r="G390" s="8" t="inlineStr">
        <is>
          <t>0</t>
        </is>
      </c>
      <c r="H390" s="8" t="inlineStr">
        <is>
          <t>0</t>
        </is>
      </c>
      <c r="I390" s="8" t="inlineStr">
        <is>
          <t>0</t>
        </is>
      </c>
      <c r="J390" s="8" t="inlineStr">
        <is>
          <t>1</t>
        </is>
      </c>
      <c r="K390" s="9" t="inlineStr">
        <is>
          <t>1</t>
        </is>
      </c>
      <c r="L390" s="9" t="inlineStr">
        <is>
          <t>1</t>
        </is>
      </c>
      <c r="M390" s="9" t="inlineStr">
        <is>
          <t>0</t>
        </is>
      </c>
      <c r="N390" s="9" t="inlineStr">
        <is>
          <t>0</t>
        </is>
      </c>
      <c r="O390" s="10" t="inlineStr">
        <is>
          <t>0</t>
        </is>
      </c>
      <c r="P390" s="10" t="inlineStr">
        <is>
          <t>0</t>
        </is>
      </c>
      <c r="Q390" s="10" t="inlineStr">
        <is>
          <t>0</t>
        </is>
      </c>
      <c r="R390" s="10" t="inlineStr">
        <is>
          <t>0</t>
        </is>
      </c>
      <c r="S390" s="10" t="inlineStr">
        <is>
          <t>0</t>
        </is>
      </c>
    </row>
    <row r="391" ht="25" customHeight="1">
      <c r="A391" s="6">
        <f>IFERROR(__xludf.DUMMYFUNCTION("""COMPUTED_VALUE"""),"molarity")</f>
        <v/>
      </c>
      <c r="B391" s="6">
        <f>IFERROR(__xludf.DUMMYFUNCTION("""COMPUTED_VALUE"""),"Space")</f>
        <v/>
      </c>
      <c r="C391" s="6">
        <f>IFERROR(__xludf.DUMMYFUNCTION("""COMPUTED_VALUE"""),"Engage")</f>
        <v/>
      </c>
      <c r="D391" s="7">
        <f>IFERROR(__xludf.DUMMYFUNCTION("""COMPUTED_VALUE"""),"No task description")</f>
        <v/>
      </c>
      <c r="E391" s="7">
        <f>IFERROR(__xludf.DUMMYFUNCTION("""COMPUTED_VALUE"""),"No artifact embedded")</f>
        <v/>
      </c>
      <c r="F391" s="7" t="inlineStr">
        <is>
          <t>Students were given tasks and artifacts to complete, including a quiz and interactive content on eye function from kscience.co.uk and kidshealth.org.</t>
        </is>
      </c>
      <c r="G391" s="8" t="inlineStr">
        <is>
          <t>1</t>
        </is>
      </c>
      <c r="H391" s="8" t="inlineStr">
        <is>
          <t>0</t>
        </is>
      </c>
      <c r="I391" s="8" t="inlineStr">
        <is>
          <t>0</t>
        </is>
      </c>
      <c r="J391" s="8" t="inlineStr">
        <is>
          <t>0</t>
        </is>
      </c>
      <c r="K391" s="9" t="inlineStr">
        <is>
          <t>0</t>
        </is>
      </c>
      <c r="L391" s="9" t="inlineStr">
        <is>
          <t>0</t>
        </is>
      </c>
      <c r="M391" s="9" t="inlineStr">
        <is>
          <t>0</t>
        </is>
      </c>
      <c r="N391" s="9" t="inlineStr">
        <is>
          <t>0</t>
        </is>
      </c>
      <c r="O391" s="10" t="inlineStr">
        <is>
          <t>0</t>
        </is>
      </c>
      <c r="P391" s="10" t="inlineStr">
        <is>
          <t>0</t>
        </is>
      </c>
      <c r="Q391" s="10" t="inlineStr">
        <is>
          <t>0</t>
        </is>
      </c>
      <c r="R391" s="10" t="inlineStr">
        <is>
          <t>0</t>
        </is>
      </c>
      <c r="S391" s="10" t="inlineStr">
        <is>
          <t>0</t>
        </is>
      </c>
    </row>
    <row r="392" ht="109" customHeight="1">
      <c r="A392" s="6">
        <f>IFERROR(__xludf.DUMMYFUNCTION("""COMPUTED_VALUE"""),"molarity")</f>
        <v/>
      </c>
      <c r="B392" s="6">
        <f>IFERROR(__xludf.DUMMYFUNCTION("""COMPUTED_VALUE"""),"Resource")</f>
        <v/>
      </c>
      <c r="C392" s="6">
        <f>IFERROR(__xludf.DUMMYFUNCTION("""COMPUTED_VALUE"""),"proc 1.graasp")</f>
        <v/>
      </c>
      <c r="D392" s="7">
        <f>IFERROR(__xludf.DUMMYFUNCTION("""COMPUTED_VALUE"""),"&lt;ol&gt;&lt;li&gt;study the image below and make observation&lt;/li&gt;&lt;li&gt;compare the concentration of those four solutions&lt;/li&gt;&lt;/ol&gt;")</f>
        <v/>
      </c>
      <c r="E392" s="7">
        <f>IFERROR(__xludf.DUMMYFUNCTION("""COMPUTED_VALUE"""),"No artifact embedded")</f>
        <v/>
      </c>
      <c r="F392" s="7" t="inlineStr">
        <is>
          <t>Students take a quiz on eye health, study an image to compare solution concentrations. Embedded artifacts include kidshealth.org quizzes.</t>
        </is>
      </c>
      <c r="G392" s="8" t="inlineStr">
        <is>
          <t>0</t>
        </is>
      </c>
      <c r="H392" s="8" t="inlineStr">
        <is>
          <t>0</t>
        </is>
      </c>
      <c r="I392" s="8" t="inlineStr">
        <is>
          <t>0</t>
        </is>
      </c>
      <c r="J392" s="8" t="inlineStr">
        <is>
          <t>0</t>
        </is>
      </c>
      <c r="K392" s="9" t="inlineStr">
        <is>
          <t>1</t>
        </is>
      </c>
      <c r="L392" s="9" t="inlineStr">
        <is>
          <t>1</t>
        </is>
      </c>
      <c r="M392" s="9" t="inlineStr">
        <is>
          <t>0</t>
        </is>
      </c>
      <c r="N392" s="9" t="inlineStr">
        <is>
          <t>0</t>
        </is>
      </c>
      <c r="O392" s="10" t="inlineStr">
        <is>
          <t>1</t>
        </is>
      </c>
      <c r="P392" s="10" t="inlineStr">
        <is>
          <t>0</t>
        </is>
      </c>
      <c r="Q392" s="10" t="inlineStr">
        <is>
          <t>1</t>
        </is>
      </c>
      <c r="R392" s="10" t="inlineStr">
        <is>
          <t>0</t>
        </is>
      </c>
      <c r="S392" s="10" t="inlineStr">
        <is>
          <t>0</t>
        </is>
      </c>
    </row>
    <row r="393" ht="121" customHeight="1">
      <c r="A393" s="6">
        <f>IFERROR(__xludf.DUMMYFUNCTION("""COMPUTED_VALUE"""),"molarity")</f>
        <v/>
      </c>
      <c r="B393" s="6">
        <f>IFERROR(__xludf.DUMMYFUNCTION("""COMPUTED_VALUE"""),"Resource")</f>
        <v/>
      </c>
      <c r="C393" s="6">
        <f>IFERROR(__xludf.DUMMYFUNCTION("""COMPUTED_VALUE"""),"dilution.JPG")</f>
        <v/>
      </c>
      <c r="D393" s="7">
        <f>IFERROR(__xludf.DUMMYFUNCTION("""COMPUTED_VALUE"""),"rnmxmmr + 9m] + 9m + 9m] + 9ml Ml IIdIIli Ml undid Col-Int!""")</f>
        <v/>
      </c>
      <c r="E393" s="7">
        <f>IFERROR(__xludf.DUMMYFUNCTION("""COMPUTED_VALUE"""),"image/jpeg – A digital photograph or web image stored in a compressed format, often used for photography and web graphics.")</f>
        <v/>
      </c>
      <c r="F393" s="7" t="inlineStr">
        <is>
          <t>Students were given tasks with varying levels of detail. Items 1 and 2 had text-based instructions, while Item 3 was unclear. Embedded artifacts included no artifact in Items 1 and 2, but an image/jpeg in Item 3.</t>
        </is>
      </c>
      <c r="G393" s="8" t="inlineStr">
        <is>
          <t>0</t>
        </is>
      </c>
      <c r="H393" s="8" t="inlineStr">
        <is>
          <t>0</t>
        </is>
      </c>
      <c r="I393" s="8" t="inlineStr">
        <is>
          <t>0</t>
        </is>
      </c>
      <c r="J393" s="8" t="inlineStr">
        <is>
          <t>0</t>
        </is>
      </c>
      <c r="K393" s="9" t="inlineStr">
        <is>
          <t>0</t>
        </is>
      </c>
      <c r="L393" s="9" t="inlineStr">
        <is>
          <t>0</t>
        </is>
      </c>
      <c r="M393" s="9" t="inlineStr">
        <is>
          <t>0</t>
        </is>
      </c>
      <c r="N393" s="9" t="inlineStr">
        <is>
          <t>0</t>
        </is>
      </c>
      <c r="O393" s="10" t="inlineStr">
        <is>
          <t>0</t>
        </is>
      </c>
      <c r="P393" s="10" t="inlineStr">
        <is>
          <t>0</t>
        </is>
      </c>
      <c r="Q393" s="10" t="inlineStr">
        <is>
          <t>0</t>
        </is>
      </c>
      <c r="R393" s="10" t="inlineStr">
        <is>
          <t>0</t>
        </is>
      </c>
      <c r="S393" s="10" t="inlineStr">
        <is>
          <t>0</t>
        </is>
      </c>
    </row>
    <row r="394" ht="329" customHeight="1">
      <c r="A394" s="6">
        <f>IFERROR(__xludf.DUMMYFUNCTION("""COMPUTED_VALUE"""),"molarity")</f>
        <v/>
      </c>
      <c r="B394" s="6">
        <f>IFERROR(__xludf.DUMMYFUNCTION("""COMPUTED_VALUE"""),"Application")</f>
        <v/>
      </c>
      <c r="C394" s="6">
        <f>IFERROR(__xludf.DUMMYFUNCTION("""COMPUTED_VALUE"""),"Input Box")</f>
        <v/>
      </c>
      <c r="D394" s="7">
        <f>IFERROR(__xludf.DUMMYFUNCTION("""COMPUTED_VALUE"""),"No task description")</f>
        <v/>
      </c>
      <c r="E39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94" s="7" t="inlineStr">
        <is>
          <t>Students are given tasks with images and apps to observe and compare solutions, with some items having embedded artifacts like digital photos or note-taking apps.</t>
        </is>
      </c>
      <c r="G394" s="8" t="inlineStr">
        <is>
          <t>0</t>
        </is>
      </c>
      <c r="H394" s="8" t="inlineStr">
        <is>
          <t>1</t>
        </is>
      </c>
      <c r="I394" s="8" t="inlineStr">
        <is>
          <t>1</t>
        </is>
      </c>
      <c r="J394" s="8" t="inlineStr">
        <is>
          <t>1</t>
        </is>
      </c>
      <c r="K394" s="9" t="inlineStr">
        <is>
          <t>0</t>
        </is>
      </c>
      <c r="L394" s="9" t="inlineStr">
        <is>
          <t>0</t>
        </is>
      </c>
      <c r="M394" s="9" t="inlineStr">
        <is>
          <t>1</t>
        </is>
      </c>
      <c r="N394" s="9" t="inlineStr">
        <is>
          <t>1</t>
        </is>
      </c>
      <c r="O394" s="10" t="inlineStr">
        <is>
          <t>0</t>
        </is>
      </c>
      <c r="P394" s="10" t="inlineStr">
        <is>
          <t>0</t>
        </is>
      </c>
      <c r="Q394" s="10" t="inlineStr">
        <is>
          <t>0</t>
        </is>
      </c>
      <c r="R394" s="10" t="inlineStr">
        <is>
          <t>0</t>
        </is>
      </c>
      <c r="S394" s="10" t="inlineStr">
        <is>
          <t>1</t>
        </is>
      </c>
    </row>
    <row r="395" ht="121" customHeight="1">
      <c r="A395" s="6">
        <f>IFERROR(__xludf.DUMMYFUNCTION("""COMPUTED_VALUE"""),"molarity")</f>
        <v/>
      </c>
      <c r="B395" s="6">
        <f>IFERROR(__xludf.DUMMYFUNCTION("""COMPUTED_VALUE"""),"Resource")</f>
        <v/>
      </c>
      <c r="C395" s="6">
        <f>IFERROR(__xludf.DUMMYFUNCTION("""COMPUTED_VALUE"""),"Concentration of Solutions.mp4")</f>
        <v/>
      </c>
      <c r="D395" s="7">
        <f>IFERROR(__xludf.DUMMYFUNCTION("""COMPUTED_VALUE"""),"No task description")</f>
        <v/>
      </c>
      <c r="E395" s="7">
        <f>IFERROR(__xludf.DUMMYFUNCTION("""COMPUTED_VALUE"""),"video/mp4 – A video file containing moving images and possibly audio, suitable for playback on most modern devices and platforms.")</f>
        <v/>
      </c>
      <c r="F395" s="7" t="inlineStr">
        <is>
          <t>Students were given tasks with embedded artifacts, including images, note-taking apps, and videos.</t>
        </is>
      </c>
      <c r="G395" s="8" t="inlineStr">
        <is>
          <t>1</t>
        </is>
      </c>
      <c r="H395" s="8" t="inlineStr">
        <is>
          <t>0</t>
        </is>
      </c>
      <c r="I395" s="8" t="inlineStr">
        <is>
          <t>0</t>
        </is>
      </c>
      <c r="J395" s="8" t="inlineStr">
        <is>
          <t>0</t>
        </is>
      </c>
      <c r="K395" s="9" t="inlineStr">
        <is>
          <t>0</t>
        </is>
      </c>
      <c r="L395" s="9" t="inlineStr">
        <is>
          <t>0</t>
        </is>
      </c>
      <c r="M395" s="9" t="inlineStr">
        <is>
          <t>0</t>
        </is>
      </c>
      <c r="N395" s="9" t="inlineStr">
        <is>
          <t>0</t>
        </is>
      </c>
      <c r="O395" s="10" t="inlineStr">
        <is>
          <t>0</t>
        </is>
      </c>
      <c r="P395" s="10" t="inlineStr">
        <is>
          <t>0</t>
        </is>
      </c>
      <c r="Q395" s="10" t="inlineStr">
        <is>
          <t>0</t>
        </is>
      </c>
      <c r="R395" s="10" t="inlineStr">
        <is>
          <t>0</t>
        </is>
      </c>
      <c r="S395" s="10" t="inlineStr">
        <is>
          <t>0</t>
        </is>
      </c>
    </row>
    <row r="396" ht="25" customHeight="1">
      <c r="A396" s="6">
        <f>IFERROR(__xludf.DUMMYFUNCTION("""COMPUTED_VALUE"""),"molarity")</f>
        <v/>
      </c>
      <c r="B396" s="6">
        <f>IFERROR(__xludf.DUMMYFUNCTION("""COMPUTED_VALUE"""),"Resource")</f>
        <v/>
      </c>
      <c r="C396" s="6">
        <f>IFERROR(__xludf.DUMMYFUNCTION("""COMPUTED_VALUE"""),"proc 2.graasp")</f>
        <v/>
      </c>
      <c r="D396" s="7">
        <f>IFERROR(__xludf.DUMMYFUNCTION("""COMPUTED_VALUE"""),"No task description")</f>
        <v/>
      </c>
      <c r="E396" s="7">
        <f>IFERROR(__xludf.DUMMYFUNCTION("""COMPUTED_VALUE"""),"No artifact embedded")</f>
        <v/>
      </c>
      <c r="F396" s="7" t="inlineStr">
        <is>
          <t>No instructions provided; artifacts include a note-taking app, a video file, and no artifact in the third item.</t>
        </is>
      </c>
      <c r="G396" s="8" t="inlineStr">
        <is>
          <t>1</t>
        </is>
      </c>
      <c r="H396" s="8" t="inlineStr">
        <is>
          <t>0</t>
        </is>
      </c>
      <c r="I396" s="8" t="inlineStr">
        <is>
          <t>0</t>
        </is>
      </c>
      <c r="J396" s="8" t="inlineStr">
        <is>
          <t>0</t>
        </is>
      </c>
      <c r="K396" s="9" t="inlineStr">
        <is>
          <t>0</t>
        </is>
      </c>
      <c r="L396" s="9" t="inlineStr">
        <is>
          <t>0</t>
        </is>
      </c>
      <c r="M396" s="9" t="inlineStr">
        <is>
          <t>0</t>
        </is>
      </c>
      <c r="N396" s="9" t="inlineStr">
        <is>
          <t>0</t>
        </is>
      </c>
      <c r="O396" s="10" t="inlineStr">
        <is>
          <t>0</t>
        </is>
      </c>
      <c r="P396" s="10" t="inlineStr">
        <is>
          <t>0</t>
        </is>
      </c>
      <c r="Q396" s="10" t="inlineStr">
        <is>
          <t>0</t>
        </is>
      </c>
      <c r="R396" s="10" t="inlineStr">
        <is>
          <t>0</t>
        </is>
      </c>
      <c r="S396" s="10" t="inlineStr">
        <is>
          <t>0</t>
        </is>
      </c>
    </row>
    <row r="397" ht="25" customHeight="1">
      <c r="A397" s="6">
        <f>IFERROR(__xludf.DUMMYFUNCTION("""COMPUTED_VALUE"""),"molarity")</f>
        <v/>
      </c>
      <c r="B397" s="6">
        <f>IFERROR(__xludf.DUMMYFUNCTION("""COMPUTED_VALUE"""),"Space")</f>
        <v/>
      </c>
      <c r="C397" s="6">
        <f>IFERROR(__xludf.DUMMYFUNCTION("""COMPUTED_VALUE"""),"Explore")</f>
        <v/>
      </c>
      <c r="D397" s="7">
        <f>IFERROR(__xludf.DUMMYFUNCTION("""COMPUTED_VALUE"""),"No task description")</f>
        <v/>
      </c>
      <c r="E397" s="7">
        <f>IFERROR(__xludf.DUMMYFUNCTION("""COMPUTED_VALUE"""),"No artifact embedded")</f>
        <v/>
      </c>
      <c r="F397" s="7" t="inlineStr">
        <is>
          <t>No task descriptions provided; only Item1 has an embedded video/mp4 artifact.</t>
        </is>
      </c>
      <c r="G397" s="8" t="inlineStr">
        <is>
          <t>1</t>
        </is>
      </c>
      <c r="H397" s="8" t="inlineStr">
        <is>
          <t>0</t>
        </is>
      </c>
      <c r="I397" s="8" t="inlineStr">
        <is>
          <t>0</t>
        </is>
      </c>
      <c r="J397" s="8" t="inlineStr">
        <is>
          <t>0</t>
        </is>
      </c>
      <c r="K397" s="9" t="inlineStr">
        <is>
          <t>0</t>
        </is>
      </c>
      <c r="L397" s="9" t="inlineStr">
        <is>
          <t>0</t>
        </is>
      </c>
      <c r="M397" s="9" t="inlineStr">
        <is>
          <t>0</t>
        </is>
      </c>
      <c r="N397" s="9" t="inlineStr">
        <is>
          <t>0</t>
        </is>
      </c>
      <c r="O397" s="10" t="inlineStr">
        <is>
          <t>0</t>
        </is>
      </c>
      <c r="P397" s="10" t="inlineStr">
        <is>
          <t>0</t>
        </is>
      </c>
      <c r="Q397" s="10" t="inlineStr">
        <is>
          <t>0</t>
        </is>
      </c>
      <c r="R397" s="10" t="inlineStr">
        <is>
          <t>0</t>
        </is>
      </c>
      <c r="S397" s="10" t="inlineStr">
        <is>
          <t>0</t>
        </is>
      </c>
    </row>
    <row r="398" ht="25" customHeight="1">
      <c r="A398" s="6">
        <f>IFERROR(__xludf.DUMMYFUNCTION("""COMPUTED_VALUE"""),"molarity")</f>
        <v/>
      </c>
      <c r="B398" s="6">
        <f>IFERROR(__xludf.DUMMYFUNCTION("""COMPUTED_VALUE"""),"Resource")</f>
        <v/>
      </c>
      <c r="C398" s="6">
        <f>IFERROR(__xludf.DUMMYFUNCTION("""COMPUTED_VALUE"""),"procedure.graasp")</f>
        <v/>
      </c>
      <c r="D398" s="7">
        <f>IFERROR(__xludf.DUMMYFUNCTION("""COMPUTED_VALUE"""),"No task description")</f>
        <v/>
      </c>
      <c r="E398" s="7">
        <f>IFERROR(__xludf.DUMMYFUNCTION("""COMPUTED_VALUE"""),"No artifact embedded")</f>
        <v/>
      </c>
      <c r="F398" s="7" t="inlineStr">
        <is>
          <t>No instructions or artifacts are provided for Items 1, 2, and 3.</t>
        </is>
      </c>
      <c r="G398" s="8" t="inlineStr">
        <is>
          <t>1</t>
        </is>
      </c>
      <c r="H398" s="8" t="inlineStr">
        <is>
          <t>0</t>
        </is>
      </c>
      <c r="I398" s="8" t="inlineStr">
        <is>
          <t>0</t>
        </is>
      </c>
      <c r="J398" s="8" t="inlineStr">
        <is>
          <t>0</t>
        </is>
      </c>
      <c r="K398" s="9" t="inlineStr">
        <is>
          <t>0</t>
        </is>
      </c>
      <c r="L398" s="9" t="inlineStr">
        <is>
          <t>0</t>
        </is>
      </c>
      <c r="M398" s="9" t="inlineStr">
        <is>
          <t>0</t>
        </is>
      </c>
      <c r="N398" s="9" t="inlineStr">
        <is>
          <t>0</t>
        </is>
      </c>
      <c r="O398" s="10" t="inlineStr">
        <is>
          <t>0</t>
        </is>
      </c>
      <c r="P398" s="10" t="inlineStr">
        <is>
          <t>0</t>
        </is>
      </c>
      <c r="Q398" s="10" t="inlineStr">
        <is>
          <t>0</t>
        </is>
      </c>
      <c r="R398" s="10" t="inlineStr">
        <is>
          <t>0</t>
        </is>
      </c>
      <c r="S398" s="10" t="inlineStr">
        <is>
          <t>0</t>
        </is>
      </c>
    </row>
    <row r="399" ht="241" customHeight="1">
      <c r="A399" s="6">
        <f>IFERROR(__xludf.DUMMYFUNCTION("""COMPUTED_VALUE"""),"molarity")</f>
        <v/>
      </c>
      <c r="B399" s="6">
        <f>IFERROR(__xludf.DUMMYFUNCTION("""COMPUTED_VALUE"""),"Application")</f>
        <v/>
      </c>
      <c r="C399" s="6">
        <f>IFERROR(__xludf.DUMMYFUNCTION("""COMPUTED_VALUE"""),"Molarity app")</f>
        <v/>
      </c>
      <c r="D399" s="7">
        <f>IFERROR(__xludf.DUMMYFUNCTION("""COMPUTED_VALUE"""),"No task description")</f>
        <v/>
      </c>
      <c r="E399" s="7">
        <f>IFERROR(__xludf.DUMMYFUNCTION("""COMPUTED_VALUE"""),"Golabz app/lab: ""&lt;p&gt;What determines the concentration of a solution? Learn about the relationships between moles, liters, and molarity by adjusting the amount of solute and solution volume. Change solutes to compare different chemical compounds in water."&amp;"&lt;/p&gt;""")</f>
        <v/>
      </c>
      <c r="F399" s="7" t="inlineStr">
        <is>
          <t>No task descriptions provided, but Item3 has an embedded Golabz app/lab artifact about solution concentration.</t>
        </is>
      </c>
      <c r="G399" s="8" t="inlineStr">
        <is>
          <t>0</t>
        </is>
      </c>
      <c r="H399" s="8" t="inlineStr">
        <is>
          <t>1</t>
        </is>
      </c>
      <c r="I399" s="8" t="inlineStr">
        <is>
          <t>1</t>
        </is>
      </c>
      <c r="J399" s="8" t="inlineStr">
        <is>
          <t>1</t>
        </is>
      </c>
      <c r="K399" s="9" t="inlineStr">
        <is>
          <t>1</t>
        </is>
      </c>
      <c r="L399" s="9" t="inlineStr">
        <is>
          <t>0</t>
        </is>
      </c>
      <c r="M399" s="9" t="inlineStr">
        <is>
          <t>0</t>
        </is>
      </c>
      <c r="N399" s="9" t="inlineStr">
        <is>
          <t>0</t>
        </is>
      </c>
      <c r="O399" s="10" t="inlineStr">
        <is>
          <t>1</t>
        </is>
      </c>
      <c r="P399" s="10" t="inlineStr">
        <is>
          <t>1</t>
        </is>
      </c>
      <c r="Q399" s="10" t="inlineStr">
        <is>
          <t>1</t>
        </is>
      </c>
      <c r="R399" s="10" t="inlineStr">
        <is>
          <t>0</t>
        </is>
      </c>
      <c r="S399" s="10" t="inlineStr">
        <is>
          <t>0</t>
        </is>
      </c>
    </row>
    <row r="400" ht="409.5" customHeight="1">
      <c r="A400" s="6">
        <f>IFERROR(__xludf.DUMMYFUNCTION("""COMPUTED_VALUE"""),"molarity")</f>
        <v/>
      </c>
      <c r="B400" s="6">
        <f>IFERROR(__xludf.DUMMYFUNCTION("""COMPUTED_VALUE"""),"Application")</f>
        <v/>
      </c>
      <c r="C400" s="6">
        <f>IFERROR(__xludf.DUMMYFUNCTION("""COMPUTED_VALUE"""),"Table Tool")</f>
        <v/>
      </c>
      <c r="D400" s="7">
        <f>IFERROR(__xludf.DUMMYFUNCTION("""COMPUTED_VALUE"""),"No task description")</f>
        <v/>
      </c>
      <c r="E400"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00" s="7" t="inlineStr">
        <is>
          <t>No task descriptions; Golabz apps/labs embedded with interactive science and data tools.</t>
        </is>
      </c>
      <c r="G400" s="8" t="inlineStr">
        <is>
          <t>0</t>
        </is>
      </c>
      <c r="H400" s="8" t="inlineStr">
        <is>
          <t>1</t>
        </is>
      </c>
      <c r="I400" s="8" t="inlineStr">
        <is>
          <t>1</t>
        </is>
      </c>
      <c r="J400" s="8" t="inlineStr">
        <is>
          <t>1</t>
        </is>
      </c>
      <c r="K400" s="9" t="inlineStr">
        <is>
          <t>0</t>
        </is>
      </c>
      <c r="L400" s="9" t="inlineStr">
        <is>
          <t>1</t>
        </is>
      </c>
      <c r="M400" s="9" t="inlineStr">
        <is>
          <t>1</t>
        </is>
      </c>
      <c r="N400" s="9" t="inlineStr">
        <is>
          <t>1</t>
        </is>
      </c>
      <c r="O400" s="10" t="inlineStr">
        <is>
          <t>0</t>
        </is>
      </c>
      <c r="P400" s="10" t="inlineStr">
        <is>
          <t>0</t>
        </is>
      </c>
      <c r="Q400" s="10" t="inlineStr">
        <is>
          <t>0</t>
        </is>
      </c>
      <c r="R400" s="10" t="inlineStr">
        <is>
          <t>0</t>
        </is>
      </c>
      <c r="S400" s="10" t="inlineStr">
        <is>
          <t>0</t>
        </is>
      </c>
    </row>
    <row r="401" ht="25" customHeight="1">
      <c r="A401" s="6">
        <f>IFERROR(__xludf.DUMMYFUNCTION("""COMPUTED_VALUE"""),"molarity")</f>
        <v/>
      </c>
      <c r="B401" s="6">
        <f>IFERROR(__xludf.DUMMYFUNCTION("""COMPUTED_VALUE"""),"Space")</f>
        <v/>
      </c>
      <c r="C401" s="6">
        <f>IFERROR(__xludf.DUMMYFUNCTION("""COMPUTED_VALUE"""),"Explain")</f>
        <v/>
      </c>
      <c r="D401" s="7">
        <f>IFERROR(__xludf.DUMMYFUNCTION("""COMPUTED_VALUE"""),"No task description")</f>
        <v/>
      </c>
      <c r="E401" s="7">
        <f>IFERROR(__xludf.DUMMYFUNCTION("""COMPUTED_VALUE"""),"No artifact embedded")</f>
        <v/>
      </c>
      <c r="F401" s="7" t="inlineStr">
        <is>
          <t>No task descriptions provided; artifacts include Golabz apps for learning about solution concentration and using tables for data entry.</t>
        </is>
      </c>
      <c r="G401" s="8" t="inlineStr">
        <is>
          <t>1</t>
        </is>
      </c>
      <c r="H401" s="8" t="inlineStr">
        <is>
          <t>0</t>
        </is>
      </c>
      <c r="I401" s="8" t="inlineStr">
        <is>
          <t>0</t>
        </is>
      </c>
      <c r="J401" s="8" t="inlineStr">
        <is>
          <t>0</t>
        </is>
      </c>
      <c r="K401" s="9" t="inlineStr">
        <is>
          <t>0</t>
        </is>
      </c>
      <c r="L401" s="9" t="inlineStr">
        <is>
          <t>0</t>
        </is>
      </c>
      <c r="M401" s="9" t="inlineStr">
        <is>
          <t>0</t>
        </is>
      </c>
      <c r="N401" s="9" t="inlineStr">
        <is>
          <t>0</t>
        </is>
      </c>
      <c r="O401" s="10" t="inlineStr">
        <is>
          <t>0</t>
        </is>
      </c>
      <c r="P401" s="10" t="inlineStr">
        <is>
          <t>0</t>
        </is>
      </c>
      <c r="Q401" s="10" t="inlineStr">
        <is>
          <t>0</t>
        </is>
      </c>
      <c r="R401" s="10" t="inlineStr">
        <is>
          <t>0</t>
        </is>
      </c>
      <c r="S401" s="10" t="inlineStr">
        <is>
          <t>0</t>
        </is>
      </c>
    </row>
    <row r="402" ht="25" customHeight="1">
      <c r="A402" s="6">
        <f>IFERROR(__xludf.DUMMYFUNCTION("""COMPUTED_VALUE"""),"molarity")</f>
        <v/>
      </c>
      <c r="B402" s="6">
        <f>IFERROR(__xludf.DUMMYFUNCTION("""COMPUTED_VALUE"""),"Space")</f>
        <v/>
      </c>
      <c r="C402" s="6">
        <f>IFERROR(__xludf.DUMMYFUNCTION("""COMPUTED_VALUE"""),"Elaborate")</f>
        <v/>
      </c>
      <c r="D402" s="7">
        <f>IFERROR(__xludf.DUMMYFUNCTION("""COMPUTED_VALUE"""),"No task description")</f>
        <v/>
      </c>
      <c r="E402" s="7">
        <f>IFERROR(__xludf.DUMMYFUNCTION("""COMPUTED_VALUE"""),"No artifact embedded")</f>
        <v/>
      </c>
      <c r="F402" s="7" t="inlineStr">
        <is>
          <t>No task descriptions. Embedded artifacts include Golabz app/lab instructions for using the table tool and collaboration mode.</t>
        </is>
      </c>
      <c r="G402" s="8" t="inlineStr">
        <is>
          <t>1</t>
        </is>
      </c>
      <c r="H402" s="8" t="inlineStr">
        <is>
          <t>0</t>
        </is>
      </c>
      <c r="I402" s="8" t="inlineStr">
        <is>
          <t>0</t>
        </is>
      </c>
      <c r="J402" s="8" t="inlineStr">
        <is>
          <t>0</t>
        </is>
      </c>
      <c r="K402" s="9" t="inlineStr">
        <is>
          <t>0</t>
        </is>
      </c>
      <c r="L402" s="9" t="inlineStr">
        <is>
          <t>0</t>
        </is>
      </c>
      <c r="M402" s="9" t="inlineStr">
        <is>
          <t>0</t>
        </is>
      </c>
      <c r="N402" s="9" t="inlineStr">
        <is>
          <t>0</t>
        </is>
      </c>
      <c r="O402" s="10" t="inlineStr">
        <is>
          <t>0</t>
        </is>
      </c>
      <c r="P402" s="10" t="inlineStr">
        <is>
          <t>0</t>
        </is>
      </c>
      <c r="Q402" s="10" t="inlineStr">
        <is>
          <t>0</t>
        </is>
      </c>
      <c r="R402" s="10" t="inlineStr">
        <is>
          <t>0</t>
        </is>
      </c>
      <c r="S402" s="10" t="inlineStr">
        <is>
          <t>0</t>
        </is>
      </c>
    </row>
    <row r="403" ht="109" customHeight="1">
      <c r="A403" s="6">
        <f>IFERROR(__xludf.DUMMYFUNCTION("""COMPUTED_VALUE"""),"molarity")</f>
        <v/>
      </c>
      <c r="B403" s="6">
        <f>IFERROR(__xludf.DUMMYFUNCTION("""COMPUTED_VALUE"""),"Resource")</f>
        <v/>
      </c>
      <c r="C403" s="6">
        <f>IFERROR(__xludf.DUMMYFUNCTION("""COMPUTED_VALUE"""),"instr 1.graasp")</f>
        <v/>
      </c>
      <c r="D403" s="7">
        <f>IFERROR(__xludf.DUMMYFUNCTION("""COMPUTED_VALUE"""),"&lt;ul&gt;&lt;li&gt;Concentrated refers to chemical solutions that have high concentrations of a large amount of solute in the solution&lt;/li&gt;&lt;/ul&gt;")</f>
        <v/>
      </c>
      <c r="E403" s="7">
        <f>IFERROR(__xludf.DUMMYFUNCTION("""COMPUTED_VALUE"""),"No artifact embedded")</f>
        <v/>
      </c>
      <c r="F403" s="7" t="inlineStr">
        <is>
          <t>No instructions or artifacts provided for Items 1 and 2. Item 3 describes concentrated chemical solutions.</t>
        </is>
      </c>
      <c r="G403" s="8" t="inlineStr">
        <is>
          <t>1</t>
        </is>
      </c>
      <c r="H403" s="8" t="inlineStr">
        <is>
          <t>0</t>
        </is>
      </c>
      <c r="I403" s="8" t="inlineStr">
        <is>
          <t>0</t>
        </is>
      </c>
      <c r="J403" s="8" t="inlineStr">
        <is>
          <t>0</t>
        </is>
      </c>
      <c r="K403" s="9" t="inlineStr">
        <is>
          <t>0</t>
        </is>
      </c>
      <c r="L403" s="9" t="inlineStr">
        <is>
          <t>0</t>
        </is>
      </c>
      <c r="M403" s="9" t="inlineStr">
        <is>
          <t>0</t>
        </is>
      </c>
      <c r="N403" s="9" t="inlineStr">
        <is>
          <t>0</t>
        </is>
      </c>
      <c r="O403" s="10" t="inlineStr">
        <is>
          <t>0</t>
        </is>
      </c>
      <c r="P403" s="10" t="inlineStr">
        <is>
          <t>0</t>
        </is>
      </c>
      <c r="Q403" s="10" t="inlineStr">
        <is>
          <t>0</t>
        </is>
      </c>
      <c r="R403" s="10" t="inlineStr">
        <is>
          <t>0</t>
        </is>
      </c>
      <c r="S403" s="10" t="inlineStr">
        <is>
          <t>0</t>
        </is>
      </c>
    </row>
    <row r="404" ht="109" customHeight="1">
      <c r="A404" s="6">
        <f>IFERROR(__xludf.DUMMYFUNCTION("""COMPUTED_VALUE"""),"molarity")</f>
        <v/>
      </c>
      <c r="B404" s="6">
        <f>IFERROR(__xludf.DUMMYFUNCTION("""COMPUTED_VALUE"""),"Resource")</f>
        <v/>
      </c>
      <c r="C404" s="6">
        <f>IFERROR(__xludf.DUMMYFUNCTION("""COMPUTED_VALUE"""),"dilute solutions.graasp")</f>
        <v/>
      </c>
      <c r="D404" s="7">
        <f>IFERROR(__xludf.DUMMYFUNCTION("""COMPUTED_VALUE"""),"&lt;em&gt;&lt;/em&gt;&lt;strong&gt;&lt;/strong&gt;Dilute solutions contains a small amount of solvent compared with the amount of solvent")</f>
        <v/>
      </c>
      <c r="E404" s="7">
        <f>IFERROR(__xludf.DUMMYFUNCTION("""COMPUTED_VALUE"""),"No artifact embedded")</f>
        <v/>
      </c>
      <c r="F404" s="7" t="inlineStr">
        <is>
          <t>Students received task descriptions on concentrated and dilute solutions, but no artifacts were embedded.</t>
        </is>
      </c>
      <c r="G404" s="8" t="inlineStr">
        <is>
          <t>1</t>
        </is>
      </c>
      <c r="H404" s="8" t="inlineStr">
        <is>
          <t>0</t>
        </is>
      </c>
      <c r="I404" s="8" t="inlineStr">
        <is>
          <t>0</t>
        </is>
      </c>
      <c r="J404" s="8" t="inlineStr">
        <is>
          <t>0</t>
        </is>
      </c>
      <c r="K404" s="9" t="inlineStr">
        <is>
          <t>1</t>
        </is>
      </c>
      <c r="L404" s="9" t="inlineStr">
        <is>
          <t>0</t>
        </is>
      </c>
      <c r="M404" s="9" t="inlineStr">
        <is>
          <t>0</t>
        </is>
      </c>
      <c r="N404" s="9" t="inlineStr">
        <is>
          <t>0</t>
        </is>
      </c>
      <c r="O404" s="10" t="inlineStr">
        <is>
          <t>0</t>
        </is>
      </c>
      <c r="P404" s="10" t="inlineStr">
        <is>
          <t>0</t>
        </is>
      </c>
      <c r="Q404" s="10" t="inlineStr">
        <is>
          <t>0</t>
        </is>
      </c>
      <c r="R404" s="10" t="inlineStr">
        <is>
          <t>0</t>
        </is>
      </c>
      <c r="S404" s="10" t="inlineStr">
        <is>
          <t>0</t>
        </is>
      </c>
    </row>
    <row r="405" ht="25" customHeight="1">
      <c r="A405" s="6">
        <f>IFERROR(__xludf.DUMMYFUNCTION("""COMPUTED_VALUE"""),"molarity")</f>
        <v/>
      </c>
      <c r="B405" s="6">
        <f>IFERROR(__xludf.DUMMYFUNCTION("""COMPUTED_VALUE"""),"Space")</f>
        <v/>
      </c>
      <c r="C405" s="6">
        <f>IFERROR(__xludf.DUMMYFUNCTION("""COMPUTED_VALUE"""),"Evaluate")</f>
        <v/>
      </c>
      <c r="D405" s="7">
        <f>IFERROR(__xludf.DUMMYFUNCTION("""COMPUTED_VALUE"""),"No task description")</f>
        <v/>
      </c>
      <c r="E405" s="7">
        <f>IFERROR(__xludf.DUMMYFUNCTION("""COMPUTED_VALUE"""),"No artifact embedded")</f>
        <v/>
      </c>
      <c r="F405" s="7" t="inlineStr">
        <is>
          <t>Students are given tasks about chemical solutions. Items 1 and 2 provide descriptions, while Item 3 has none. No artifacts are embedded in any items.</t>
        </is>
      </c>
      <c r="G405" s="8" t="inlineStr">
        <is>
          <t>1</t>
        </is>
      </c>
      <c r="H405" s="8" t="inlineStr">
        <is>
          <t>0</t>
        </is>
      </c>
      <c r="I405" s="8" t="inlineStr">
        <is>
          <t>0</t>
        </is>
      </c>
      <c r="J405" s="8" t="inlineStr">
        <is>
          <t>0</t>
        </is>
      </c>
      <c r="K405" s="9" t="inlineStr">
        <is>
          <t>0</t>
        </is>
      </c>
      <c r="L405" s="9" t="inlineStr">
        <is>
          <t>0</t>
        </is>
      </c>
      <c r="M405" s="9" t="inlineStr">
        <is>
          <t>0</t>
        </is>
      </c>
      <c r="N405" s="9" t="inlineStr">
        <is>
          <t>0</t>
        </is>
      </c>
      <c r="O405" s="10" t="inlineStr">
        <is>
          <t>0</t>
        </is>
      </c>
      <c r="P405" s="10" t="inlineStr">
        <is>
          <t>0</t>
        </is>
      </c>
      <c r="Q405" s="10" t="inlineStr">
        <is>
          <t>0</t>
        </is>
      </c>
      <c r="R405" s="10" t="inlineStr">
        <is>
          <t>0</t>
        </is>
      </c>
      <c r="S405" s="10" t="inlineStr">
        <is>
          <t>0</t>
        </is>
      </c>
    </row>
    <row r="406" ht="157" customHeight="1">
      <c r="A406" s="6">
        <f>IFERROR(__xludf.DUMMYFUNCTION("""COMPUTED_VALUE"""),"molarity")</f>
        <v/>
      </c>
      <c r="B406" s="6">
        <f>IFERROR(__xludf.DUMMYFUNCTION("""COMPUTED_VALUE"""),"Application")</f>
        <v/>
      </c>
      <c r="C406" s="6">
        <f>IFERROR(__xludf.DUMMYFUNCTION("""COMPUTED_VALUE"""),"File Drop")</f>
        <v/>
      </c>
      <c r="D406" s="7">
        <f>IFERROR(__xludf.DUMMYFUNCTION("""COMPUTED_VALUE"""),"&lt;p&gt;click here to upload file to answer the following question.what is the differences between molarity and concentration &lt;/p&gt;")</f>
        <v/>
      </c>
      <c r="E406" s="7">
        <f>IFERROR(__xludf.DUMMYFUNCTION("""COMPUTED_VALUE"""),"Golabz app/lab: ""&lt;p&gt;This app allows students to upload files, e.g., assignment and reports, to the Inquiry learning Space. The app also allows teachers to download the uploaded files.&lt;/p&gt;\r\n""")</f>
        <v/>
      </c>
      <c r="F406" s="7" t="inlineStr">
        <is>
          <t>Students were given tasks with varying instructions and no embedded artifacts, except for Item3 which used Golabz app for file uploads.</t>
        </is>
      </c>
      <c r="G406" s="8" t="inlineStr">
        <is>
          <t>0</t>
        </is>
      </c>
      <c r="H406" s="8" t="inlineStr">
        <is>
          <t>1</t>
        </is>
      </c>
      <c r="I406" s="8" t="inlineStr">
        <is>
          <t>1</t>
        </is>
      </c>
      <c r="J406" s="8" t="inlineStr">
        <is>
          <t>1</t>
        </is>
      </c>
      <c r="K406" s="9" t="inlineStr">
        <is>
          <t>1</t>
        </is>
      </c>
      <c r="L406" s="9" t="inlineStr">
        <is>
          <t>1</t>
        </is>
      </c>
      <c r="M406" s="9" t="inlineStr">
        <is>
          <t>0</t>
        </is>
      </c>
      <c r="N406" s="9" t="inlineStr">
        <is>
          <t>0</t>
        </is>
      </c>
      <c r="O406" s="10" t="inlineStr">
        <is>
          <t>1</t>
        </is>
      </c>
      <c r="P406" s="10" t="inlineStr">
        <is>
          <t>1</t>
        </is>
      </c>
      <c r="Q406" s="10" t="inlineStr">
        <is>
          <t>1</t>
        </is>
      </c>
      <c r="R406" s="10" t="inlineStr">
        <is>
          <t>0</t>
        </is>
      </c>
      <c r="S406" s="10" t="inlineStr">
        <is>
          <t>0</t>
        </is>
      </c>
    </row>
    <row r="407" ht="296" customHeight="1">
      <c r="A407" s="6">
        <f>IFERROR(__xludf.DUMMYFUNCTION("""COMPUTED_VALUE"""),"molarity")</f>
        <v/>
      </c>
      <c r="B407" s="6">
        <f>IFERROR(__xludf.DUMMYFUNCTION("""COMPUTED_VALUE"""),"Application")</f>
        <v/>
      </c>
      <c r="C407" s="6">
        <f>IFERROR(__xludf.DUMMYFUNCTION("""COMPUTED_VALUE"""),"Quiz Tool")</f>
        <v/>
      </c>
      <c r="D407" s="7">
        <f>IFERROR(__xludf.DUMMYFUNCTION("""COMPUTED_VALUE"""),"No task description")</f>
        <v/>
      </c>
      <c r="E4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07" s="7" t="inlineStr">
        <is>
          <t>Students were instructed to upload a file answering the question about molarity and concentration differences. Embedded artifacts include Golabz apps for file uploads and quizzes with interactive question editing.</t>
        </is>
      </c>
      <c r="G407" s="8" t="inlineStr">
        <is>
          <t>1</t>
        </is>
      </c>
      <c r="H407" s="8" t="inlineStr">
        <is>
          <t>0</t>
        </is>
      </c>
      <c r="I407" s="8" t="inlineStr">
        <is>
          <t>0</t>
        </is>
      </c>
      <c r="J407" s="8" t="inlineStr">
        <is>
          <t>1</t>
        </is>
      </c>
      <c r="K407" s="9" t="inlineStr">
        <is>
          <t>1</t>
        </is>
      </c>
      <c r="L407" s="9" t="inlineStr">
        <is>
          <t>0</t>
        </is>
      </c>
      <c r="M407" s="9" t="inlineStr">
        <is>
          <t>0</t>
        </is>
      </c>
      <c r="N407" s="9" t="inlineStr">
        <is>
          <t>0</t>
        </is>
      </c>
      <c r="O407" s="10" t="inlineStr">
        <is>
          <t>0</t>
        </is>
      </c>
      <c r="P407" s="10" t="inlineStr">
        <is>
          <t>0</t>
        </is>
      </c>
      <c r="Q407" s="10" t="inlineStr">
        <is>
          <t>0</t>
        </is>
      </c>
      <c r="R407" s="10" t="inlineStr">
        <is>
          <t>0</t>
        </is>
      </c>
      <c r="S407" s="10" t="inlineStr">
        <is>
          <t>0</t>
        </is>
      </c>
    </row>
    <row r="408" ht="61" customHeight="1">
      <c r="A408" s="6">
        <f>IFERROR(__xludf.DUMMYFUNCTION("""COMPUTED_VALUE"""),"Transcription and translation of DNA")</f>
        <v/>
      </c>
      <c r="B408" s="6">
        <f>IFERROR(__xludf.DUMMYFUNCTION("""COMPUTED_VALUE"""),"Space")</f>
        <v/>
      </c>
      <c r="C408" s="6">
        <f>IFERROR(__xludf.DUMMYFUNCTION("""COMPUTED_VALUE"""),"Do you look like your parents?")</f>
        <v/>
      </c>
      <c r="D408" s="7">
        <f>IFERROR(__xludf.DUMMYFUNCTION("""COMPUTED_VALUE"""),"&lt;p&gt;Welcome to the first phase of the course, the Orientation phase.&lt;/p&gt;")</f>
        <v/>
      </c>
      <c r="E408" s="7">
        <f>IFERROR(__xludf.DUMMYFUNCTION("""COMPUTED_VALUE"""),"No artifact embedded")</f>
        <v/>
      </c>
      <c r="F408" s="7" t="inlineStr">
        <is>
          <t>Students are instructed to upload files and answer questions. Embedded artifacts include Golabz app for file uploads and quizzes with interactive question editing.</t>
        </is>
      </c>
      <c r="G408" s="8" t="inlineStr">
        <is>
          <t>1</t>
        </is>
      </c>
      <c r="H408" s="8" t="inlineStr">
        <is>
          <t>0</t>
        </is>
      </c>
      <c r="I408" s="8" t="inlineStr">
        <is>
          <t>0</t>
        </is>
      </c>
      <c r="J408" s="8" t="inlineStr">
        <is>
          <t>0</t>
        </is>
      </c>
      <c r="K408" s="9" t="inlineStr">
        <is>
          <t>0</t>
        </is>
      </c>
      <c r="L408" s="9" t="inlineStr">
        <is>
          <t>0</t>
        </is>
      </c>
      <c r="M408" s="9" t="inlineStr">
        <is>
          <t>0</t>
        </is>
      </c>
      <c r="N408" s="9" t="inlineStr">
        <is>
          <t>0</t>
        </is>
      </c>
      <c r="O408" s="10" t="inlineStr">
        <is>
          <t>1</t>
        </is>
      </c>
      <c r="P408" s="10" t="inlineStr">
        <is>
          <t>0</t>
        </is>
      </c>
      <c r="Q408" s="10" t="inlineStr">
        <is>
          <t>0</t>
        </is>
      </c>
      <c r="R408" s="10" t="inlineStr">
        <is>
          <t>0</t>
        </is>
      </c>
      <c r="S408" s="10" t="inlineStr">
        <is>
          <t>0</t>
        </is>
      </c>
    </row>
    <row r="409" ht="351" customHeight="1">
      <c r="A409" s="6">
        <f>IFERROR(__xludf.DUMMYFUNCTION("""COMPUTED_VALUE"""),"Transcription and translation of DNA")</f>
        <v/>
      </c>
      <c r="B409" s="6">
        <f>IFERROR(__xludf.DUMMYFUNCTION("""COMPUTED_VALUE"""),"Resource")</f>
        <v/>
      </c>
      <c r="C409" s="6">
        <f>IFERROR(__xludf.DUMMYFUNCTION("""COMPUTED_VALUE"""),"Orientation.graasp")</f>
        <v/>
      </c>
      <c r="D409" s="7">
        <f>IFERROR(__xludf.DUMMYFUNCTION("""COMPUTED_VALUE"""),"&lt;p&gt;'He has his father's eyes!' or 'Maybe my genes are wrong!' are phrases we have all heard of. Have you ever wondered how genes define the characteristics of an individual? How could something not visible to our naked eye be responsible for the shape of "&amp;"our eyes or the color of our hair?&lt;/p&gt;&lt;p&gt;&lt;br&gt;&lt;/p&gt;&lt;p&gt;After watching the video below, discuss with your team and write down your thoughts and opinions in the tool below!&lt;/p&gt;")</f>
        <v/>
      </c>
      <c r="E409" s="7">
        <f>IFERROR(__xludf.DUMMYFUNCTION("""COMPUTED_VALUE"""),"No artifact embedded")</f>
        <v/>
      </c>
      <c r="F409" s="7" t="inlineStr">
        <is>
          <t>Students received task descriptions and interacted with artifacts, including a quiz app and videos, to complete assignments.</t>
        </is>
      </c>
      <c r="G409" s="8" t="inlineStr">
        <is>
          <t>0</t>
        </is>
      </c>
      <c r="H409" s="8" t="inlineStr">
        <is>
          <t>0</t>
        </is>
      </c>
      <c r="I409" s="8" t="inlineStr">
        <is>
          <t>1</t>
        </is>
      </c>
      <c r="J409" s="8" t="inlineStr">
        <is>
          <t>1</t>
        </is>
      </c>
      <c r="K409" s="9" t="inlineStr">
        <is>
          <t>0</t>
        </is>
      </c>
      <c r="L409" s="9" t="inlineStr">
        <is>
          <t>0</t>
        </is>
      </c>
      <c r="M409" s="9" t="inlineStr">
        <is>
          <t>1</t>
        </is>
      </c>
      <c r="N409" s="9" t="inlineStr">
        <is>
          <t>1</t>
        </is>
      </c>
      <c r="O409" s="10" t="inlineStr">
        <is>
          <t>1</t>
        </is>
      </c>
      <c r="P409" s="10" t="inlineStr">
        <is>
          <t>1</t>
        </is>
      </c>
      <c r="Q409" s="10" t="inlineStr">
        <is>
          <t>0</t>
        </is>
      </c>
      <c r="R409" s="10" t="inlineStr">
        <is>
          <t>0</t>
        </is>
      </c>
      <c r="S409" s="10" t="inlineStr">
        <is>
          <t>1</t>
        </is>
      </c>
    </row>
    <row r="410" ht="121" customHeight="1">
      <c r="A410" s="6">
        <f>IFERROR(__xludf.DUMMYFUNCTION("""COMPUTED_VALUE"""),"Transcription and translation of DNA")</f>
        <v/>
      </c>
      <c r="B410" s="6">
        <f>IFERROR(__xludf.DUMMYFUNCTION("""COMPUTED_VALUE"""),"Resource")</f>
        <v/>
      </c>
      <c r="C410" s="6">
        <f>IFERROR(__xludf.DUMMYFUNCTION("""COMPUTED_VALUE"""),"What is DNA and How Does it Work?")</f>
        <v/>
      </c>
      <c r="D410" s="7">
        <f>IFERROR(__xludf.DUMMYFUNCTION("""COMPUTED_VALUE"""),"No task description")</f>
        <v/>
      </c>
      <c r="E410" s="7">
        <f>IFERROR(__xludf.DUMMYFUNCTION("""COMPUTED_VALUE"""),"youtube.com: A widely known video-sharing platform where users can watch videos on a vast array of topics, including educational content.")</f>
        <v/>
      </c>
      <c r="F410" s="7" t="inlineStr">
        <is>
          <t>Students are given orientation and genetics tasks with no embedded artifacts, except for a YouTube link in Item 3.</t>
        </is>
      </c>
      <c r="G410" s="8" t="inlineStr">
        <is>
          <t>1</t>
        </is>
      </c>
      <c r="H410" s="8" t="inlineStr">
        <is>
          <t>0</t>
        </is>
      </c>
      <c r="I410" s="8" t="inlineStr">
        <is>
          <t>0</t>
        </is>
      </c>
      <c r="J410" s="8" t="inlineStr">
        <is>
          <t>0</t>
        </is>
      </c>
      <c r="K410" s="9" t="inlineStr">
        <is>
          <t>0</t>
        </is>
      </c>
      <c r="L410" s="9" t="inlineStr">
        <is>
          <t>0</t>
        </is>
      </c>
      <c r="M410" s="9" t="inlineStr">
        <is>
          <t>0</t>
        </is>
      </c>
      <c r="N410" s="9" t="inlineStr">
        <is>
          <t>0</t>
        </is>
      </c>
      <c r="O410" s="10" t="inlineStr">
        <is>
          <t>0</t>
        </is>
      </c>
      <c r="P410" s="10" t="inlineStr">
        <is>
          <t>0</t>
        </is>
      </c>
      <c r="Q410" s="10" t="inlineStr">
        <is>
          <t>0</t>
        </is>
      </c>
      <c r="R410" s="10" t="inlineStr">
        <is>
          <t>0</t>
        </is>
      </c>
      <c r="S410" s="10" t="inlineStr">
        <is>
          <t>0</t>
        </is>
      </c>
    </row>
    <row r="411" ht="49" customHeight="1">
      <c r="A411" s="6">
        <f>IFERROR(__xludf.DUMMYFUNCTION("""COMPUTED_VALUE"""),"Transcription and translation of DNA")</f>
        <v/>
      </c>
      <c r="B411" s="6">
        <f>IFERROR(__xludf.DUMMYFUNCTION("""COMPUTED_VALUE"""),"Application")</f>
        <v/>
      </c>
      <c r="C411" s="6">
        <f>IFERROR(__xludf.DUMMYFUNCTION("""COMPUTED_VALUE"""),"Padlet")</f>
        <v/>
      </c>
      <c r="D411" s="7">
        <f>IFERROR(__xludf.DUMMYFUNCTION("""COMPUTED_VALUE"""),"No task description")</f>
        <v/>
      </c>
      <c r="E411" s="7">
        <f>IFERROR(__xludf.DUMMYFUNCTION("""COMPUTED_VALUE"""),"Golabz app/lab: Wrong URL. Impossible to access it")</f>
        <v/>
      </c>
      <c r="F411" s="7" t="inlineStr">
        <is>
          <t>Students discuss and write thoughts on genes defining characteristics after watching a video. Embedded artifacts include a YouTube video and inaccessible links.</t>
        </is>
      </c>
      <c r="G411" s="8" t="inlineStr">
        <is>
          <t>0</t>
        </is>
      </c>
      <c r="H411" s="8" t="inlineStr">
        <is>
          <t>0</t>
        </is>
      </c>
      <c r="I411" s="8" t="inlineStr">
        <is>
          <t>0</t>
        </is>
      </c>
      <c r="J411" s="8" t="inlineStr">
        <is>
          <t>0</t>
        </is>
      </c>
      <c r="K411" s="9" t="inlineStr">
        <is>
          <t>0</t>
        </is>
      </c>
      <c r="L411" s="9" t="inlineStr">
        <is>
          <t>0</t>
        </is>
      </c>
      <c r="M411" s="9" t="inlineStr">
        <is>
          <t>0</t>
        </is>
      </c>
      <c r="N411" s="9" t="inlineStr">
        <is>
          <t>0</t>
        </is>
      </c>
      <c r="O411" s="10" t="inlineStr">
        <is>
          <t>0</t>
        </is>
      </c>
      <c r="P411" s="10" t="inlineStr">
        <is>
          <t>0</t>
        </is>
      </c>
      <c r="Q411" s="10" t="inlineStr">
        <is>
          <t>0</t>
        </is>
      </c>
      <c r="R411" s="10" t="inlineStr">
        <is>
          <t>0</t>
        </is>
      </c>
      <c r="S411" s="10" t="inlineStr">
        <is>
          <t>0</t>
        </is>
      </c>
    </row>
    <row r="412" ht="406" customHeight="1">
      <c r="A412" s="6">
        <f>IFERROR(__xludf.DUMMYFUNCTION("""COMPUTED_VALUE"""),"Transcription and translation of DNA")</f>
        <v/>
      </c>
      <c r="B412" s="6">
        <f>IFERROR(__xludf.DUMMYFUNCTION("""COMPUTED_VALUE"""),"Resource")</f>
        <v/>
      </c>
      <c r="C412" s="6">
        <f>IFERROR(__xludf.DUMMYFUNCTION("""COMPUTED_VALUE"""),"Orientation 2.graasp")</f>
        <v/>
      </c>
      <c r="D412" s="7">
        <f>IFERROR(__xludf.DUMMYFUNCTION("""COMPUTED_VALUE"""),"&lt;table class=""table table-bordered""&gt;&lt;tbody&gt;&lt;tr&gt;&lt;td&gt;&lt;p&gt;&lt;strong&gt;Let's remember what we already kn&lt;/strong&gt;&lt;strong&gt;ow:&lt;/strong&gt;&lt;/p&gt;&lt;p&gt;As we have already learned, genes are specific units of DNA that contain the genetic information. During reproduction, chi"&amp;"ldren inherit half the genes from the mother and the other half from the father.&lt;/p&gt;&lt;p&gt;Firstly, let's see what we remember from the previous lessons! Answer the following questions:&lt;/p&gt; &lt;/td&gt;&lt;/tr&gt;&lt;/tbody&gt;&lt;/table&gt;")</f>
        <v/>
      </c>
      <c r="E412" s="7">
        <f>IFERROR(__xludf.DUMMYFUNCTION("""COMPUTED_VALUE"""),"No artifact embedded")</f>
        <v/>
      </c>
      <c r="F412" s="7" t="inlineStr">
        <is>
          <t>Students received no task descriptions for Items 1 and 2. Item 3 asked students to recall genetic information and answer questions with no embedded artifacts.</t>
        </is>
      </c>
      <c r="G412" s="8" t="inlineStr">
        <is>
          <t>1</t>
        </is>
      </c>
      <c r="H412" s="8" t="inlineStr">
        <is>
          <t>0</t>
        </is>
      </c>
      <c r="I412" s="8" t="inlineStr">
        <is>
          <t>0</t>
        </is>
      </c>
      <c r="J412" s="8" t="inlineStr">
        <is>
          <t>0</t>
        </is>
      </c>
      <c r="K412" s="9" t="inlineStr">
        <is>
          <t>1</t>
        </is>
      </c>
      <c r="L412" s="9" t="inlineStr">
        <is>
          <t>0</t>
        </is>
      </c>
      <c r="M412" s="9" t="inlineStr">
        <is>
          <t>0</t>
        </is>
      </c>
      <c r="N412" s="9" t="inlineStr">
        <is>
          <t>0</t>
        </is>
      </c>
      <c r="O412" s="10" t="inlineStr">
        <is>
          <t>0</t>
        </is>
      </c>
      <c r="P412" s="10" t="inlineStr">
        <is>
          <t>0</t>
        </is>
      </c>
      <c r="Q412" s="10" t="inlineStr">
        <is>
          <t>0</t>
        </is>
      </c>
      <c r="R412" s="10" t="inlineStr">
        <is>
          <t>0</t>
        </is>
      </c>
      <c r="S412" s="10" t="inlineStr">
        <is>
          <t>0</t>
        </is>
      </c>
    </row>
    <row r="413" ht="296" customHeight="1">
      <c r="A413" s="6">
        <f>IFERROR(__xludf.DUMMYFUNCTION("""COMPUTED_VALUE"""),"Transcription and translation of DNA")</f>
        <v/>
      </c>
      <c r="B413" s="6">
        <f>IFERROR(__xludf.DUMMYFUNCTION("""COMPUTED_VALUE"""),"Application")</f>
        <v/>
      </c>
      <c r="C413" s="6">
        <f>IFERROR(__xludf.DUMMYFUNCTION("""COMPUTED_VALUE"""),"Quiz tool")</f>
        <v/>
      </c>
      <c r="D413" s="7">
        <f>IFERROR(__xludf.DUMMYFUNCTION("""COMPUTED_VALUE"""),"No task description")</f>
        <v/>
      </c>
      <c r="E41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13" s="7" t="inlineStr">
        <is>
          <t>Students received 3 items with varying instructions: genetics review, no task, and an unseen lab. Embedded artifacts included a quiz app and inaccessible Golabz labs.</t>
        </is>
      </c>
      <c r="G413" s="8" t="inlineStr">
        <is>
          <t>0</t>
        </is>
      </c>
      <c r="H413" s="8" t="inlineStr">
        <is>
          <t>0</t>
        </is>
      </c>
      <c r="I413" s="8" t="inlineStr">
        <is>
          <t>0</t>
        </is>
      </c>
      <c r="J413" s="8" t="inlineStr">
        <is>
          <t>1</t>
        </is>
      </c>
      <c r="K413" s="9" t="inlineStr">
        <is>
          <t>1</t>
        </is>
      </c>
      <c r="L413" s="9" t="inlineStr">
        <is>
          <t>0</t>
        </is>
      </c>
      <c r="M413" s="9" t="inlineStr">
        <is>
          <t>0</t>
        </is>
      </c>
      <c r="N413" s="9" t="inlineStr">
        <is>
          <t>0</t>
        </is>
      </c>
      <c r="O413" s="10" t="inlineStr">
        <is>
          <t>0</t>
        </is>
      </c>
      <c r="P413" s="10" t="inlineStr">
        <is>
          <t>0</t>
        </is>
      </c>
      <c r="Q413" s="10" t="inlineStr">
        <is>
          <t>0</t>
        </is>
      </c>
      <c r="R413" s="10" t="inlineStr">
        <is>
          <t>0</t>
        </is>
      </c>
      <c r="S413" s="10" t="inlineStr">
        <is>
          <t>0</t>
        </is>
      </c>
    </row>
    <row r="414" ht="121" customHeight="1">
      <c r="A414" s="6">
        <f>IFERROR(__xludf.DUMMYFUNCTION("""COMPUTED_VALUE"""),"Transcription and translation of DNA")</f>
        <v/>
      </c>
      <c r="B414" s="6">
        <f>IFERROR(__xludf.DUMMYFUNCTION("""COMPUTED_VALUE"""),"Resource")</f>
        <v/>
      </c>
      <c r="C414" s="6">
        <f>IFERROR(__xludf.DUMMYFUNCTION("""COMPUTED_VALUE"""),"dna1.jpg")</f>
        <v/>
      </c>
      <c r="D414" s="7">
        <f>IFERROR(__xludf.DUMMYFUNCTION("""COMPUTED_VALUE"""),"&lt;p&gt;Congratulations! Having answered the questions above, let's remember the structure of DNA and nucleotides again:&lt;/p&gt;")</f>
        <v/>
      </c>
      <c r="E414" s="7">
        <f>IFERROR(__xludf.DUMMYFUNCTION("""COMPUTED_VALUE"""),"image/jpeg – A digital photograph or web image stored in a compressed format, often used for photography and web graphics.")</f>
        <v/>
      </c>
      <c r="F414" s="7" t="inlineStr">
        <is>
          <t>Students recall genetic information and answer questions. Embedded artifacts include a quiz app and an image of DNA structure.</t>
        </is>
      </c>
      <c r="G414" s="8" t="inlineStr">
        <is>
          <t>1</t>
        </is>
      </c>
      <c r="H414" s="8" t="inlineStr">
        <is>
          <t>0</t>
        </is>
      </c>
      <c r="I414" s="8" t="inlineStr">
        <is>
          <t>0</t>
        </is>
      </c>
      <c r="J414" s="8" t="inlineStr">
        <is>
          <t>0</t>
        </is>
      </c>
      <c r="K414" s="9" t="inlineStr">
        <is>
          <t>1</t>
        </is>
      </c>
      <c r="L414" s="9" t="inlineStr">
        <is>
          <t>0</t>
        </is>
      </c>
      <c r="M414" s="9" t="inlineStr">
        <is>
          <t>0</t>
        </is>
      </c>
      <c r="N414" s="9" t="inlineStr">
        <is>
          <t>0</t>
        </is>
      </c>
      <c r="O414" s="10" t="inlineStr">
        <is>
          <t>0</t>
        </is>
      </c>
      <c r="P414" s="10" t="inlineStr">
        <is>
          <t>0</t>
        </is>
      </c>
      <c r="Q414" s="10" t="inlineStr">
        <is>
          <t>0</t>
        </is>
      </c>
      <c r="R414" s="10" t="inlineStr">
        <is>
          <t>0</t>
        </is>
      </c>
      <c r="S414" s="10" t="inlineStr">
        <is>
          <t>0</t>
        </is>
      </c>
    </row>
    <row r="415" ht="409.5" customHeight="1">
      <c r="A415" s="6">
        <f>IFERROR(__xludf.DUMMYFUNCTION("""COMPUTED_VALUE"""),"Transcription and translation of DNA")</f>
        <v/>
      </c>
      <c r="B415" s="6">
        <f>IFERROR(__xludf.DUMMYFUNCTION("""COMPUTED_VALUE"""),"Resource")</f>
        <v/>
      </c>
      <c r="C415" s="6">
        <f>IFERROR(__xludf.DUMMYFUNCTION("""COMPUTED_VALUE"""),"Προσανατολισμός 3.graasp")</f>
        <v/>
      </c>
      <c r="D415" s="7">
        <f>IFERROR(__xludf.DUMMYFUNCTION("""COMPUTED_VALUE"""),"&lt;table class=""table table-bordered""&gt;&lt;tbody&gt;&lt;tr&gt;&lt;td&gt;&lt;p&gt;Each DNA nucleotide consists of a nitrogenous base (adenine, thymine, cytosine or guanine), a sugar (deoxyribose) and a phosphate group. There are four different types of nucleotides that differ on t"&amp;"he nitrogenous base.&lt;/p&gt;&lt;/td&gt;&lt;/tr&gt;&lt;/tbody&gt;&lt;/table&gt;&lt;table class=""table table-bordered""&gt;&lt;tbody&gt;&lt;tr&gt;&lt;td&gt;&lt;p&gt;Having remembered what we already know, it is time to move on to the next phase!&lt;/p&gt;&lt;/td&gt;&lt;/tr&gt;&lt;/tbody&gt;&lt;/table&gt;")</f>
        <v/>
      </c>
      <c r="E415" s="7">
        <f>IFERROR(__xludf.DUMMYFUNCTION("""COMPUTED_VALUE"""),"No artifact embedded")</f>
        <v/>
      </c>
      <c r="F415" s="7" t="inlineStr">
        <is>
          <t>Students received tasks with varying levels of detail and interactive artifacts, including a quiz app and an image, to learn about DNA structure and nucleotides.</t>
        </is>
      </c>
      <c r="G415" s="8" t="inlineStr">
        <is>
          <t>1</t>
        </is>
      </c>
      <c r="H415" s="8" t="inlineStr">
        <is>
          <t>0</t>
        </is>
      </c>
      <c r="I415" s="8" t="inlineStr">
        <is>
          <t>0</t>
        </is>
      </c>
      <c r="J415" s="8" t="inlineStr">
        <is>
          <t>0</t>
        </is>
      </c>
      <c r="K415" s="9" t="inlineStr">
        <is>
          <t>1</t>
        </is>
      </c>
      <c r="L415" s="9" t="inlineStr">
        <is>
          <t>0</t>
        </is>
      </c>
      <c r="M415" s="9" t="inlineStr">
        <is>
          <t>0</t>
        </is>
      </c>
      <c r="N415" s="9" t="inlineStr">
        <is>
          <t>0</t>
        </is>
      </c>
      <c r="O415" s="10" t="inlineStr">
        <is>
          <t>0</t>
        </is>
      </c>
      <c r="P415" s="10" t="inlineStr">
        <is>
          <t>0</t>
        </is>
      </c>
      <c r="Q415" s="10" t="inlineStr">
        <is>
          <t>0</t>
        </is>
      </c>
      <c r="R415" s="10" t="inlineStr">
        <is>
          <t>0</t>
        </is>
      </c>
      <c r="S415" s="10" t="inlineStr">
        <is>
          <t>0</t>
        </is>
      </c>
    </row>
    <row r="416" ht="181" customHeight="1">
      <c r="A416" s="6">
        <f>IFERROR(__xludf.DUMMYFUNCTION("""COMPUTED_VALUE"""),"Transcription and translation of DNA")</f>
        <v/>
      </c>
      <c r="B416" s="6">
        <f>IFERROR(__xludf.DUMMYFUNCTION("""COMPUTED_VALUE"""),"Space")</f>
        <v/>
      </c>
      <c r="C416" s="6">
        <f>IFERROR(__xludf.DUMMYFUNCTION("""COMPUTED_VALUE"""),"Will the mountain come to Muhammad?")</f>
        <v/>
      </c>
      <c r="D416" s="7">
        <f>IFERROR(__xludf.DUMMYFUNCTION("""COMPUTED_VALUE"""),"&lt;p&gt;Do you know the old proverb: 'If the mountain will not come to Muhammad, then Muhammad must go to the mountain'? You might find it useful during the second phase of the lesson, the phase of Conceptualization!&lt;/p&gt;")</f>
        <v/>
      </c>
      <c r="E416" s="7">
        <f>IFERROR(__xludf.DUMMYFUNCTION("""COMPUTED_VALUE"""),"No artifact embedded")</f>
        <v/>
      </c>
      <c r="F416" s="7" t="inlineStr">
        <is>
          <t>Students review DNA structure and nucleotides. Embedded artifacts include a JPEG image in Item1, with no artifacts in Items 2 and 3.</t>
        </is>
      </c>
      <c r="G416" s="8" t="inlineStr">
        <is>
          <t>0</t>
        </is>
      </c>
      <c r="H416" s="8" t="inlineStr">
        <is>
          <t>0</t>
        </is>
      </c>
      <c r="I416" s="8" t="inlineStr">
        <is>
          <t>0</t>
        </is>
      </c>
      <c r="J416" s="8" t="inlineStr">
        <is>
          <t>0</t>
        </is>
      </c>
      <c r="K416" s="9" t="inlineStr">
        <is>
          <t>1</t>
        </is>
      </c>
      <c r="L416" s="9" t="inlineStr">
        <is>
          <t>0</t>
        </is>
      </c>
      <c r="M416" s="9" t="inlineStr">
        <is>
          <t>0</t>
        </is>
      </c>
      <c r="N416" s="9" t="inlineStr">
        <is>
          <t>0</t>
        </is>
      </c>
      <c r="O416" s="10" t="inlineStr">
        <is>
          <t>1</t>
        </is>
      </c>
      <c r="P416" s="10" t="inlineStr">
        <is>
          <t>1</t>
        </is>
      </c>
      <c r="Q416" s="10" t="inlineStr">
        <is>
          <t>0</t>
        </is>
      </c>
      <c r="R416" s="10" t="inlineStr">
        <is>
          <t>0</t>
        </is>
      </c>
      <c r="S416" s="10" t="inlineStr">
        <is>
          <t>0</t>
        </is>
      </c>
    </row>
    <row r="417" ht="169" customHeight="1">
      <c r="A417" s="6">
        <f>IFERROR(__xludf.DUMMYFUNCTION("""COMPUTED_VALUE"""),"Transcription and translation of DNA")</f>
        <v/>
      </c>
      <c r="B417" s="6">
        <f>IFERROR(__xludf.DUMMYFUNCTION("""COMPUTED_VALUE"""),"Resource")</f>
        <v/>
      </c>
      <c r="C417" s="6">
        <f>IFERROR(__xludf.DUMMYFUNCTION("""COMPUTED_VALUE"""),"Conceptualization.graasp")</f>
        <v/>
      </c>
      <c r="D417" s="7">
        <f>IFERROR(__xludf.DUMMYFUNCTION("""COMPUTED_VALUE"""),"&lt;table class=""table table-bordered""&gt;&lt;tbody&gt;&lt;tr&gt;&lt;td&gt;&lt;p&gt;Watch the rest of the video to remember what we have learned about proteins and amino acids.&lt;/p&gt;&lt;/td&gt;&lt;/tr&gt;&lt;/tbody&gt;&lt;/table&gt;")</f>
        <v/>
      </c>
      <c r="E417" s="7">
        <f>IFERROR(__xludf.DUMMYFUNCTION("""COMPUTED_VALUE"""),"No artifact embedded")</f>
        <v/>
      </c>
      <c r="F417" s="7" t="inlineStr">
        <is>
          <t>Students are instructed on DNA nucleotides and protein basics, with no artifacts embedded.</t>
        </is>
      </c>
      <c r="G417" s="8" t="inlineStr">
        <is>
          <t>1</t>
        </is>
      </c>
      <c r="H417" s="8" t="inlineStr">
        <is>
          <t>0</t>
        </is>
      </c>
      <c r="I417" s="8" t="inlineStr">
        <is>
          <t>0</t>
        </is>
      </c>
      <c r="J417" s="8" t="inlineStr">
        <is>
          <t>0</t>
        </is>
      </c>
      <c r="K417" s="9" t="inlineStr">
        <is>
          <t>1</t>
        </is>
      </c>
      <c r="L417" s="9" t="inlineStr">
        <is>
          <t>0</t>
        </is>
      </c>
      <c r="M417" s="9" t="inlineStr">
        <is>
          <t>0</t>
        </is>
      </c>
      <c r="N417" s="9" t="inlineStr">
        <is>
          <t>0</t>
        </is>
      </c>
      <c r="O417" s="10" t="inlineStr">
        <is>
          <t>0</t>
        </is>
      </c>
      <c r="P417" s="10" t="inlineStr">
        <is>
          <t>0</t>
        </is>
      </c>
      <c r="Q417" s="10" t="inlineStr">
        <is>
          <t>0</t>
        </is>
      </c>
      <c r="R417" s="10" t="inlineStr">
        <is>
          <t>0</t>
        </is>
      </c>
      <c r="S417" s="10" t="inlineStr">
        <is>
          <t>0</t>
        </is>
      </c>
    </row>
    <row r="418" ht="121" customHeight="1">
      <c r="A418" s="6">
        <f>IFERROR(__xludf.DUMMYFUNCTION("""COMPUTED_VALUE"""),"Transcription and translation of DNA")</f>
        <v/>
      </c>
      <c r="B418" s="6">
        <f>IFERROR(__xludf.DUMMYFUNCTION("""COMPUTED_VALUE"""),"Resource")</f>
        <v/>
      </c>
      <c r="C418" s="6">
        <f>IFERROR(__xludf.DUMMYFUNCTION("""COMPUTED_VALUE"""),"What is DNA and How Does it Work?")</f>
        <v/>
      </c>
      <c r="D418" s="7">
        <f>IFERROR(__xludf.DUMMYFUNCTION("""COMPUTED_VALUE"""),"No task description")</f>
        <v/>
      </c>
      <c r="E418" s="7">
        <f>IFERROR(__xludf.DUMMYFUNCTION("""COMPUTED_VALUE"""),"youtube.com: A widely known video-sharing platform where users can watch videos on a vast array of topics, including educational content.")</f>
        <v/>
      </c>
      <c r="F418" s="7" t="inlineStr">
        <is>
          <t>Students are given tasks and proverbs. Items 1 and 2 have no embedded artifacts, while Item 3 has a YouTube link.</t>
        </is>
      </c>
      <c r="G418" s="8" t="inlineStr">
        <is>
          <t>1</t>
        </is>
      </c>
      <c r="H418" s="8" t="inlineStr">
        <is>
          <t>0</t>
        </is>
      </c>
      <c r="I418" s="8" t="inlineStr">
        <is>
          <t>0</t>
        </is>
      </c>
      <c r="J418" s="8" t="inlineStr">
        <is>
          <t>0</t>
        </is>
      </c>
      <c r="K418" s="9" t="inlineStr">
        <is>
          <t>0</t>
        </is>
      </c>
      <c r="L418" s="9" t="inlineStr">
        <is>
          <t>0</t>
        </is>
      </c>
      <c r="M418" s="9" t="inlineStr">
        <is>
          <t>0</t>
        </is>
      </c>
      <c r="N418" s="9" t="inlineStr">
        <is>
          <t>0</t>
        </is>
      </c>
      <c r="O418" s="10" t="inlineStr">
        <is>
          <t>0</t>
        </is>
      </c>
      <c r="P418" s="10" t="inlineStr">
        <is>
          <t>0</t>
        </is>
      </c>
      <c r="Q418" s="10" t="inlineStr">
        <is>
          <t>0</t>
        </is>
      </c>
      <c r="R418" s="10" t="inlineStr">
        <is>
          <t>0</t>
        </is>
      </c>
      <c r="S418" s="10" t="inlineStr">
        <is>
          <t>0</t>
        </is>
      </c>
    </row>
    <row r="419" ht="409.5" customHeight="1">
      <c r="A419" s="6">
        <f>IFERROR(__xludf.DUMMYFUNCTION("""COMPUTED_VALUE"""),"Transcription and translation of DNA")</f>
        <v/>
      </c>
      <c r="B419" s="6">
        <f>IFERROR(__xludf.DUMMYFUNCTION("""COMPUTED_VALUE"""),"Application")</f>
        <v/>
      </c>
      <c r="C419" s="6">
        <f>IFERROR(__xludf.DUMMYFUNCTION("""COMPUTED_VALUE"""),"Question Scratchpad")</f>
        <v/>
      </c>
      <c r="D419" s="7">
        <f>IFERROR(__xludf.DUMMYFUNCTION("""COMPUTED_VALUE"""),"&lt;p&gt;Using the Question Scratchpad Tool below, try to create your own research question, keeping in mind what we have discussed so far. Use as many words as you like.&lt;/p&gt;&lt;p&gt;&lt;br&gt;&lt;/p&gt;")</f>
        <v/>
      </c>
      <c r="E419"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419" s="7" t="inlineStr">
        <is>
          <t>Students are instructed to watch a video and create a research question using a tool, with artifacts including YouTube and the Question Scratchpad Tool.</t>
        </is>
      </c>
      <c r="G419" s="8" t="inlineStr">
        <is>
          <t>0</t>
        </is>
      </c>
      <c r="H419" s="8" t="inlineStr">
        <is>
          <t>1</t>
        </is>
      </c>
      <c r="I419" s="8" t="inlineStr">
        <is>
          <t>1</t>
        </is>
      </c>
      <c r="J419" s="8" t="inlineStr">
        <is>
          <t>1</t>
        </is>
      </c>
      <c r="K419" s="9" t="inlineStr">
        <is>
          <t>1</t>
        </is>
      </c>
      <c r="L419" s="9" t="inlineStr">
        <is>
          <t>1</t>
        </is>
      </c>
      <c r="M419" s="9" t="inlineStr">
        <is>
          <t>0</t>
        </is>
      </c>
      <c r="N419" s="9" t="inlineStr">
        <is>
          <t>0</t>
        </is>
      </c>
      <c r="O419" s="10" t="inlineStr">
        <is>
          <t>1</t>
        </is>
      </c>
      <c r="P419" s="10" t="inlineStr">
        <is>
          <t>1</t>
        </is>
      </c>
      <c r="Q419" s="10" t="inlineStr">
        <is>
          <t>1</t>
        </is>
      </c>
      <c r="R419" s="10" t="inlineStr">
        <is>
          <t>0</t>
        </is>
      </c>
      <c r="S419" s="10" t="inlineStr">
        <is>
          <t>0</t>
        </is>
      </c>
    </row>
    <row r="420" ht="384" customHeight="1">
      <c r="A420" s="6">
        <f>IFERROR(__xludf.DUMMYFUNCTION("""COMPUTED_VALUE"""),"Transcription and translation of DNA")</f>
        <v/>
      </c>
      <c r="B420" s="6">
        <f>IFERROR(__xludf.DUMMYFUNCTION("""COMPUTED_VALUE"""),"Resource")</f>
        <v/>
      </c>
      <c r="C420" s="6">
        <f>IFERROR(__xludf.DUMMYFUNCTION("""COMPUTED_VALUE"""),"Conceptualization1.graasp")</f>
        <v/>
      </c>
      <c r="D420" s="7">
        <f>IFERROR(__xludf.DUMMYFUNCTION("""COMPUTED_VALUE"""),"&lt;table class=""table table-bordered""&gt;&lt;tbody&gt;&lt;tr&gt;&lt;td&gt;&lt;p&gt;Have you thought about the answer to the research question you created above?&lt;br&gt;Below you can find a conceptual map. Tap anywhere in the map and choose a concept you want from the ones that appear. "&amp;"Drag the arrow between concepts, thus defining the relationship between the concepts you chose. Try to create a map that will include all available concepts and relationships.&lt;/p&gt;&lt;/td&gt;&lt;/tr&gt;&lt;/tbody&gt;&lt;/table&gt;")</f>
        <v/>
      </c>
      <c r="E420" s="7">
        <f>IFERROR(__xludf.DUMMYFUNCTION("""COMPUTED_VALUE"""),"No artifact embedded")</f>
        <v/>
      </c>
      <c r="F420" s="7" t="inlineStr">
        <is>
          <t>Students are given tasks with tools like YouTube, Question Scratchpad, and conceptual maps to create research questions and explore relationships between concepts.</t>
        </is>
      </c>
      <c r="G420" s="8" t="inlineStr">
        <is>
          <t>0</t>
        </is>
      </c>
      <c r="H420" s="8" t="inlineStr">
        <is>
          <t>1</t>
        </is>
      </c>
      <c r="I420" s="8" t="inlineStr">
        <is>
          <t>1</t>
        </is>
      </c>
      <c r="J420" s="8" t="inlineStr">
        <is>
          <t>1</t>
        </is>
      </c>
      <c r="K420" s="9" t="inlineStr">
        <is>
          <t>0</t>
        </is>
      </c>
      <c r="L420" s="9" t="inlineStr">
        <is>
          <t>1</t>
        </is>
      </c>
      <c r="M420" s="9" t="inlineStr">
        <is>
          <t>0</t>
        </is>
      </c>
      <c r="N420" s="9" t="inlineStr">
        <is>
          <t>0</t>
        </is>
      </c>
      <c r="O420" s="10" t="inlineStr">
        <is>
          <t>0</t>
        </is>
      </c>
      <c r="P420" s="10" t="inlineStr">
        <is>
          <t>1</t>
        </is>
      </c>
      <c r="Q420" s="10" t="inlineStr">
        <is>
          <t>0</t>
        </is>
      </c>
      <c r="R420" s="10" t="inlineStr">
        <is>
          <t>0</t>
        </is>
      </c>
      <c r="S420" s="10" t="inlineStr">
        <is>
          <t>0</t>
        </is>
      </c>
    </row>
    <row r="421" ht="409.5" customHeight="1">
      <c r="A421" s="6">
        <f>IFERROR(__xludf.DUMMYFUNCTION("""COMPUTED_VALUE"""),"Transcription and translation of DNA")</f>
        <v/>
      </c>
      <c r="B421" s="6">
        <f>IFERROR(__xludf.DUMMYFUNCTION("""COMPUTED_VALUE"""),"Application")</f>
        <v/>
      </c>
      <c r="C421" s="6">
        <f>IFERROR(__xludf.DUMMYFUNCTION("""COMPUTED_VALUE"""),"Concept Mapper")</f>
        <v/>
      </c>
      <c r="D421" s="7">
        <f>IFERROR(__xludf.DUMMYFUNCTION("""COMPUTED_VALUE"""),"No task description")</f>
        <v/>
      </c>
      <c r="E42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21" s="7" t="inlineStr">
        <is>
          <t>Students create research questions and concept maps using Golabz tools: Question Scratchpad and Concept Mapper.</t>
        </is>
      </c>
      <c r="G421" s="8" t="inlineStr">
        <is>
          <t>0</t>
        </is>
      </c>
      <c r="H421" s="8" t="inlineStr">
        <is>
          <t>1</t>
        </is>
      </c>
      <c r="I421" s="8" t="inlineStr">
        <is>
          <t>1</t>
        </is>
      </c>
      <c r="J421" s="8" t="inlineStr">
        <is>
          <t>1</t>
        </is>
      </c>
      <c r="K421" s="9" t="inlineStr">
        <is>
          <t>0</t>
        </is>
      </c>
      <c r="L421" s="9" t="inlineStr">
        <is>
          <t>1</t>
        </is>
      </c>
      <c r="M421" s="9" t="inlineStr">
        <is>
          <t>0</t>
        </is>
      </c>
      <c r="N421" s="9" t="inlineStr">
        <is>
          <t>1</t>
        </is>
      </c>
      <c r="O421" s="10" t="inlineStr">
        <is>
          <t>0</t>
        </is>
      </c>
      <c r="P421" s="10" t="inlineStr">
        <is>
          <t>1</t>
        </is>
      </c>
      <c r="Q421" s="10" t="inlineStr">
        <is>
          <t>0</t>
        </is>
      </c>
      <c r="R421" s="10" t="inlineStr">
        <is>
          <t>0</t>
        </is>
      </c>
      <c r="S421" s="10" t="inlineStr">
        <is>
          <t>0</t>
        </is>
      </c>
    </row>
    <row r="422" ht="205" customHeight="1">
      <c r="A422" s="6">
        <f>IFERROR(__xludf.DUMMYFUNCTION("""COMPUTED_VALUE"""),"Transcription and translation of DNA")</f>
        <v/>
      </c>
      <c r="B422" s="6">
        <f>IFERROR(__xludf.DUMMYFUNCTION("""COMPUTED_VALUE"""),"Resource")</f>
        <v/>
      </c>
      <c r="C422" s="6">
        <f>IFERROR(__xludf.DUMMYFUNCTION("""COMPUTED_VALUE"""),"Conceptualization2.graasp")</f>
        <v/>
      </c>
      <c r="D422" s="7">
        <f>IFERROR(__xludf.DUMMYFUNCTION("""COMPUTED_VALUE"""),"&lt;table class=""table table-bordered""&gt;&lt;tbody&gt;&lt;tr&gt;&lt;td&gt;&lt;p&gt;Perhaps the conceptual map has helped you answer the question you created. The rest of the video we watch will help you confirm your thoughts!&lt;/p&gt;&lt;/td&gt;&lt;/tr&gt;&lt;/tbody&gt;&lt;/table&gt;")</f>
        <v/>
      </c>
      <c r="E422" s="7">
        <f>IFERROR(__xludf.DUMMYFUNCTION("""COMPUTED_VALUE"""),"No artifact embedded")</f>
        <v/>
      </c>
      <c r="F422" s="7" t="inlineStr">
        <is>
          <t>Students create concept maps using the Concept Mapper tool, defining relationships between concepts, with optional real-time feedback and collaboration modes.</t>
        </is>
      </c>
      <c r="G422" s="8" t="inlineStr">
        <is>
          <t>1</t>
        </is>
      </c>
      <c r="H422" s="8" t="inlineStr">
        <is>
          <t>0</t>
        </is>
      </c>
      <c r="I422" s="8" t="inlineStr">
        <is>
          <t>0</t>
        </is>
      </c>
      <c r="J422" s="8" t="inlineStr">
        <is>
          <t>0</t>
        </is>
      </c>
      <c r="K422" s="9" t="inlineStr">
        <is>
          <t>1</t>
        </is>
      </c>
      <c r="L422" s="9" t="inlineStr">
        <is>
          <t>0</t>
        </is>
      </c>
      <c r="M422" s="9" t="inlineStr">
        <is>
          <t>0</t>
        </is>
      </c>
      <c r="N422" s="9" t="inlineStr">
        <is>
          <t>0</t>
        </is>
      </c>
      <c r="O422" s="10" t="inlineStr">
        <is>
          <t>0</t>
        </is>
      </c>
      <c r="P422" s="10" t="inlineStr">
        <is>
          <t>0</t>
        </is>
      </c>
      <c r="Q422" s="10" t="inlineStr">
        <is>
          <t>0</t>
        </is>
      </c>
      <c r="R422" s="10" t="inlineStr">
        <is>
          <t>1</t>
        </is>
      </c>
      <c r="S422" s="10" t="inlineStr">
        <is>
          <t>0</t>
        </is>
      </c>
    </row>
    <row r="423" ht="121" customHeight="1">
      <c r="A423" s="6">
        <f>IFERROR(__xludf.DUMMYFUNCTION("""COMPUTED_VALUE"""),"Transcription and translation of DNA")</f>
        <v/>
      </c>
      <c r="B423" s="6">
        <f>IFERROR(__xludf.DUMMYFUNCTION("""COMPUTED_VALUE"""),"Resource")</f>
        <v/>
      </c>
      <c r="C423" s="6">
        <f>IFERROR(__xludf.DUMMYFUNCTION("""COMPUTED_VALUE"""),"What is DNA and How Does it Work? (1)")</f>
        <v/>
      </c>
      <c r="D423" s="7">
        <f>IFERROR(__xludf.DUMMYFUNCTION("""COMPUTED_VALUE"""),"No task description")</f>
        <v/>
      </c>
      <c r="E423" s="7">
        <f>IFERROR(__xludf.DUMMYFUNCTION("""COMPUTED_VALUE"""),"youtube.com: A widely known video-sharing platform where users can watch videos on a vast array of topics, including educational content.")</f>
        <v/>
      </c>
      <c r="F423" s="7" t="inlineStr">
        <is>
          <t>Students use the Concept Mapper tool to create concept maps and receive real-time feedback. Two items have brief instructions, while one has no task description. Embedded artifacts include the Golabz app and YouTube.</t>
        </is>
      </c>
      <c r="G423" s="8" t="inlineStr">
        <is>
          <t>1</t>
        </is>
      </c>
      <c r="H423" s="8" t="inlineStr">
        <is>
          <t>0</t>
        </is>
      </c>
      <c r="I423" s="8" t="inlineStr">
        <is>
          <t>0</t>
        </is>
      </c>
      <c r="J423" s="8" t="inlineStr">
        <is>
          <t>0</t>
        </is>
      </c>
      <c r="K423" s="9" t="inlineStr">
        <is>
          <t>0</t>
        </is>
      </c>
      <c r="L423" s="9" t="inlineStr">
        <is>
          <t>0</t>
        </is>
      </c>
      <c r="M423" s="9" t="inlineStr">
        <is>
          <t>0</t>
        </is>
      </c>
      <c r="N423" s="9" t="inlineStr">
        <is>
          <t>0</t>
        </is>
      </c>
      <c r="O423" s="10" t="inlineStr">
        <is>
          <t>0</t>
        </is>
      </c>
      <c r="P423" s="10" t="inlineStr">
        <is>
          <t>0</t>
        </is>
      </c>
      <c r="Q423" s="10" t="inlineStr">
        <is>
          <t>0</t>
        </is>
      </c>
      <c r="R423" s="10" t="inlineStr">
        <is>
          <t>0</t>
        </is>
      </c>
      <c r="S423" s="10" t="inlineStr">
        <is>
          <t>0</t>
        </is>
      </c>
    </row>
    <row r="424" ht="409.5" customHeight="1">
      <c r="A424" s="6">
        <f>IFERROR(__xludf.DUMMYFUNCTION("""COMPUTED_VALUE"""),"Transcription and translation of DNA")</f>
        <v/>
      </c>
      <c r="B424" s="6">
        <f>IFERROR(__xludf.DUMMYFUNCTION("""COMPUTED_VALUE"""),"Resource")</f>
        <v/>
      </c>
      <c r="C424" s="6">
        <f>IFERROR(__xludf.DUMMYFUNCTION("""COMPUTED_VALUE"""),"Conceptualization 3.graasp")</f>
        <v/>
      </c>
      <c r="D424" s="7">
        <f>IFERROR(__xludf.DUMMYFUNCTION("""COMPUTED_VALUE"""),"&lt;table class=""table table-bordered""&gt;&lt;tbody&gt;&lt;tr&gt;&lt;td&gt;&lt;p&gt;As you may have concluded so far, genetic information is used to direct protein synthesis that takes place in the cell's ribosomes. The sequence of bases in a DNA strand is the code to create a prote"&amp;"in (just like a recipe book contains the recipe for making your favorite food!). The genetic code consists of codons, meaning that every three bases correspond to an amino acid. A gene is a sequence of bases encoding a particular protein.&lt;/p&gt;&lt;/td&gt;&lt;/tr&gt;&lt;/t"&amp;"body&gt;&lt;/table&gt;")</f>
        <v/>
      </c>
      <c r="E424" s="7">
        <f>IFERROR(__xludf.DUMMYFUNCTION("""COMPUTED_VALUE"""),"No artifact embedded")</f>
        <v/>
      </c>
      <c r="F424" s="7" t="inlineStr">
        <is>
          <t>Students received task descriptions and no artifacts were embedded in Items 1 and 3, while Item 2 had no description but mentioned YouTube as an educational resource.</t>
        </is>
      </c>
      <c r="G424" s="8" t="inlineStr">
        <is>
          <t>1</t>
        </is>
      </c>
      <c r="H424" s="8" t="inlineStr">
        <is>
          <t>0</t>
        </is>
      </c>
      <c r="I424" s="8" t="inlineStr">
        <is>
          <t>0</t>
        </is>
      </c>
      <c r="J424" s="8" t="inlineStr">
        <is>
          <t>0</t>
        </is>
      </c>
      <c r="K424" s="9" t="inlineStr">
        <is>
          <t>1</t>
        </is>
      </c>
      <c r="L424" s="9" t="inlineStr">
        <is>
          <t>0</t>
        </is>
      </c>
      <c r="M424" s="9" t="inlineStr">
        <is>
          <t>0</t>
        </is>
      </c>
      <c r="N424" s="9" t="inlineStr">
        <is>
          <t>0</t>
        </is>
      </c>
      <c r="O424" s="10" t="inlineStr">
        <is>
          <t>0</t>
        </is>
      </c>
      <c r="P424" s="10" t="inlineStr">
        <is>
          <t>0</t>
        </is>
      </c>
      <c r="Q424" s="10" t="inlineStr">
        <is>
          <t>0</t>
        </is>
      </c>
      <c r="R424" s="10" t="inlineStr">
        <is>
          <t>1</t>
        </is>
      </c>
      <c r="S424" s="10" t="inlineStr">
        <is>
          <t>0</t>
        </is>
      </c>
    </row>
    <row r="425" ht="395" customHeight="1">
      <c r="A425" s="6">
        <f>IFERROR(__xludf.DUMMYFUNCTION("""COMPUTED_VALUE"""),"Transcription and translation of DNA")</f>
        <v/>
      </c>
      <c r="B425" s="6">
        <f>IFERROR(__xludf.DUMMYFUNCTION("""COMPUTED_VALUE"""),"Resource")</f>
        <v/>
      </c>
      <c r="C425" s="6">
        <f>IFERROR(__xludf.DUMMYFUNCTION("""COMPUTED_VALUE"""),"Conceptualization 4.graasp")</f>
        <v/>
      </c>
      <c r="D425" s="7">
        <f>IFERROR(__xludf.DUMMYFUNCTION("""COMPUTED_VALUE"""),"&lt;p&gt;&lt;br&gt;&lt;/p&gt;&lt;table class=""table table-bordered""&gt;&lt;tbody&gt;&lt;tr&gt;&lt;td&gt;&lt;p&gt;Remember, however, the last question of the video you previously watched and the proverb at the beginning of the phase of Conceptualization. Since DNA is located in the cell's nucleus, how"&amp;" does it control the protein synthesis that takes place in ribosomes?&lt;/p&gt;&lt;p&gt;In the tool below, write down how do you think this happens and then proceed to the next phase of the lesson.&lt;/p&gt;&lt;/td&gt;&lt;/tr&gt;&lt;/tbody&gt;&lt;/table&gt;")</f>
        <v/>
      </c>
      <c r="E425" s="7">
        <f>IFERROR(__xludf.DUMMYFUNCTION("""COMPUTED_VALUE"""),"No artifact embedded")</f>
        <v/>
      </c>
      <c r="F425" s="7" t="inlineStr">
        <is>
          <t>Students received task descriptions about genetic information and protein synthesis, with one item referencing a YouTube video, but no artifacts were embedded in items 2 and 3.</t>
        </is>
      </c>
      <c r="G425" s="8" t="inlineStr">
        <is>
          <t>0</t>
        </is>
      </c>
      <c r="H425" s="8" t="inlineStr">
        <is>
          <t>1</t>
        </is>
      </c>
      <c r="I425" s="8" t="inlineStr">
        <is>
          <t>1</t>
        </is>
      </c>
      <c r="J425" s="8" t="inlineStr">
        <is>
          <t>1</t>
        </is>
      </c>
      <c r="K425" s="9" t="inlineStr">
        <is>
          <t>1</t>
        </is>
      </c>
      <c r="L425" s="9" t="inlineStr">
        <is>
          <t>1</t>
        </is>
      </c>
      <c r="M425" s="9" t="inlineStr">
        <is>
          <t>0</t>
        </is>
      </c>
      <c r="N425" s="9" t="inlineStr">
        <is>
          <t>0</t>
        </is>
      </c>
      <c r="O425" s="10" t="inlineStr">
        <is>
          <t>1</t>
        </is>
      </c>
      <c r="P425" s="10" t="inlineStr">
        <is>
          <t>1</t>
        </is>
      </c>
      <c r="Q425" s="10" t="inlineStr">
        <is>
          <t>1</t>
        </is>
      </c>
      <c r="R425" s="10" t="inlineStr">
        <is>
          <t>0</t>
        </is>
      </c>
      <c r="S425" s="10" t="inlineStr">
        <is>
          <t>0</t>
        </is>
      </c>
    </row>
    <row r="426" ht="329" customHeight="1">
      <c r="A426" s="6">
        <f>IFERROR(__xludf.DUMMYFUNCTION("""COMPUTED_VALUE"""),"Transcription and translation of DNA")</f>
        <v/>
      </c>
      <c r="B426" s="6">
        <f>IFERROR(__xludf.DUMMYFUNCTION("""COMPUTED_VALUE"""),"Application")</f>
        <v/>
      </c>
      <c r="C426" s="6">
        <f>IFERROR(__xludf.DUMMYFUNCTION("""COMPUTED_VALUE"""),"Input Box")</f>
        <v/>
      </c>
      <c r="D426" s="7">
        <f>IFERROR(__xludf.DUMMYFUNCTION("""COMPUTED_VALUE"""),"No task description")</f>
        <v/>
      </c>
      <c r="E4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26" s="7" t="inlineStr">
        <is>
          <t>Students are instructed on genetic information and protein synthesis. Embedded artifacts include a notes-taking app for student input.</t>
        </is>
      </c>
      <c r="G426" s="8" t="inlineStr">
        <is>
          <t>0</t>
        </is>
      </c>
      <c r="H426" s="8" t="inlineStr">
        <is>
          <t>1</t>
        </is>
      </c>
      <c r="I426" s="8" t="inlineStr">
        <is>
          <t>1</t>
        </is>
      </c>
      <c r="J426" s="8" t="inlineStr">
        <is>
          <t>1</t>
        </is>
      </c>
      <c r="K426" s="9" t="inlineStr">
        <is>
          <t>0</t>
        </is>
      </c>
      <c r="L426" s="9" t="inlineStr">
        <is>
          <t>1</t>
        </is>
      </c>
      <c r="M426" s="9" t="inlineStr">
        <is>
          <t>1</t>
        </is>
      </c>
      <c r="N426" s="9" t="inlineStr">
        <is>
          <t>1</t>
        </is>
      </c>
      <c r="O426" s="10" t="inlineStr">
        <is>
          <t>0</t>
        </is>
      </c>
      <c r="P426" s="10" t="inlineStr">
        <is>
          <t>0</t>
        </is>
      </c>
      <c r="Q426" s="10" t="inlineStr">
        <is>
          <t>0</t>
        </is>
      </c>
      <c r="R426" s="10" t="inlineStr">
        <is>
          <t>0</t>
        </is>
      </c>
      <c r="S426" s="10" t="inlineStr">
        <is>
          <t>1</t>
        </is>
      </c>
    </row>
    <row r="427" ht="49" customHeight="1">
      <c r="A427" s="6">
        <f>IFERROR(__xludf.DUMMYFUNCTION("""COMPUTED_VALUE"""),"Transcription and translation of DNA")</f>
        <v/>
      </c>
      <c r="B427" s="6">
        <f>IFERROR(__xludf.DUMMYFUNCTION("""COMPUTED_VALUE"""),"Space")</f>
        <v/>
      </c>
      <c r="C427" s="6">
        <f>IFERROR(__xludf.DUMMYFUNCTION("""COMPUTED_VALUE"""),"Let's experiment!")</f>
        <v/>
      </c>
      <c r="D427" s="7">
        <f>IFERROR(__xludf.DUMMYFUNCTION("""COMPUTED_VALUE"""),"&lt;p&gt;The next phase is the Investigation phase.&lt;/p&gt;")</f>
        <v/>
      </c>
      <c r="E427" s="7">
        <f>IFERROR(__xludf.DUMMYFUNCTION("""COMPUTED_VALUE"""),"No artifact embedded")</f>
        <v/>
      </c>
      <c r="F427" s="7" t="inlineStr">
        <is>
          <t>Students were instructed to describe how DNA controls protein synthesis and proceed to the next lesson phase, with an embedded note-taking app in Item2.</t>
        </is>
      </c>
      <c r="G427" s="8" t="inlineStr">
        <is>
          <t>0</t>
        </is>
      </c>
      <c r="H427" s="8" t="inlineStr">
        <is>
          <t>0</t>
        </is>
      </c>
      <c r="I427" s="8" t="inlineStr">
        <is>
          <t>0</t>
        </is>
      </c>
      <c r="J427" s="8" t="inlineStr">
        <is>
          <t>0</t>
        </is>
      </c>
      <c r="K427" s="9" t="inlineStr">
        <is>
          <t>1</t>
        </is>
      </c>
      <c r="L427" s="9" t="inlineStr">
        <is>
          <t>0</t>
        </is>
      </c>
      <c r="M427" s="9" t="inlineStr">
        <is>
          <t>0</t>
        </is>
      </c>
      <c r="N427" s="9" t="inlineStr">
        <is>
          <t>0</t>
        </is>
      </c>
      <c r="O427" s="10" t="inlineStr">
        <is>
          <t>0</t>
        </is>
      </c>
      <c r="P427" s="10" t="inlineStr">
        <is>
          <t>0</t>
        </is>
      </c>
      <c r="Q427" s="10" t="inlineStr">
        <is>
          <t>1</t>
        </is>
      </c>
      <c r="R427" s="10" t="inlineStr">
        <is>
          <t>0</t>
        </is>
      </c>
      <c r="S427" s="10" t="inlineStr">
        <is>
          <t>0</t>
        </is>
      </c>
    </row>
    <row r="428" ht="384" customHeight="1">
      <c r="A428" s="6">
        <f>IFERROR(__xludf.DUMMYFUNCTION("""COMPUTED_VALUE"""),"Transcription and translation of DNA")</f>
        <v/>
      </c>
      <c r="B428" s="6">
        <f>IFERROR(__xludf.DUMMYFUNCTION("""COMPUTED_VALUE"""),"Resource")</f>
        <v/>
      </c>
      <c r="C428" s="6">
        <f>IFERROR(__xludf.DUMMYFUNCTION("""COMPUTED_VALUE"""),"Investigation .graasp")</f>
        <v/>
      </c>
      <c r="D428" s="7">
        <f>IFERROR(__xludf.DUMMYFUNCTION("""COMPUTED_VALUE"""),"&lt;table class=""table table-bordered""&gt;&lt;tbody&gt;&lt;tr&gt;&lt;td&gt;&lt;p&gt;During the Investigation phase, we will use virtual laboratories to answer the questions we created in the Conceptualization phase. As you can understand, a class does not have the necessary scientif"&amp;"ic equipment for us to be able to perform cell experiments. Thanks to virtual workshops and models however, we can have a taste of how cell processes take place!&lt;/p&gt;&lt;/td&gt;&lt;/tr&gt;&lt;/tbody&gt;&lt;/table&gt;")</f>
        <v/>
      </c>
      <c r="E428" s="7">
        <f>IFERROR(__xludf.DUMMYFUNCTION("""COMPUTED_VALUE"""),"No artifact embedded")</f>
        <v/>
      </c>
      <c r="F428" s="7" t="inlineStr">
        <is>
          <t>Students received task descriptions and accessed embedded artifacts, including the Golabz app/lab for note-taking and collaboration.</t>
        </is>
      </c>
      <c r="G428" s="8" t="inlineStr">
        <is>
          <t>0</t>
        </is>
      </c>
      <c r="H428" s="8" t="inlineStr">
        <is>
          <t>1</t>
        </is>
      </c>
      <c r="I428" s="8" t="inlineStr">
        <is>
          <t>0</t>
        </is>
      </c>
      <c r="J428" s="8" t="inlineStr">
        <is>
          <t>1</t>
        </is>
      </c>
      <c r="K428" s="9" t="inlineStr">
        <is>
          <t>1</t>
        </is>
      </c>
      <c r="L428" s="9" t="inlineStr">
        <is>
          <t>0</t>
        </is>
      </c>
      <c r="M428" s="9" t="inlineStr">
        <is>
          <t>0</t>
        </is>
      </c>
      <c r="N428" s="9" t="inlineStr">
        <is>
          <t>0</t>
        </is>
      </c>
      <c r="O428" s="10" t="inlineStr">
        <is>
          <t>0</t>
        </is>
      </c>
      <c r="P428" s="10" t="inlineStr">
        <is>
          <t>0</t>
        </is>
      </c>
      <c r="Q428" s="10" t="inlineStr">
        <is>
          <t>1</t>
        </is>
      </c>
      <c r="R428" s="10" t="inlineStr">
        <is>
          <t>0</t>
        </is>
      </c>
      <c r="S428" s="10" t="inlineStr">
        <is>
          <t>0</t>
        </is>
      </c>
    </row>
    <row r="429" ht="373" customHeight="1">
      <c r="A429" s="6">
        <f>IFERROR(__xludf.DUMMYFUNCTION("""COMPUTED_VALUE"""),"Transcription and translation of DNA")</f>
        <v/>
      </c>
      <c r="B429" s="6">
        <f>IFERROR(__xludf.DUMMYFUNCTION("""COMPUTED_VALUE"""),"Resource")</f>
        <v/>
      </c>
      <c r="C429" s="6">
        <f>IFERROR(__xludf.DUMMYFUNCTION("""COMPUTED_VALUE"""),"Investigation 1.graasp")</f>
        <v/>
      </c>
      <c r="D429" s="7">
        <f>IFERROR(__xludf.DUMMYFUNCTION("""COMPUTED_VALUE"""),"&lt;table class=""table table-bordered""&gt;&lt;tbody&gt;&lt;tr&gt;&lt;td&gt;&lt;p&gt;The laboratory below depicts two DNA strands in the nucleus of a cell. Press the 'Prepare for transcription' button and then select the correct nitrogenous bases according to the Base Pairing Rule.&lt;/"&amp;"p&gt;&lt;p&gt;Note: The U symbol you find in the lab is the nitrogenous base uracil, which is found in the RNA molecule, which we will talk about later. Uracil pairs with adenine.&lt;/p&gt;&lt;/td&gt;&lt;/tr&gt;&lt;/tbody&gt;&lt;/table&gt;")</f>
        <v/>
      </c>
      <c r="E429" s="7">
        <f>IFERROR(__xludf.DUMMYFUNCTION("""COMPUTED_VALUE"""),"No artifact embedded")</f>
        <v/>
      </c>
      <c r="F429" s="7" t="inlineStr">
        <is>
          <t>Students investigate cell processes using virtual labs and complete a DNA transcription task by selecting correct nitrogenous bases.</t>
        </is>
      </c>
      <c r="G429" s="8" t="inlineStr">
        <is>
          <t>0</t>
        </is>
      </c>
      <c r="H429" s="8" t="inlineStr">
        <is>
          <t>1</t>
        </is>
      </c>
      <c r="I429" s="8" t="inlineStr">
        <is>
          <t>0</t>
        </is>
      </c>
      <c r="J429" s="8" t="inlineStr">
        <is>
          <t>1</t>
        </is>
      </c>
      <c r="K429" s="9" t="inlineStr">
        <is>
          <t>1</t>
        </is>
      </c>
      <c r="L429" s="9" t="inlineStr">
        <is>
          <t>0</t>
        </is>
      </c>
      <c r="M429" s="9" t="inlineStr">
        <is>
          <t>0</t>
        </is>
      </c>
      <c r="N429" s="9" t="inlineStr">
        <is>
          <t>0</t>
        </is>
      </c>
      <c r="O429" s="10" t="inlineStr">
        <is>
          <t>0</t>
        </is>
      </c>
      <c r="P429" s="10" t="inlineStr">
        <is>
          <t>0</t>
        </is>
      </c>
      <c r="Q429" s="10" t="inlineStr">
        <is>
          <t>0</t>
        </is>
      </c>
      <c r="R429" s="10" t="inlineStr">
        <is>
          <t>0</t>
        </is>
      </c>
      <c r="S429" s="10" t="inlineStr">
        <is>
          <t>0</t>
        </is>
      </c>
    </row>
    <row r="430" ht="296" customHeight="1">
      <c r="A430" s="6">
        <f>IFERROR(__xludf.DUMMYFUNCTION("""COMPUTED_VALUE"""),"Transcription and translation of DNA")</f>
        <v/>
      </c>
      <c r="B430" s="6">
        <f>IFERROR(__xludf.DUMMYFUNCTION("""COMPUTED_VALUE"""),"Application")</f>
        <v/>
      </c>
      <c r="C430" s="6">
        <f>IFERROR(__xludf.DUMMYFUNCTION("""COMPUTED_VALUE"""),"Modeling Transcription App")</f>
        <v/>
      </c>
      <c r="D430" s="7">
        <f>IFERROR(__xludf.DUMMYFUNCTION("""COMPUTED_VALUE"""),"No task description")</f>
        <v/>
      </c>
      <c r="E430" s="7">
        <f>IFERROR(__xludf.DUMMYFUNCTION("""COMPUTED_VALUE"""),"Golabz app/lab: ""&lt;p&gt;Explore how an mRNA copy is made of DNA. Protein complexes separate the DNA helix to allow complementary mRNA nucleotides to bind to the DNA sequence. The pairing of nucleotides is very specific.&lt;br /&gt;\r\nThe primary aim of the lab is"&amp;":&lt;br /&gt;\r\n1) To learn about DNA and nucleotides&lt;/p&gt;\r\n\r\n&lt;p&gt;&amp;nbsp;&lt;/p&gt;\r\n""")</f>
        <v/>
      </c>
      <c r="F430" s="7" t="inlineStr">
        <is>
          <t>Students use virtual labs for cell experiments, completing tasks like DNA transcription and exploring mRNA creation, with no embedded artifacts.</t>
        </is>
      </c>
      <c r="G430" s="8" t="inlineStr">
        <is>
          <t>0</t>
        </is>
      </c>
      <c r="H430" s="8" t="inlineStr">
        <is>
          <t>1</t>
        </is>
      </c>
      <c r="I430" s="8" t="inlineStr">
        <is>
          <t>0</t>
        </is>
      </c>
      <c r="J430" s="8" t="inlineStr">
        <is>
          <t>1</t>
        </is>
      </c>
      <c r="K430" s="9" t="inlineStr">
        <is>
          <t>1</t>
        </is>
      </c>
      <c r="L430" s="9" t="inlineStr">
        <is>
          <t>0</t>
        </is>
      </c>
      <c r="M430" s="9" t="inlineStr">
        <is>
          <t>0</t>
        </is>
      </c>
      <c r="N430" s="9" t="inlineStr">
        <is>
          <t>0</t>
        </is>
      </c>
      <c r="O430" s="10" t="inlineStr">
        <is>
          <t>1</t>
        </is>
      </c>
      <c r="P430" s="10" t="inlineStr">
        <is>
          <t>0</t>
        </is>
      </c>
      <c r="Q430" s="10" t="inlineStr">
        <is>
          <t>1</t>
        </is>
      </c>
      <c r="R430" s="10" t="inlineStr">
        <is>
          <t>0</t>
        </is>
      </c>
      <c r="S430" s="10" t="inlineStr">
        <is>
          <t>0</t>
        </is>
      </c>
    </row>
    <row r="431" ht="395" customHeight="1">
      <c r="A431" s="6">
        <f>IFERROR(__xludf.DUMMYFUNCTION("""COMPUTED_VALUE"""),"Transcription and translation of DNA")</f>
        <v/>
      </c>
      <c r="B431" s="6">
        <f>IFERROR(__xludf.DUMMYFUNCTION("""COMPUTED_VALUE"""),"Application")</f>
        <v/>
      </c>
      <c r="C431" s="6">
        <f>IFERROR(__xludf.DUMMYFUNCTION("""COMPUTED_VALUE"""),"Observation Tool")</f>
        <v/>
      </c>
      <c r="D431" s="7">
        <f>IFERROR(__xludf.DUMMYFUNCTION("""COMPUTED_VALUE"""),"&lt;p&gt;What do you observe? Write down your observations in the following tool by pressing +. You can create as many comments as you like.&lt;/p&gt;")</f>
        <v/>
      </c>
      <c r="E431"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431" s="7" t="inlineStr">
        <is>
          <t>Students are instructed to prepare DNA for transcription and select correct nitrogenous bases. Embedded artifacts include Golabz labs for exploring mRNA and an observation tool.</t>
        </is>
      </c>
      <c r="G431" s="8" t="inlineStr">
        <is>
          <t>0</t>
        </is>
      </c>
      <c r="H431" s="8" t="inlineStr">
        <is>
          <t>1</t>
        </is>
      </c>
      <c r="I431" s="8" t="inlineStr">
        <is>
          <t>1</t>
        </is>
      </c>
      <c r="J431" s="8" t="inlineStr">
        <is>
          <t>1</t>
        </is>
      </c>
      <c r="K431" s="9" t="inlineStr">
        <is>
          <t>1</t>
        </is>
      </c>
      <c r="L431" s="9" t="inlineStr">
        <is>
          <t>1</t>
        </is>
      </c>
      <c r="M431" s="9" t="inlineStr">
        <is>
          <t>1</t>
        </is>
      </c>
      <c r="N431" s="9" t="inlineStr">
        <is>
          <t>1</t>
        </is>
      </c>
      <c r="O431" s="10" t="inlineStr">
        <is>
          <t>1</t>
        </is>
      </c>
      <c r="P431" s="10" t="inlineStr">
        <is>
          <t>1</t>
        </is>
      </c>
      <c r="Q431" s="10" t="inlineStr">
        <is>
          <t>1</t>
        </is>
      </c>
      <c r="R431" s="10" t="inlineStr">
        <is>
          <t>1</t>
        </is>
      </c>
      <c r="S431" s="10" t="inlineStr">
        <is>
          <t>1</t>
        </is>
      </c>
    </row>
    <row r="432" ht="409.5" customHeight="1">
      <c r="A432" s="6">
        <f>IFERROR(__xludf.DUMMYFUNCTION("""COMPUTED_VALUE"""),"Transcription and translation of DNA")</f>
        <v/>
      </c>
      <c r="B432" s="6">
        <f>IFERROR(__xludf.DUMMYFUNCTION("""COMPUTED_VALUE"""),"Resource")</f>
        <v/>
      </c>
      <c r="C432" s="6">
        <f>IFERROR(__xludf.DUMMYFUNCTION("""COMPUTED_VALUE"""),"Investigation 2.graasp")</f>
        <v/>
      </c>
      <c r="D432" s="7">
        <f>IFERROR(__xludf.DUMMYFUNCTION("""COMPUTED_VALUE"""),"&lt;table class=""table table-bordered""&gt;&lt;tbody&gt;&lt;tr&gt;&lt;td&gt;&lt;p&gt;The process you watched at the virtual lab is called transcription of DNA. During transcription, one of the two strands of DNA is used as a mold for the formation of a new single-stranded molecule, c"&amp;"alled a messenger or mRNA. RNA (ribonucleic acid) is a DNA-like nucleic acid but with some differences in its structure and role. The table below shows the main structural differences. Fill in what is missing.&lt;/p&gt;&lt;/td&gt;&lt;/tr&gt;&lt;/tbody&gt;&lt;/table&gt;")</f>
        <v/>
      </c>
      <c r="E432" s="7">
        <f>IFERROR(__xludf.DUMMYFUNCTION("""COMPUTED_VALUE"""),"No artifact embedded")</f>
        <v/>
      </c>
      <c r="F432" s="7" t="inlineStr">
        <is>
          <t>Students explore DNA transcription, record observations, and fill in tables to learn about DNA and nucleotides using Golabz app/labs.</t>
        </is>
      </c>
      <c r="G432" s="8" t="inlineStr">
        <is>
          <t>0</t>
        </is>
      </c>
      <c r="H432" s="8" t="inlineStr">
        <is>
          <t>0</t>
        </is>
      </c>
      <c r="I432" s="8" t="inlineStr">
        <is>
          <t>0</t>
        </is>
      </c>
      <c r="J432" s="8" t="inlineStr">
        <is>
          <t>0</t>
        </is>
      </c>
      <c r="K432" s="9" t="inlineStr">
        <is>
          <t>1</t>
        </is>
      </c>
      <c r="L432" s="9" t="inlineStr">
        <is>
          <t>0</t>
        </is>
      </c>
      <c r="M432" s="9" t="inlineStr">
        <is>
          <t>0</t>
        </is>
      </c>
      <c r="N432" s="9" t="inlineStr">
        <is>
          <t>0</t>
        </is>
      </c>
      <c r="O432" s="10" t="inlineStr">
        <is>
          <t>0</t>
        </is>
      </c>
      <c r="P432" s="10" t="inlineStr">
        <is>
          <t>0</t>
        </is>
      </c>
      <c r="Q432" s="10" t="inlineStr">
        <is>
          <t>0</t>
        </is>
      </c>
      <c r="R432" s="10" t="inlineStr">
        <is>
          <t>0</t>
        </is>
      </c>
      <c r="S432" s="10" t="inlineStr">
        <is>
          <t>0</t>
        </is>
      </c>
    </row>
    <row r="433" ht="409.5" customHeight="1">
      <c r="A433" s="6">
        <f>IFERROR(__xludf.DUMMYFUNCTION("""COMPUTED_VALUE"""),"Transcription and translation of DNA")</f>
        <v/>
      </c>
      <c r="B433" s="6">
        <f>IFERROR(__xludf.DUMMYFUNCTION("""COMPUTED_VALUE"""),"Application")</f>
        <v/>
      </c>
      <c r="C433" s="6">
        <f>IFERROR(__xludf.DUMMYFUNCTION("""COMPUTED_VALUE"""),"Table Tool")</f>
        <v/>
      </c>
      <c r="D433" s="7">
        <f>IFERROR(__xludf.DUMMYFUNCTION("""COMPUTED_VALUE"""),"No task description")</f>
        <v/>
      </c>
      <c r="E43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33" s="7" t="inlineStr">
        <is>
          <t>Students observe and record findings using tools, fill tables with data, and analyze experiments, with optional collaboration mode.</t>
        </is>
      </c>
      <c r="G433" s="8" t="inlineStr">
        <is>
          <t>0</t>
        </is>
      </c>
      <c r="H433" s="8" t="inlineStr">
        <is>
          <t>1</t>
        </is>
      </c>
      <c r="I433" s="8" t="inlineStr">
        <is>
          <t>1</t>
        </is>
      </c>
      <c r="J433" s="8" t="inlineStr">
        <is>
          <t>1</t>
        </is>
      </c>
      <c r="K433" s="9" t="inlineStr">
        <is>
          <t>0</t>
        </is>
      </c>
      <c r="L433" s="9" t="inlineStr">
        <is>
          <t>1</t>
        </is>
      </c>
      <c r="M433" s="9" t="inlineStr">
        <is>
          <t>1</t>
        </is>
      </c>
      <c r="N433" s="9" t="inlineStr">
        <is>
          <t>1</t>
        </is>
      </c>
      <c r="O433" s="10" t="inlineStr">
        <is>
          <t>0</t>
        </is>
      </c>
      <c r="P433" s="10" t="inlineStr">
        <is>
          <t>0</t>
        </is>
      </c>
      <c r="Q433" s="10" t="inlineStr">
        <is>
          <t>0</t>
        </is>
      </c>
      <c r="R433" s="10" t="inlineStr">
        <is>
          <t>0</t>
        </is>
      </c>
      <c r="S433" s="10" t="inlineStr">
        <is>
          <t>0</t>
        </is>
      </c>
    </row>
    <row r="434" ht="285" customHeight="1">
      <c r="A434" s="6">
        <f>IFERROR(__xludf.DUMMYFUNCTION("""COMPUTED_VALUE"""),"Transcription and translation of DNA")</f>
        <v/>
      </c>
      <c r="B434" s="6">
        <f>IFERROR(__xludf.DUMMYFUNCTION("""COMPUTED_VALUE"""),"Resource")</f>
        <v/>
      </c>
      <c r="C434" s="6">
        <f>IFERROR(__xludf.DUMMYFUNCTION("""COMPUTED_VALUE"""),"Investigation 3.graasp")</f>
        <v/>
      </c>
      <c r="D434" s="7">
        <f>IFERROR(__xludf.DUMMYFUNCTION("""COMPUTED_VALUE"""),"&lt;table class=""table table-bordered""&gt;&lt;tbody&gt;&lt;tr&gt;&lt;td&gt;&lt;p&gt;Once created, the mRNA molecules move from the nucleus to the cytoplasm and carry the 'message' for protein synthesis to the ribosomes.&lt;/p&gt;&lt;p&gt;In the virtual lab that follows, click the 'Translate' bu"&amp;"tton to carefully follow up the process.&lt;/p&gt;&lt;/td&gt;&lt;/tr&gt;&lt;/tbody&gt;&lt;/table&gt;")</f>
        <v/>
      </c>
      <c r="E434" s="7">
        <f>IFERROR(__xludf.DUMMYFUNCTION("""COMPUTED_VALUE"""),"No artifact embedded")</f>
        <v/>
      </c>
      <c r="F434" s="7" t="inlineStr">
        <is>
          <t>Students fill in a table on DNA transcription. Embedded artifacts include the Golabz app/lab with a table tool for data entry and visualization.</t>
        </is>
      </c>
      <c r="G434" s="8" t="inlineStr">
        <is>
          <t>0</t>
        </is>
      </c>
      <c r="H434" s="8" t="inlineStr">
        <is>
          <t>1</t>
        </is>
      </c>
      <c r="I434" s="8" t="inlineStr">
        <is>
          <t>0</t>
        </is>
      </c>
      <c r="J434" s="8" t="inlineStr">
        <is>
          <t>1</t>
        </is>
      </c>
      <c r="K434" s="9" t="inlineStr">
        <is>
          <t>1</t>
        </is>
      </c>
      <c r="L434" s="9" t="inlineStr">
        <is>
          <t>0</t>
        </is>
      </c>
      <c r="M434" s="9" t="inlineStr">
        <is>
          <t>0</t>
        </is>
      </c>
      <c r="N434" s="9" t="inlineStr">
        <is>
          <t>0</t>
        </is>
      </c>
      <c r="O434" s="10" t="inlineStr">
        <is>
          <t>0</t>
        </is>
      </c>
      <c r="P434" s="10" t="inlineStr">
        <is>
          <t>0</t>
        </is>
      </c>
      <c r="Q434" s="10" t="inlineStr">
        <is>
          <t>0</t>
        </is>
      </c>
      <c r="R434" s="10" t="inlineStr">
        <is>
          <t>0</t>
        </is>
      </c>
      <c r="S434" s="10" t="inlineStr">
        <is>
          <t>0</t>
        </is>
      </c>
    </row>
    <row r="435" ht="409.5" customHeight="1">
      <c r="A435" s="6">
        <f>IFERROR(__xludf.DUMMYFUNCTION("""COMPUTED_VALUE"""),"Transcription and translation of DNA")</f>
        <v/>
      </c>
      <c r="B435" s="6">
        <f>IFERROR(__xludf.DUMMYFUNCTION("""COMPUTED_VALUE"""),"Application")</f>
        <v/>
      </c>
      <c r="C435" s="6">
        <f>IFERROR(__xludf.DUMMYFUNCTION("""COMPUTED_VALUE"""),"Modeling Translation App")</f>
        <v/>
      </c>
      <c r="D435" s="7">
        <f>IFERROR(__xludf.DUMMYFUNCTION("""COMPUTED_VALUE"""),"No task description")</f>
        <v/>
      </c>
      <c r="E435" s="7">
        <f>IFERROR(__xludf.DUMMYFUNCTION("""COMPUTED_VALUE"""),"Golabz app/lab: ""&lt;p&gt;Explore how a protein is made from an mRNA sequence. In translation, the mRNA leaves the nucleus and attaches to a ribosome. Transfer RNA (tRNA) molecules bring amino acids to the ribosome. The tRNA pairs up with the mRNA nucleotide s"&amp;"equence in a specific complementary manner, ensuring the correct amino acid sequence in the protein.&lt;br /&gt;\r\nThe primary aim of the lab is:&lt;br /&gt;\r\n1) To learn about DNA, ribosomes and amino acids&lt;/p&gt;\r\n""")</f>
        <v/>
      </c>
      <c r="F435" s="7" t="inlineStr">
        <is>
          <t>Students use Golabz app/lab to learn about protein synthesis and fill tables with data. Item2 involves a virtual lab simulation of translation process.</t>
        </is>
      </c>
      <c r="G435" s="8" t="inlineStr">
        <is>
          <t>1</t>
        </is>
      </c>
      <c r="H435" s="8" t="inlineStr">
        <is>
          <t>1</t>
        </is>
      </c>
      <c r="I435" s="8" t="inlineStr">
        <is>
          <t>0</t>
        </is>
      </c>
      <c r="J435" s="8" t="inlineStr">
        <is>
          <t>1</t>
        </is>
      </c>
      <c r="K435" s="9" t="inlineStr">
        <is>
          <t>1</t>
        </is>
      </c>
      <c r="L435" s="9" t="inlineStr">
        <is>
          <t>0</t>
        </is>
      </c>
      <c r="M435" s="9" t="inlineStr">
        <is>
          <t>0</t>
        </is>
      </c>
      <c r="N435" s="9" t="inlineStr">
        <is>
          <t>0</t>
        </is>
      </c>
      <c r="O435" s="10" t="inlineStr">
        <is>
          <t>1</t>
        </is>
      </c>
      <c r="P435" s="10" t="inlineStr">
        <is>
          <t>0</t>
        </is>
      </c>
      <c r="Q435" s="10" t="inlineStr">
        <is>
          <t>1</t>
        </is>
      </c>
      <c r="R435" s="10" t="inlineStr">
        <is>
          <t>0</t>
        </is>
      </c>
      <c r="S435" s="10" t="inlineStr">
        <is>
          <t>0</t>
        </is>
      </c>
    </row>
    <row r="436" ht="329" customHeight="1">
      <c r="A436" s="6">
        <f>IFERROR(__xludf.DUMMYFUNCTION("""COMPUTED_VALUE"""),"Transcription and translation of DNA")</f>
        <v/>
      </c>
      <c r="B436" s="6">
        <f>IFERROR(__xludf.DUMMYFUNCTION("""COMPUTED_VALUE"""),"Application")</f>
        <v/>
      </c>
      <c r="C436" s="6">
        <f>IFERROR(__xludf.DUMMYFUNCTION("""COMPUTED_VALUE"""),"Input Box")</f>
        <v/>
      </c>
      <c r="D436" s="7">
        <f>IFERROR(__xludf.DUMMYFUNCTION("""COMPUTED_VALUE"""),"&lt;p&gt;What is the end result of the procedure?&lt;/p&gt;")</f>
        <v/>
      </c>
      <c r="E4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36" s="7" t="inlineStr">
        <is>
          <t>Students are instructed to learn about protein synthesis and complete tasks using virtual labs and apps, with embedded artifacts including Golabz lab and input box app.</t>
        </is>
      </c>
      <c r="G436" s="8" t="inlineStr">
        <is>
          <t>0</t>
        </is>
      </c>
      <c r="H436" s="8" t="inlineStr">
        <is>
          <t>1</t>
        </is>
      </c>
      <c r="I436" s="8" t="inlineStr">
        <is>
          <t>1</t>
        </is>
      </c>
      <c r="J436" s="8" t="inlineStr">
        <is>
          <t>1</t>
        </is>
      </c>
      <c r="K436" s="9" t="inlineStr">
        <is>
          <t>1</t>
        </is>
      </c>
      <c r="L436" s="9" t="inlineStr">
        <is>
          <t>1</t>
        </is>
      </c>
      <c r="M436" s="9" t="inlineStr">
        <is>
          <t>1</t>
        </is>
      </c>
      <c r="N436" s="9" t="inlineStr">
        <is>
          <t>1</t>
        </is>
      </c>
      <c r="O436" s="10" t="inlineStr">
        <is>
          <t>0</t>
        </is>
      </c>
      <c r="P436" s="10" t="inlineStr">
        <is>
          <t>0</t>
        </is>
      </c>
      <c r="Q436" s="10" t="inlineStr">
        <is>
          <t>0</t>
        </is>
      </c>
      <c r="R436" s="10" t="inlineStr">
        <is>
          <t>0</t>
        </is>
      </c>
      <c r="S436" s="10" t="inlineStr">
        <is>
          <t>0</t>
        </is>
      </c>
    </row>
    <row r="437" ht="409.5" customHeight="1">
      <c r="A437" s="6">
        <f>IFERROR(__xludf.DUMMYFUNCTION("""COMPUTED_VALUE"""),"Transcription and translation of DNA")</f>
        <v/>
      </c>
      <c r="B437" s="6">
        <f>IFERROR(__xludf.DUMMYFUNCTION("""COMPUTED_VALUE"""),"Resource")</f>
        <v/>
      </c>
      <c r="C437" s="6">
        <f>IFERROR(__xludf.DUMMYFUNCTION("""COMPUTED_VALUE"""),"Investigation 4.graasp")</f>
        <v/>
      </c>
      <c r="D437" s="7">
        <f>IFERROR(__xludf.DUMMYFUNCTION("""COMPUTED_VALUE"""),"&lt;p&gt;&lt;br&gt;&lt;/p&gt;&lt;table class=""table table-bordered""&gt;&lt;tbody&gt;&lt;tr&gt;&lt;td&gt;&lt;p&gt;The process you watched in the second virtual lab is called the translation of DNA, during which the nucleotide codons are 'translated' into amino acids. The molecules depicted in green in"&amp;" the lab are called transfer RNA or tRNA. Each tRNA molecule transfers an amino acid to the ribosome, while at its other end there is an anti-codon recognized by the complementary codon of the mRNA. In this way the tRNAs bring the appropriate amino acids "&amp;"to the ribosome, where they are bonded to form proteins with a specific amino acid sequence.&lt;/p&gt;&lt;p&gt;Another type of RNA molecules are the ribosomal RNAs or rRNAs, which bind to specific proteins and form ribosomes.&lt;/p&gt;&lt;p&gt;You are now ready to proceed to the"&amp;" next phase of the course.&lt;/p&gt;&lt;/td&gt;&lt;/tr&gt;&lt;/tbody&gt;&lt;/table&gt;")</f>
        <v/>
      </c>
      <c r="E437" s="7">
        <f>IFERROR(__xludf.DUMMYFUNCTION("""COMPUTED_VALUE"""),"No artifact embedded")</f>
        <v/>
      </c>
      <c r="F437" s="7" t="inlineStr">
        <is>
          <t>Students learn about DNA, translation, and protein synthesis using Golabz app/lab and take notes in an input box.</t>
        </is>
      </c>
      <c r="G437" s="8" t="inlineStr">
        <is>
          <t>1</t>
        </is>
      </c>
      <c r="H437" s="8" t="inlineStr">
        <is>
          <t>0</t>
        </is>
      </c>
      <c r="I437" s="8" t="inlineStr">
        <is>
          <t>0</t>
        </is>
      </c>
      <c r="J437" s="8" t="inlineStr">
        <is>
          <t>0</t>
        </is>
      </c>
      <c r="K437" s="9" t="inlineStr">
        <is>
          <t>0</t>
        </is>
      </c>
      <c r="L437" s="9" t="inlineStr">
        <is>
          <t>0</t>
        </is>
      </c>
      <c r="M437" s="9" t="inlineStr">
        <is>
          <t>0</t>
        </is>
      </c>
      <c r="N437" s="9" t="inlineStr">
        <is>
          <t>0</t>
        </is>
      </c>
      <c r="O437" s="10" t="inlineStr">
        <is>
          <t>0</t>
        </is>
      </c>
      <c r="P437" s="10" t="inlineStr">
        <is>
          <t>0</t>
        </is>
      </c>
      <c r="Q437" s="10" t="inlineStr">
        <is>
          <t>0</t>
        </is>
      </c>
      <c r="R437" s="10" t="inlineStr">
        <is>
          <t>0</t>
        </is>
      </c>
      <c r="S437" s="10" t="inlineStr">
        <is>
          <t>0</t>
        </is>
      </c>
    </row>
    <row r="438" ht="37" customHeight="1">
      <c r="A438" s="6">
        <f>IFERROR(__xludf.DUMMYFUNCTION("""COMPUTED_VALUE"""),"Transcription and translation of DNA")</f>
        <v/>
      </c>
      <c r="B438" s="6">
        <f>IFERROR(__xludf.DUMMYFUNCTION("""COMPUTED_VALUE"""),"Space")</f>
        <v/>
      </c>
      <c r="C438" s="6">
        <f>IFERROR(__xludf.DUMMYFUNCTION("""COMPUTED_VALUE"""),"What have you learned today?")</f>
        <v/>
      </c>
      <c r="D438" s="7">
        <f>IFERROR(__xludf.DUMMYFUNCTION("""COMPUTED_VALUE"""),"&lt;p&gt;Welcome to the Conclusion phase.&lt;/p&gt;")</f>
        <v/>
      </c>
      <c r="E438" s="7">
        <f>IFERROR(__xludf.DUMMYFUNCTION("""COMPUTED_VALUE"""),"No artifact embedded")</f>
        <v/>
      </c>
      <c r="F438" s="7" t="inlineStr">
        <is>
          <t>Students received task descriptions with some items having embedded artifacts, such as the Golabz app/lab for note-taking and collaboration.</t>
        </is>
      </c>
      <c r="G438" s="8" t="inlineStr">
        <is>
          <t>1</t>
        </is>
      </c>
      <c r="H438" s="8" t="inlineStr">
        <is>
          <t>0</t>
        </is>
      </c>
      <c r="I438" s="8" t="inlineStr">
        <is>
          <t>0</t>
        </is>
      </c>
      <c r="J438" s="8" t="inlineStr">
        <is>
          <t>0</t>
        </is>
      </c>
      <c r="K438" s="9" t="inlineStr">
        <is>
          <t>1</t>
        </is>
      </c>
      <c r="L438" s="9" t="inlineStr">
        <is>
          <t>0</t>
        </is>
      </c>
      <c r="M438" s="9" t="inlineStr">
        <is>
          <t>0</t>
        </is>
      </c>
      <c r="N438" s="9" t="inlineStr">
        <is>
          <t>0</t>
        </is>
      </c>
      <c r="O438" s="10" t="inlineStr">
        <is>
          <t>0</t>
        </is>
      </c>
      <c r="P438" s="10" t="inlineStr">
        <is>
          <t>0</t>
        </is>
      </c>
      <c r="Q438" s="10" t="inlineStr">
        <is>
          <t>0</t>
        </is>
      </c>
      <c r="R438" s="10" t="inlineStr">
        <is>
          <t>1</t>
        </is>
      </c>
      <c r="S438" s="10" t="inlineStr">
        <is>
          <t>0</t>
        </is>
      </c>
    </row>
    <row r="439" ht="373" customHeight="1">
      <c r="A439" s="6">
        <f>IFERROR(__xludf.DUMMYFUNCTION("""COMPUTED_VALUE"""),"Transcription and translation of DNA")</f>
        <v/>
      </c>
      <c r="B439" s="6">
        <f>IFERROR(__xludf.DUMMYFUNCTION("""COMPUTED_VALUE"""),"Resource")</f>
        <v/>
      </c>
      <c r="C439" s="6">
        <f>IFERROR(__xludf.DUMMYFUNCTION("""COMPUTED_VALUE"""),"Conclusion.graasp")</f>
        <v/>
      </c>
      <c r="D439" s="7">
        <f>IFERROR(__xludf.DUMMYFUNCTION("""COMPUTED_VALUE"""),"&lt;table class=""table table-bordered""&gt;&lt;tbody&gt;&lt;tr&gt;&lt;td&gt;&lt;p&gt;What have you learned today? What conclusions have you reached using the virtual laboratories?&lt;br&gt;In the Conclusion Tool that follows you can see the research question you raised in the Conceptualiza"&amp;"tion phase. Write the observations you made in the Investigation phase and briefly outline what you learned today about the DNA transcription and translation.&lt;/p&gt;&lt;/td&gt;&lt;/tr&gt;&lt;/tbody&gt;&lt;/table&gt;")</f>
        <v/>
      </c>
      <c r="E439" s="7">
        <f>IFERROR(__xludf.DUMMYFUNCTION("""COMPUTED_VALUE"""),"No artifact embedded")</f>
        <v/>
      </c>
      <c r="F439" s="7" t="inlineStr">
        <is>
          <t>Students watched a virtual lab on DNA translation, learned about tRNA and rRNA, and are now asked to reflect on their learnings and write conclusions. No artifacts are embedded.</t>
        </is>
      </c>
      <c r="G439" s="8" t="inlineStr">
        <is>
          <t>0</t>
        </is>
      </c>
      <c r="H439" s="8" t="inlineStr">
        <is>
          <t>0</t>
        </is>
      </c>
      <c r="I439" s="8" t="inlineStr">
        <is>
          <t>1</t>
        </is>
      </c>
      <c r="J439" s="8" t="inlineStr">
        <is>
          <t>0</t>
        </is>
      </c>
      <c r="K439" s="9" t="inlineStr">
        <is>
          <t>1</t>
        </is>
      </c>
      <c r="L439" s="9" t="inlineStr">
        <is>
          <t>1</t>
        </is>
      </c>
      <c r="M439" s="9" t="inlineStr">
        <is>
          <t>0</t>
        </is>
      </c>
      <c r="N439" s="9" t="inlineStr">
        <is>
          <t>0</t>
        </is>
      </c>
      <c r="O439" s="10" t="inlineStr">
        <is>
          <t>0</t>
        </is>
      </c>
      <c r="P439" s="10" t="inlineStr">
        <is>
          <t>1</t>
        </is>
      </c>
      <c r="Q439" s="10" t="inlineStr">
        <is>
          <t>1</t>
        </is>
      </c>
      <c r="R439" s="10" t="inlineStr">
        <is>
          <t>1</t>
        </is>
      </c>
      <c r="S439" s="10" t="inlineStr">
        <is>
          <t>1</t>
        </is>
      </c>
    </row>
    <row r="440" ht="409.5" customHeight="1">
      <c r="A440" s="6">
        <f>IFERROR(__xludf.DUMMYFUNCTION("""COMPUTED_VALUE"""),"Transcription and translation of DNA")</f>
        <v/>
      </c>
      <c r="B440" s="6">
        <f>IFERROR(__xludf.DUMMYFUNCTION("""COMPUTED_VALUE"""),"Application")</f>
        <v/>
      </c>
      <c r="C440" s="6">
        <f>IFERROR(__xludf.DUMMYFUNCTION("""COMPUTED_VALUE"""),"Conclusion Tool")</f>
        <v/>
      </c>
      <c r="D440" s="7">
        <f>IFERROR(__xludf.DUMMYFUNCTION("""COMPUTED_VALUE"""),"No task description")</f>
        <v/>
      </c>
      <c r="E44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440" s="7" t="inlineStr">
        <is>
          <t>Students are instructed to write conclusions based on virtual lab observations. Embedded artifacts include Golabz app/lab for data analysis and hypothesis validation.</t>
        </is>
      </c>
      <c r="G440" s="8" t="inlineStr">
        <is>
          <t>0</t>
        </is>
      </c>
      <c r="H440" s="8" t="inlineStr">
        <is>
          <t>1</t>
        </is>
      </c>
      <c r="I440" s="8" t="inlineStr">
        <is>
          <t>1</t>
        </is>
      </c>
      <c r="J440" s="8" t="inlineStr">
        <is>
          <t>1</t>
        </is>
      </c>
      <c r="K440" s="9" t="inlineStr">
        <is>
          <t>0</t>
        </is>
      </c>
      <c r="L440" s="9" t="inlineStr">
        <is>
          <t>0</t>
        </is>
      </c>
      <c r="M440" s="9" t="inlineStr">
        <is>
          <t>0</t>
        </is>
      </c>
      <c r="N440" s="9" t="inlineStr">
        <is>
          <t>0</t>
        </is>
      </c>
      <c r="O440" s="10" t="inlineStr">
        <is>
          <t>0</t>
        </is>
      </c>
      <c r="P440" s="10" t="inlineStr">
        <is>
          <t>1</t>
        </is>
      </c>
      <c r="Q440" s="10" t="inlineStr">
        <is>
          <t>1</t>
        </is>
      </c>
      <c r="R440" s="10" t="inlineStr">
        <is>
          <t>1</t>
        </is>
      </c>
      <c r="S440" s="10" t="inlineStr">
        <is>
          <t>0</t>
        </is>
      </c>
    </row>
    <row r="441" ht="217" customHeight="1">
      <c r="A441" s="6">
        <f>IFERROR(__xludf.DUMMYFUNCTION("""COMPUTED_VALUE"""),"Transcription and translation of DNA")</f>
        <v/>
      </c>
      <c r="B441" s="6">
        <f>IFERROR(__xludf.DUMMYFUNCTION("""COMPUTED_VALUE"""),"Resource")</f>
        <v/>
      </c>
      <c r="C441" s="6">
        <f>IFERROR(__xludf.DUMMYFUNCTION("""COMPUTED_VALUE"""),"Conclusion1.graasp")</f>
        <v/>
      </c>
      <c r="D441" s="7">
        <f>IFERROR(__xludf.DUMMYFUNCTION("""COMPUTED_VALUE"""),"&lt;table class=""table table-bordered""&gt;&lt;tbody&gt;&lt;tr&gt;&lt;td&gt;&lt;p&gt;Now that the course has been completed, answer the following questions based on what you already know and what you have learned today.&lt;/p&gt;&lt;/td&gt;&lt;/tr&gt;&lt;/tbody&gt;&lt;/table&gt;")</f>
        <v/>
      </c>
      <c r="E441" s="7">
        <f>IFERROR(__xludf.DUMMYFUNCTION("""COMPUTED_VALUE"""),"No artifact embedded")</f>
        <v/>
      </c>
      <c r="F441" s="7" t="inlineStr">
        <is>
          <t>Students reflect on DNA transcription/translation learning using virtual labs, with some tasks having embedded artifacts like Golabz app/lab for hypothesis validation.</t>
        </is>
      </c>
      <c r="G441" s="8" t="inlineStr">
        <is>
          <t>0</t>
        </is>
      </c>
      <c r="H441" s="8" t="inlineStr">
        <is>
          <t>0</t>
        </is>
      </c>
      <c r="I441" s="8" t="inlineStr">
        <is>
          <t>0</t>
        </is>
      </c>
      <c r="J441" s="8" t="inlineStr">
        <is>
          <t>0</t>
        </is>
      </c>
      <c r="K441" s="9" t="inlineStr">
        <is>
          <t>1</t>
        </is>
      </c>
      <c r="L441" s="9" t="inlineStr">
        <is>
          <t>1</t>
        </is>
      </c>
      <c r="M441" s="9" t="inlineStr">
        <is>
          <t>0</t>
        </is>
      </c>
      <c r="N441" s="9" t="inlineStr">
        <is>
          <t>0</t>
        </is>
      </c>
      <c r="O441" s="10" t="inlineStr">
        <is>
          <t>0</t>
        </is>
      </c>
      <c r="P441" s="10" t="inlineStr">
        <is>
          <t>0</t>
        </is>
      </c>
      <c r="Q441" s="10" t="inlineStr">
        <is>
          <t>0</t>
        </is>
      </c>
      <c r="R441" s="10" t="inlineStr">
        <is>
          <t>1</t>
        </is>
      </c>
      <c r="S441" s="10" t="inlineStr">
        <is>
          <t>1</t>
        </is>
      </c>
    </row>
    <row r="442" ht="145" customHeight="1">
      <c r="A442" s="6">
        <f>IFERROR(__xludf.DUMMYFUNCTION("""COMPUTED_VALUE"""),"Transcription and translation of DNA")</f>
        <v/>
      </c>
      <c r="B442" s="6">
        <f>IFERROR(__xludf.DUMMYFUNCTION("""COMPUTED_VALUE"""),"Resource")</f>
        <v/>
      </c>
      <c r="C442" s="6">
        <f>IFERROR(__xludf.DUMMYFUNCTION("""COMPUTED_VALUE"""),"Untitled.png")</f>
        <v/>
      </c>
      <c r="D442" s="7">
        <f>IFERROR(__xludf.DUMMYFUNCTION("""COMPUTED_VALUE"""),"&lt;p&gt;1. The process we learned about today is also known as the 'Central Dogma of Molecular Biology'. Fill in the missing words 1 and 2 in the table below.&lt;/p&gt;")</f>
        <v/>
      </c>
      <c r="E442" s="7">
        <f>IFERROR(__xludf.DUMMYFUNCTION("""COMPUTED_VALUE"""),"image/png – A high-quality image with support for transparency, often used in design and web applications.")</f>
        <v/>
      </c>
      <c r="F442" s="7" t="inlineStr">
        <is>
          <t>Students received tasks with varying instructions and embedded artifacts, including an app, questions, and an image.</t>
        </is>
      </c>
      <c r="G442" s="8" t="inlineStr">
        <is>
          <t>0</t>
        </is>
      </c>
      <c r="H442" s="8" t="inlineStr">
        <is>
          <t>0</t>
        </is>
      </c>
      <c r="I442" s="8" t="inlineStr">
        <is>
          <t>0</t>
        </is>
      </c>
      <c r="J442" s="8" t="inlineStr">
        <is>
          <t>0</t>
        </is>
      </c>
      <c r="K442" s="9" t="inlineStr">
        <is>
          <t>1</t>
        </is>
      </c>
      <c r="L442" s="9" t="inlineStr">
        <is>
          <t>1</t>
        </is>
      </c>
      <c r="M442" s="9" t="inlineStr">
        <is>
          <t>0</t>
        </is>
      </c>
      <c r="N442" s="9" t="inlineStr">
        <is>
          <t>0</t>
        </is>
      </c>
      <c r="O442" s="10" t="inlineStr">
        <is>
          <t>0</t>
        </is>
      </c>
      <c r="P442" s="10" t="inlineStr">
        <is>
          <t>0</t>
        </is>
      </c>
      <c r="Q442" s="10" t="inlineStr">
        <is>
          <t>0</t>
        </is>
      </c>
      <c r="R442" s="10" t="inlineStr">
        <is>
          <t>0</t>
        </is>
      </c>
      <c r="S442" s="10" t="inlineStr">
        <is>
          <t>0</t>
        </is>
      </c>
    </row>
    <row r="443" ht="409.5" customHeight="1">
      <c r="A443" s="6">
        <f>IFERROR(__xludf.DUMMYFUNCTION("""COMPUTED_VALUE"""),"Transcription and translation of DNA")</f>
        <v/>
      </c>
      <c r="B443" s="6">
        <f>IFERROR(__xludf.DUMMYFUNCTION("""COMPUTED_VALUE"""),"Application")</f>
        <v/>
      </c>
      <c r="C443" s="6">
        <f>IFERROR(__xludf.DUMMYFUNCTION("""COMPUTED_VALUE"""),"Table Tool")</f>
        <v/>
      </c>
      <c r="D443" s="7">
        <f>IFERROR(__xludf.DUMMYFUNCTION("""COMPUTED_VALUE"""),"No task description")</f>
        <v/>
      </c>
      <c r="E44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43" s="7" t="inlineStr">
        <is>
          <t>Students complete tasks based on course knowledge. Embedded artifacts include an image and a table tool in the Golabz app/lab.</t>
        </is>
      </c>
      <c r="G443" s="8" t="inlineStr">
        <is>
          <t>0</t>
        </is>
      </c>
      <c r="H443" s="8" t="inlineStr">
        <is>
          <t>1</t>
        </is>
      </c>
      <c r="I443" s="8" t="inlineStr">
        <is>
          <t>1</t>
        </is>
      </c>
      <c r="J443" s="8" t="inlineStr">
        <is>
          <t>1</t>
        </is>
      </c>
      <c r="K443" s="9" t="inlineStr">
        <is>
          <t>0</t>
        </is>
      </c>
      <c r="L443" s="9" t="inlineStr">
        <is>
          <t>1</t>
        </is>
      </c>
      <c r="M443" s="9" t="inlineStr">
        <is>
          <t>1</t>
        </is>
      </c>
      <c r="N443" s="9" t="inlineStr">
        <is>
          <t>1</t>
        </is>
      </c>
      <c r="O443" s="10" t="inlineStr">
        <is>
          <t>0</t>
        </is>
      </c>
      <c r="P443" s="10" t="inlineStr">
        <is>
          <t>0</t>
        </is>
      </c>
      <c r="Q443" s="10" t="inlineStr">
        <is>
          <t>0</t>
        </is>
      </c>
      <c r="R443" s="10" t="inlineStr">
        <is>
          <t>0</t>
        </is>
      </c>
      <c r="S443" s="10" t="inlineStr">
        <is>
          <t>0</t>
        </is>
      </c>
    </row>
    <row r="444" ht="296" customHeight="1">
      <c r="A444" s="6">
        <f>IFERROR(__xludf.DUMMYFUNCTION("""COMPUTED_VALUE"""),"Transcription and translation of DNA")</f>
        <v/>
      </c>
      <c r="B444" s="6">
        <f>IFERROR(__xludf.DUMMYFUNCTION("""COMPUTED_VALUE"""),"Resource")</f>
        <v/>
      </c>
      <c r="C444" s="6">
        <f>IFERROR(__xludf.DUMMYFUNCTION("""COMPUTED_VALUE"""),"Conclusion2.graasp")</f>
        <v/>
      </c>
      <c r="D444" s="7">
        <f>IFERROR(__xludf.DUMMYFUNCTION("""COMPUTED_VALUE"""),"&lt;table class=""table table-bordered""&gt;&lt;tbody&gt;&lt;tr&gt;&lt;td&gt;&lt;p&gt;2. An organism begins from a single cell and ends up having many different types of somatic cells and organs with differences in structure and function. Try to justify it with the help of the central"&amp;" dogma of Molecular Biology, which describes the flow of genetic information.&lt;/p&gt;&lt;/td&gt;&lt;/tr&gt;&lt;/tbody&gt;&lt;/table&gt;")</f>
        <v/>
      </c>
      <c r="E444" s="7">
        <f>IFERROR(__xludf.DUMMYFUNCTION("""COMPUTED_VALUE"""),"No artifact embedded")</f>
        <v/>
      </c>
      <c r="F444" s="7" t="inlineStr">
        <is>
          <t>Students fill tables and justify cell differentiation using the Central Dogma of Molecular Biology, with embedded images and interactive table tools.</t>
        </is>
      </c>
      <c r="G444" s="8" t="inlineStr">
        <is>
          <t>0</t>
        </is>
      </c>
      <c r="H444" s="8" t="inlineStr">
        <is>
          <t>0</t>
        </is>
      </c>
      <c r="I444" s="8" t="inlineStr">
        <is>
          <t>1</t>
        </is>
      </c>
      <c r="J444" s="8" t="inlineStr">
        <is>
          <t>0</t>
        </is>
      </c>
      <c r="K444" s="9" t="inlineStr">
        <is>
          <t>1</t>
        </is>
      </c>
      <c r="L444" s="9" t="inlineStr">
        <is>
          <t>1</t>
        </is>
      </c>
      <c r="M444" s="9" t="inlineStr">
        <is>
          <t>0</t>
        </is>
      </c>
      <c r="N444" s="9" t="inlineStr">
        <is>
          <t>0</t>
        </is>
      </c>
      <c r="O444" s="10" t="inlineStr">
        <is>
          <t>1</t>
        </is>
      </c>
      <c r="P444" s="10" t="inlineStr">
        <is>
          <t>1</t>
        </is>
      </c>
      <c r="Q444" s="10" t="inlineStr">
        <is>
          <t>1</t>
        </is>
      </c>
      <c r="R444" s="10" t="inlineStr">
        <is>
          <t>0</t>
        </is>
      </c>
      <c r="S444" s="10" t="inlineStr">
        <is>
          <t>0</t>
        </is>
      </c>
    </row>
    <row r="445" ht="329" customHeight="1">
      <c r="A445" s="6">
        <f>IFERROR(__xludf.DUMMYFUNCTION("""COMPUTED_VALUE"""),"Transcription and translation of DNA")</f>
        <v/>
      </c>
      <c r="B445" s="6">
        <f>IFERROR(__xludf.DUMMYFUNCTION("""COMPUTED_VALUE"""),"Application")</f>
        <v/>
      </c>
      <c r="C445" s="6">
        <f>IFERROR(__xludf.DUMMYFUNCTION("""COMPUTED_VALUE"""),"Input Box")</f>
        <v/>
      </c>
      <c r="D445" s="7">
        <f>IFERROR(__xludf.DUMMYFUNCTION("""COMPUTED_VALUE"""),"No task description")</f>
        <v/>
      </c>
      <c r="E4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45" s="7" t="inlineStr">
        <is>
          <t>Students receive task descriptions and use Golabz apps like Table tool and Input box with optional collaboration mode.</t>
        </is>
      </c>
      <c r="G445" s="8" t="inlineStr">
        <is>
          <t>0</t>
        </is>
      </c>
      <c r="H445" s="8" t="inlineStr">
        <is>
          <t>1</t>
        </is>
      </c>
      <c r="I445" s="8" t="inlineStr">
        <is>
          <t>1</t>
        </is>
      </c>
      <c r="J445" s="8" t="inlineStr">
        <is>
          <t>1</t>
        </is>
      </c>
      <c r="K445" s="9" t="inlineStr">
        <is>
          <t>0</t>
        </is>
      </c>
      <c r="L445" s="9" t="inlineStr">
        <is>
          <t>1</t>
        </is>
      </c>
      <c r="M445" s="9" t="inlineStr">
        <is>
          <t>1</t>
        </is>
      </c>
      <c r="N445" s="9" t="inlineStr">
        <is>
          <t>1</t>
        </is>
      </c>
      <c r="O445" s="10" t="inlineStr">
        <is>
          <t>0</t>
        </is>
      </c>
      <c r="P445" s="10" t="inlineStr">
        <is>
          <t>0</t>
        </is>
      </c>
      <c r="Q445" s="10" t="inlineStr">
        <is>
          <t>0</t>
        </is>
      </c>
      <c r="R445" s="10" t="inlineStr">
        <is>
          <t>0</t>
        </is>
      </c>
      <c r="S445" s="10" t="inlineStr">
        <is>
          <t>0</t>
        </is>
      </c>
    </row>
    <row r="446" ht="193" customHeight="1">
      <c r="A446" s="6">
        <f>IFERROR(__xludf.DUMMYFUNCTION("""COMPUTED_VALUE"""),"Transcription and translation of DNA")</f>
        <v/>
      </c>
      <c r="B446" s="6">
        <f>IFERROR(__xludf.DUMMYFUNCTION("""COMPUTED_VALUE"""),"Resource")</f>
        <v/>
      </c>
      <c r="C446" s="6">
        <f>IFERROR(__xludf.DUMMYFUNCTION("""COMPUTED_VALUE"""),"Conclusion3.graasp")</f>
        <v/>
      </c>
      <c r="D446" s="7">
        <f>IFERROR(__xludf.DUMMYFUNCTION("""COMPUTED_VALUE"""),"&lt;table class=""table table-bordered""&gt;&lt;tbody&gt;&lt;tr&gt;&lt;td&gt;&lt;p&gt;Congratulations, you have succeeded in completing the course! You can now proceed to the last phase of the course.&lt;/p&gt;&lt;/td&gt;&lt;/tr&gt;&lt;/tbody&gt;&lt;/table&gt;")</f>
        <v/>
      </c>
      <c r="E446" s="7">
        <f>IFERROR(__xludf.DUMMYFUNCTION("""COMPUTED_VALUE"""),"No artifact embedded")</f>
        <v/>
      </c>
      <c r="F446" s="7" t="inlineStr">
        <is>
          <t>Students are instructed to justify cellular differentiation using the central dogma. Embedded artifacts include a note-taking app and collaboration tool.</t>
        </is>
      </c>
      <c r="G446" s="8" t="inlineStr">
        <is>
          <t>1</t>
        </is>
      </c>
      <c r="H446" s="8" t="inlineStr">
        <is>
          <t>0</t>
        </is>
      </c>
      <c r="I446" s="8" t="inlineStr">
        <is>
          <t>0</t>
        </is>
      </c>
      <c r="J446" s="8" t="inlineStr">
        <is>
          <t>0</t>
        </is>
      </c>
      <c r="K446" s="9" t="inlineStr">
        <is>
          <t>1</t>
        </is>
      </c>
      <c r="L446" s="9" t="inlineStr">
        <is>
          <t>0</t>
        </is>
      </c>
      <c r="M446" s="9" t="inlineStr">
        <is>
          <t>0</t>
        </is>
      </c>
      <c r="N446" s="9" t="inlineStr">
        <is>
          <t>0</t>
        </is>
      </c>
      <c r="O446" s="10" t="inlineStr">
        <is>
          <t>0</t>
        </is>
      </c>
      <c r="P446" s="10" t="inlineStr">
        <is>
          <t>0</t>
        </is>
      </c>
      <c r="Q446" s="10" t="inlineStr">
        <is>
          <t>0</t>
        </is>
      </c>
      <c r="R446" s="10" t="inlineStr">
        <is>
          <t>0</t>
        </is>
      </c>
      <c r="S446" s="10" t="inlineStr">
        <is>
          <t>0</t>
        </is>
      </c>
    </row>
    <row r="447" ht="49" customHeight="1">
      <c r="A447" s="6">
        <f>IFERROR(__xludf.DUMMYFUNCTION("""COMPUTED_VALUE"""),"Transcription and translation of DNA")</f>
        <v/>
      </c>
      <c r="B447" s="6">
        <f>IFERROR(__xludf.DUMMYFUNCTION("""COMPUTED_VALUE"""),"Space")</f>
        <v/>
      </c>
      <c r="C447" s="6">
        <f>IFERROR(__xludf.DUMMYFUNCTION("""COMPUTED_VALUE"""),"Reflection")</f>
        <v/>
      </c>
      <c r="D447" s="7">
        <f>IFERROR(__xludf.DUMMYFUNCTION("""COMPUTED_VALUE"""),"&lt;p&gt;The phase of Reflection is the last phase of the lesson.&lt;/p&gt;")</f>
        <v/>
      </c>
      <c r="E447" s="7">
        <f>IFERROR(__xludf.DUMMYFUNCTION("""COMPUTED_VALUE"""),"No artifact embedded")</f>
        <v/>
      </c>
      <c r="F447" s="7" t="inlineStr">
        <is>
          <t>Students received tasks and used Golabz app/lab for note-taking, with optional collaboration mode.</t>
        </is>
      </c>
      <c r="G447" s="8" t="inlineStr">
        <is>
          <t>1</t>
        </is>
      </c>
      <c r="H447" s="8" t="inlineStr">
        <is>
          <t>0</t>
        </is>
      </c>
      <c r="I447" s="8" t="inlineStr">
        <is>
          <t>0</t>
        </is>
      </c>
      <c r="J447" s="8" t="inlineStr">
        <is>
          <t>0</t>
        </is>
      </c>
      <c r="K447" s="9" t="inlineStr">
        <is>
          <t>1</t>
        </is>
      </c>
      <c r="L447" s="9" t="inlineStr">
        <is>
          <t>0</t>
        </is>
      </c>
      <c r="M447" s="9" t="inlineStr">
        <is>
          <t>0</t>
        </is>
      </c>
      <c r="N447" s="9" t="inlineStr">
        <is>
          <t>0</t>
        </is>
      </c>
      <c r="O447" s="10" t="inlineStr">
        <is>
          <t>0</t>
        </is>
      </c>
      <c r="P447" s="10" t="inlineStr">
        <is>
          <t>0</t>
        </is>
      </c>
      <c r="Q447" s="10" t="inlineStr">
        <is>
          <t>0</t>
        </is>
      </c>
      <c r="R447" s="10" t="inlineStr">
        <is>
          <t>0</t>
        </is>
      </c>
      <c r="S447" s="10" t="inlineStr">
        <is>
          <t>0</t>
        </is>
      </c>
    </row>
    <row r="448" ht="307" customHeight="1">
      <c r="A448" s="6">
        <f>IFERROR(__xludf.DUMMYFUNCTION("""COMPUTED_VALUE"""),"Transcription and translation of DNA")</f>
        <v/>
      </c>
      <c r="B448" s="6">
        <f>IFERROR(__xludf.DUMMYFUNCTION("""COMPUTED_VALUE"""),"Resource")</f>
        <v/>
      </c>
      <c r="C448" s="6">
        <f>IFERROR(__xludf.DUMMYFUNCTION("""COMPUTED_VALUE"""),"Reflection.graasp")</f>
        <v/>
      </c>
      <c r="D448" s="7">
        <f>IFERROR(__xludf.DUMMYFUNCTION("""COMPUTED_VALUE"""),"&lt;table class=""table table-bordered""&gt;&lt;tbody&gt;&lt;tr&gt;&lt;td&gt;&lt;p&gt;It's time for reflection! Determine whether you agree or disagree with the following statements, according to the following scale:&lt;/p&gt;&lt;p&gt;&lt;br&gt;1. I absolutely disagree.&lt;br&gt;2. I disagree.&lt;br&gt;3. I'm not "&amp;"sure.&lt;br&gt;4. I agree.&lt;br&gt;5. I absolutely agree.&lt;/p&gt;&lt;/td&gt;&lt;/tr&gt;&lt;/tbody&gt;&lt;/table&gt;")</f>
        <v/>
      </c>
      <c r="E448" s="7">
        <f>IFERROR(__xludf.DUMMYFUNCTION("""COMPUTED_VALUE"""),"No artifact embedded")</f>
        <v/>
      </c>
      <c r="F448" s="7" t="inlineStr">
        <is>
          <t>Students are instructed to reflect on course completion, with a 5-point agreement scale provided for evaluation, and no artifacts embedded in the items.</t>
        </is>
      </c>
      <c r="G448" s="8" t="inlineStr">
        <is>
          <t>0</t>
        </is>
      </c>
      <c r="H448" s="8" t="inlineStr">
        <is>
          <t>0</t>
        </is>
      </c>
      <c r="I448" s="8" t="inlineStr">
        <is>
          <t>0</t>
        </is>
      </c>
      <c r="J448" s="8" t="inlineStr">
        <is>
          <t>1</t>
        </is>
      </c>
      <c r="K448" s="9" t="inlineStr">
        <is>
          <t>1</t>
        </is>
      </c>
      <c r="L448" s="9" t="inlineStr">
        <is>
          <t>1</t>
        </is>
      </c>
      <c r="M448" s="9" t="inlineStr">
        <is>
          <t>0</t>
        </is>
      </c>
      <c r="N448" s="9" t="inlineStr">
        <is>
          <t>0</t>
        </is>
      </c>
      <c r="O448" s="10" t="inlineStr">
        <is>
          <t>0</t>
        </is>
      </c>
      <c r="P448" s="10" t="inlineStr">
        <is>
          <t>0</t>
        </is>
      </c>
      <c r="Q448" s="10" t="inlineStr">
        <is>
          <t>0</t>
        </is>
      </c>
      <c r="R448" s="10" t="inlineStr">
        <is>
          <t>0</t>
        </is>
      </c>
      <c r="S448" s="10" t="inlineStr">
        <is>
          <t>1</t>
        </is>
      </c>
    </row>
    <row r="449" ht="241" customHeight="1">
      <c r="A449" s="6">
        <f>IFERROR(__xludf.DUMMYFUNCTION("""COMPUTED_VALUE"""),"Transcription and translation of DNA")</f>
        <v/>
      </c>
      <c r="B449" s="6">
        <f>IFERROR(__xludf.DUMMYFUNCTION("""COMPUTED_VALUE"""),"Application")</f>
        <v/>
      </c>
      <c r="C449" s="6">
        <f>IFERROR(__xludf.DUMMYFUNCTION("""COMPUTED_VALUE"""),"New questionnaire app")</f>
        <v/>
      </c>
      <c r="D449" s="7">
        <f>IFERROR(__xludf.DUMMYFUNCTION("""COMPUTED_VALUE"""),"&lt;p&gt;Reflection&lt;/p&gt;")</f>
        <v/>
      </c>
      <c r="E44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449" s="7" t="inlineStr">
        <is>
          <t>Students reflect on statements using a 5-point scale; no artifacts are embedded in Items 1 and 2, while Item 3 uses the Golabz app/lab.</t>
        </is>
      </c>
      <c r="G449" s="8" t="inlineStr">
        <is>
          <t>0</t>
        </is>
      </c>
      <c r="H449" s="8" t="inlineStr">
        <is>
          <t>0</t>
        </is>
      </c>
      <c r="I449" s="8" t="inlineStr">
        <is>
          <t>0</t>
        </is>
      </c>
      <c r="J449" s="8" t="inlineStr">
        <is>
          <t>1</t>
        </is>
      </c>
      <c r="K449" s="9" t="inlineStr">
        <is>
          <t>1</t>
        </is>
      </c>
      <c r="L449" s="9" t="inlineStr">
        <is>
          <t>1</t>
        </is>
      </c>
      <c r="M449" s="9" t="inlineStr">
        <is>
          <t>0</t>
        </is>
      </c>
      <c r="N449" s="9" t="inlineStr">
        <is>
          <t>0</t>
        </is>
      </c>
      <c r="O449" s="10" t="inlineStr">
        <is>
          <t>0</t>
        </is>
      </c>
      <c r="P449" s="10" t="inlineStr">
        <is>
          <t>0</t>
        </is>
      </c>
      <c r="Q449" s="10" t="inlineStr">
        <is>
          <t>0</t>
        </is>
      </c>
      <c r="R449" s="10" t="inlineStr">
        <is>
          <t>0</t>
        </is>
      </c>
      <c r="S449" s="10" t="inlineStr">
        <is>
          <t>1</t>
        </is>
      </c>
    </row>
    <row r="450" ht="37" customHeight="1">
      <c r="A450" s="6">
        <f>IFERROR(__xludf.DUMMYFUNCTION("""COMPUTED_VALUE"""),"Scenario: Basic scenario")</f>
        <v/>
      </c>
      <c r="B450" s="6">
        <f>IFERROR(__xludf.DUMMYFUNCTION("""COMPUTED_VALUE"""),"Space")</f>
        <v/>
      </c>
      <c r="C450" s="6">
        <f>IFERROR(__xludf.DUMMYFUNCTION("""COMPUTED_VALUE"""),"Orientation")</f>
        <v/>
      </c>
      <c r="D450" s="7">
        <f>IFERROR(__xludf.DUMMYFUNCTION("""COMPUTED_VALUE"""),"&lt;p&gt;This is the Orientation phase.&lt;/p&gt;")</f>
        <v/>
      </c>
      <c r="E450" s="7">
        <f>IFERROR(__xludf.DUMMYFUNCTION("""COMPUTED_VALUE"""),"No artifact embedded")</f>
        <v/>
      </c>
      <c r="F450" s="7" t="inlineStr">
        <is>
          <t>Students reflect on statements using a 5-point scale. Embedded artifacts include Golabz app/lab with questionnaire features in Item2.</t>
        </is>
      </c>
      <c r="G450" s="8" t="inlineStr">
        <is>
          <t>1</t>
        </is>
      </c>
      <c r="H450" s="8" t="inlineStr">
        <is>
          <t>0</t>
        </is>
      </c>
      <c r="I450" s="8" t="inlineStr">
        <is>
          <t>0</t>
        </is>
      </c>
      <c r="J450" s="8" t="inlineStr">
        <is>
          <t>0</t>
        </is>
      </c>
      <c r="K450" s="9" t="inlineStr">
        <is>
          <t>1</t>
        </is>
      </c>
      <c r="L450" s="9" t="inlineStr">
        <is>
          <t>0</t>
        </is>
      </c>
      <c r="M450" s="9" t="inlineStr">
        <is>
          <t>0</t>
        </is>
      </c>
      <c r="N450" s="9" t="inlineStr">
        <is>
          <t>0</t>
        </is>
      </c>
      <c r="O450" s="10" t="inlineStr">
        <is>
          <t>1</t>
        </is>
      </c>
      <c r="P450" s="10" t="inlineStr">
        <is>
          <t>0</t>
        </is>
      </c>
      <c r="Q450" s="10" t="inlineStr">
        <is>
          <t>0</t>
        </is>
      </c>
      <c r="R450" s="10" t="inlineStr">
        <is>
          <t>0</t>
        </is>
      </c>
      <c r="S450" s="10" t="inlineStr">
        <is>
          <t>0</t>
        </is>
      </c>
    </row>
    <row r="451" ht="37" customHeight="1">
      <c r="A451" s="6">
        <f>IFERROR(__xludf.DUMMYFUNCTION("""COMPUTED_VALUE"""),"Scenario: Basic scenario")</f>
        <v/>
      </c>
      <c r="B451" s="6">
        <f>IFERROR(__xludf.DUMMYFUNCTION("""COMPUTED_VALUE"""),"Space")</f>
        <v/>
      </c>
      <c r="C451" s="6">
        <f>IFERROR(__xludf.DUMMYFUNCTION("""COMPUTED_VALUE"""),"Conceptualisation")</f>
        <v/>
      </c>
      <c r="D451" s="7">
        <f>IFERROR(__xludf.DUMMYFUNCTION("""COMPUTED_VALUE"""),"&lt;p&gt;This is the Conceptualisation phase.&lt;/p&gt;")</f>
        <v/>
      </c>
      <c r="E451" s="7">
        <f>IFERROR(__xludf.DUMMYFUNCTION("""COMPUTED_VALUE"""),"No artifact embedded")</f>
        <v/>
      </c>
      <c r="F451" s="7" t="inlineStr">
        <is>
          <t>Students received task descriptions for Reflection, Orientation, and Conceptualisation phases, with Golabz app/lab as an embedded artifact in Reflection.</t>
        </is>
      </c>
      <c r="G451" s="8" t="inlineStr">
        <is>
          <t>1</t>
        </is>
      </c>
      <c r="H451" s="8" t="inlineStr">
        <is>
          <t>0</t>
        </is>
      </c>
      <c r="I451" s="8" t="inlineStr">
        <is>
          <t>0</t>
        </is>
      </c>
      <c r="J451" s="8" t="inlineStr">
        <is>
          <t>0</t>
        </is>
      </c>
      <c r="K451" s="9" t="inlineStr">
        <is>
          <t>1</t>
        </is>
      </c>
      <c r="L451" s="9" t="inlineStr">
        <is>
          <t>0</t>
        </is>
      </c>
      <c r="M451" s="9" t="inlineStr">
        <is>
          <t>0</t>
        </is>
      </c>
      <c r="N451" s="9" t="inlineStr">
        <is>
          <t>0</t>
        </is>
      </c>
      <c r="O451" s="10" t="inlineStr">
        <is>
          <t>0</t>
        </is>
      </c>
      <c r="P451" s="10" t="inlineStr">
        <is>
          <t>1</t>
        </is>
      </c>
      <c r="Q451" s="10" t="inlineStr">
        <is>
          <t>0</t>
        </is>
      </c>
      <c r="R451" s="10" t="inlineStr">
        <is>
          <t>0</t>
        </is>
      </c>
      <c r="S451" s="10" t="inlineStr">
        <is>
          <t>0</t>
        </is>
      </c>
    </row>
    <row r="452" ht="37" customHeight="1">
      <c r="A452" s="6">
        <f>IFERROR(__xludf.DUMMYFUNCTION("""COMPUTED_VALUE"""),"Scenario: Basic scenario")</f>
        <v/>
      </c>
      <c r="B452" s="6">
        <f>IFERROR(__xludf.DUMMYFUNCTION("""COMPUTED_VALUE"""),"Space")</f>
        <v/>
      </c>
      <c r="C452" s="6">
        <f>IFERROR(__xludf.DUMMYFUNCTION("""COMPUTED_VALUE"""),"Investigation")</f>
        <v/>
      </c>
      <c r="D452" s="7">
        <f>IFERROR(__xludf.DUMMYFUNCTION("""COMPUTED_VALUE"""),"&lt;p&gt;This is the Investigation phase.&lt;/p&gt;")</f>
        <v/>
      </c>
      <c r="E452" s="7">
        <f>IFERROR(__xludf.DUMMYFUNCTION("""COMPUTED_VALUE"""),"No artifact embedded")</f>
        <v/>
      </c>
      <c r="F452" s="7" t="inlineStr">
        <is>
          <t>Students are instructed to complete three phases: Orientation, Conceptualisation, and Investigation. No artifacts are embedded in any phase.</t>
        </is>
      </c>
      <c r="G452" s="8" t="inlineStr">
        <is>
          <t>1</t>
        </is>
      </c>
      <c r="H452" s="8" t="inlineStr">
        <is>
          <t>0</t>
        </is>
      </c>
      <c r="I452" s="8" t="inlineStr">
        <is>
          <t>0</t>
        </is>
      </c>
      <c r="J452" s="8" t="inlineStr">
        <is>
          <t>0</t>
        </is>
      </c>
      <c r="K452" s="9" t="inlineStr">
        <is>
          <t>1</t>
        </is>
      </c>
      <c r="L452" s="9" t="inlineStr">
        <is>
          <t>0</t>
        </is>
      </c>
      <c r="M452" s="9" t="inlineStr">
        <is>
          <t>0</t>
        </is>
      </c>
      <c r="N452" s="9" t="inlineStr">
        <is>
          <t>0</t>
        </is>
      </c>
      <c r="O452" s="10" t="inlineStr">
        <is>
          <t>0</t>
        </is>
      </c>
      <c r="P452" s="10" t="inlineStr">
        <is>
          <t>0</t>
        </is>
      </c>
      <c r="Q452" s="10" t="inlineStr">
        <is>
          <t>1</t>
        </is>
      </c>
      <c r="R452" s="10" t="inlineStr">
        <is>
          <t>0</t>
        </is>
      </c>
      <c r="S452" s="10" t="inlineStr">
        <is>
          <t>0</t>
        </is>
      </c>
    </row>
    <row r="453" ht="37" customHeight="1">
      <c r="A453" s="6">
        <f>IFERROR(__xludf.DUMMYFUNCTION("""COMPUTED_VALUE"""),"Scenario: Basic scenario")</f>
        <v/>
      </c>
      <c r="B453" s="6">
        <f>IFERROR(__xludf.DUMMYFUNCTION("""COMPUTED_VALUE"""),"Space")</f>
        <v/>
      </c>
      <c r="C453" s="6">
        <f>IFERROR(__xludf.DUMMYFUNCTION("""COMPUTED_VALUE"""),"Conclusion")</f>
        <v/>
      </c>
      <c r="D453" s="7">
        <f>IFERROR(__xludf.DUMMYFUNCTION("""COMPUTED_VALUE"""),"&lt;p&gt;This is the Conclusion phase.&lt;/p&gt;")</f>
        <v/>
      </c>
      <c r="E453" s="7">
        <f>IFERROR(__xludf.DUMMYFUNCTION("""COMPUTED_VALUE"""),"No artifact embedded")</f>
        <v/>
      </c>
      <c r="F453" s="7" t="inlineStr">
        <is>
          <t>Students follow phases: Conceptualisation, Investigation, and Conclusion. No artifacts are embedded in any phase.</t>
        </is>
      </c>
      <c r="G453" s="8" t="inlineStr">
        <is>
          <t>1</t>
        </is>
      </c>
      <c r="H453" s="8" t="inlineStr">
        <is>
          <t>0</t>
        </is>
      </c>
      <c r="I453" s="8" t="inlineStr">
        <is>
          <t>0</t>
        </is>
      </c>
      <c r="J453" s="8" t="inlineStr">
        <is>
          <t>0</t>
        </is>
      </c>
      <c r="K453" s="9" t="inlineStr">
        <is>
          <t>1</t>
        </is>
      </c>
      <c r="L453" s="9" t="inlineStr">
        <is>
          <t>0</t>
        </is>
      </c>
      <c r="M453" s="9" t="inlineStr">
        <is>
          <t>0</t>
        </is>
      </c>
      <c r="N453" s="9" t="inlineStr">
        <is>
          <t>0</t>
        </is>
      </c>
      <c r="O453" s="10" t="inlineStr">
        <is>
          <t>0</t>
        </is>
      </c>
      <c r="P453" s="10" t="inlineStr">
        <is>
          <t>0</t>
        </is>
      </c>
      <c r="Q453" s="10" t="inlineStr">
        <is>
          <t>0</t>
        </is>
      </c>
      <c r="R453" s="10" t="inlineStr">
        <is>
          <t>1</t>
        </is>
      </c>
      <c r="S453" s="10" t="inlineStr">
        <is>
          <t>0</t>
        </is>
      </c>
    </row>
    <row r="454" ht="37" customHeight="1">
      <c r="A454" s="6">
        <f>IFERROR(__xludf.DUMMYFUNCTION("""COMPUTED_VALUE"""),"Scenario: Basic scenario")</f>
        <v/>
      </c>
      <c r="B454" s="6">
        <f>IFERROR(__xludf.DUMMYFUNCTION("""COMPUTED_VALUE"""),"Space")</f>
        <v/>
      </c>
      <c r="C454" s="6">
        <f>IFERROR(__xludf.DUMMYFUNCTION("""COMPUTED_VALUE"""),"Discussion")</f>
        <v/>
      </c>
      <c r="D454" s="7">
        <f>IFERROR(__xludf.DUMMYFUNCTION("""COMPUTED_VALUE"""),"&lt;p&gt;This is the Discussion phase.&lt;/p&gt;")</f>
        <v/>
      </c>
      <c r="E454" s="7">
        <f>IFERROR(__xludf.DUMMYFUNCTION("""COMPUTED_VALUE"""),"No artifact embedded")</f>
        <v/>
      </c>
      <c r="F454" s="7" t="inlineStr">
        <is>
          <t>Students are guided through Investigation, Conclusion, and Discussion phases with no artifacts embedded.</t>
        </is>
      </c>
      <c r="G454" s="8" t="inlineStr">
        <is>
          <t>0</t>
        </is>
      </c>
      <c r="H454" s="8" t="inlineStr">
        <is>
          <t>0</t>
        </is>
      </c>
      <c r="I454" s="8" t="inlineStr">
        <is>
          <t>0</t>
        </is>
      </c>
      <c r="J454" s="8" t="inlineStr">
        <is>
          <t>1</t>
        </is>
      </c>
      <c r="K454" s="9" t="inlineStr">
        <is>
          <t>0</t>
        </is>
      </c>
      <c r="L454" s="9" t="inlineStr">
        <is>
          <t>0</t>
        </is>
      </c>
      <c r="M454" s="9" t="inlineStr">
        <is>
          <t>1</t>
        </is>
      </c>
      <c r="N454" s="9" t="inlineStr">
        <is>
          <t>0</t>
        </is>
      </c>
      <c r="O454" s="10" t="inlineStr">
        <is>
          <t>0</t>
        </is>
      </c>
      <c r="P454" s="10" t="inlineStr">
        <is>
          <t>0</t>
        </is>
      </c>
      <c r="Q454" s="10" t="inlineStr">
        <is>
          <t>0</t>
        </is>
      </c>
      <c r="R454" s="10" t="inlineStr">
        <is>
          <t>0</t>
        </is>
      </c>
      <c r="S454" s="10" t="inlineStr">
        <is>
          <t>1</t>
        </is>
      </c>
    </row>
    <row r="455" ht="37" customHeight="1">
      <c r="A455" s="6">
        <f>IFERROR(__xludf.DUMMYFUNCTION("""COMPUTED_VALUE"""),"double quotes")</f>
        <v/>
      </c>
      <c r="B455" s="6">
        <f>IFERROR(__xludf.DUMMYFUNCTION("""COMPUTED_VALUE"""),"Space")</f>
        <v/>
      </c>
      <c r="C455" s="6">
        <f>IFERROR(__xludf.DUMMYFUNCTION("""COMPUTED_VALUE"""),"Orientation")</f>
        <v/>
      </c>
      <c r="D455" s="7">
        <f>IFERROR(__xludf.DUMMYFUNCTION("""COMPUTED_VALUE"""),"&lt;p&gt;This is the Orientation phase.&lt;/p&gt;")</f>
        <v/>
      </c>
      <c r="E455" s="7">
        <f>IFERROR(__xludf.DUMMYFUNCTION("""COMPUTED_VALUE"""),"No artifact embedded")</f>
        <v/>
      </c>
      <c r="F455" s="7" t="inlineStr">
        <is>
          <t>Students received instructions for three phases: Conclusion, Discussion, and Orientation, with no artifacts embedded.</t>
        </is>
      </c>
      <c r="G455" s="8" t="inlineStr">
        <is>
          <t>1</t>
        </is>
      </c>
      <c r="H455" s="8" t="inlineStr">
        <is>
          <t>0</t>
        </is>
      </c>
      <c r="I455" s="8" t="inlineStr">
        <is>
          <t>0</t>
        </is>
      </c>
      <c r="J455" s="8" t="inlineStr">
        <is>
          <t>0</t>
        </is>
      </c>
      <c r="K455" s="9" t="inlineStr">
        <is>
          <t>1</t>
        </is>
      </c>
      <c r="L455" s="9" t="inlineStr">
        <is>
          <t>0</t>
        </is>
      </c>
      <c r="M455" s="9" t="inlineStr">
        <is>
          <t>0</t>
        </is>
      </c>
      <c r="N455" s="9" t="inlineStr">
        <is>
          <t>0</t>
        </is>
      </c>
      <c r="O455" s="10" t="inlineStr">
        <is>
          <t>1</t>
        </is>
      </c>
      <c r="P455" s="10" t="inlineStr">
        <is>
          <t>0</t>
        </is>
      </c>
      <c r="Q455" s="10" t="inlineStr">
        <is>
          <t>0</t>
        </is>
      </c>
      <c r="R455" s="10" t="inlineStr">
        <is>
          <t>0</t>
        </is>
      </c>
      <c r="S455" s="10" t="inlineStr">
        <is>
          <t>0</t>
        </is>
      </c>
    </row>
    <row r="456" ht="49" customHeight="1">
      <c r="A456" s="6">
        <f>IFERROR(__xludf.DUMMYFUNCTION("""COMPUTED_VALUE"""),"double quotes")</f>
        <v/>
      </c>
      <c r="B456" s="6">
        <f>IFERROR(__xludf.DUMMYFUNCTION("""COMPUTED_VALUE"""),"Application")</f>
        <v/>
      </c>
      <c r="C456" s="6">
        <f>IFERROR(__xludf.DUMMYFUNCTION("""COMPUTED_VALUE"""),"res editor")</f>
        <v/>
      </c>
      <c r="D456" s="7">
        <f>IFERROR(__xludf.DUMMYFUNCTION("""COMPUTED_VALUE"""),"No task description")</f>
        <v/>
      </c>
      <c r="E456" s="7">
        <f>IFERROR(__xludf.DUMMYFUNCTION("""COMPUTED_VALUE"""),"Golabz app/lab: No description available for this application")</f>
        <v/>
      </c>
      <c r="F456" s="7" t="inlineStr">
        <is>
          <t>Students received instructions for Discussion, Orientation, and no task. Artifacts included none and the Golabz app/lab.</t>
        </is>
      </c>
      <c r="G456" s="8" t="inlineStr">
        <is>
          <t>1</t>
        </is>
      </c>
      <c r="H456" s="8" t="inlineStr">
        <is>
          <t>0</t>
        </is>
      </c>
      <c r="I456" s="8" t="inlineStr">
        <is>
          <t>0</t>
        </is>
      </c>
      <c r="J456" s="8" t="inlineStr">
        <is>
          <t>0</t>
        </is>
      </c>
      <c r="K456" s="9" t="inlineStr">
        <is>
          <t>0</t>
        </is>
      </c>
      <c r="L456" s="9" t="inlineStr">
        <is>
          <t>0</t>
        </is>
      </c>
      <c r="M456" s="9" t="inlineStr">
        <is>
          <t>0</t>
        </is>
      </c>
      <c r="N456" s="9" t="inlineStr">
        <is>
          <t>0</t>
        </is>
      </c>
      <c r="O456" s="10" t="inlineStr">
        <is>
          <t>0</t>
        </is>
      </c>
      <c r="P456" s="10" t="inlineStr">
        <is>
          <t>0</t>
        </is>
      </c>
      <c r="Q456" s="10" t="inlineStr">
        <is>
          <t>0</t>
        </is>
      </c>
      <c r="R456" s="10" t="inlineStr">
        <is>
          <t>0</t>
        </is>
      </c>
      <c r="S456" s="10" t="inlineStr">
        <is>
          <t>0</t>
        </is>
      </c>
    </row>
    <row r="457" ht="37" customHeight="1">
      <c r="A457" s="6">
        <f>IFERROR(__xludf.DUMMYFUNCTION("""COMPUTED_VALUE"""),"double quotes")</f>
        <v/>
      </c>
      <c r="B457" s="6">
        <f>IFERROR(__xludf.DUMMYFUNCTION("""COMPUTED_VALUE"""),"Space")</f>
        <v/>
      </c>
      <c r="C457" s="6">
        <f>IFERROR(__xludf.DUMMYFUNCTION("""COMPUTED_VALUE"""),"Conceptualisation")</f>
        <v/>
      </c>
      <c r="D457" s="7">
        <f>IFERROR(__xludf.DUMMYFUNCTION("""COMPUTED_VALUE"""),"&lt;p&gt;This is the Conceptualisation phase.&lt;/p&gt;")</f>
        <v/>
      </c>
      <c r="E457" s="7">
        <f>IFERROR(__xludf.DUMMYFUNCTION("""COMPUTED_VALUE"""),"No artifact embedded")</f>
        <v/>
      </c>
      <c r="F457" s="7" t="inlineStr">
        <is>
          <t>Students received task descriptions for Orientation and Conceptualisation phases, with no artifacts embedded in Items 1 and 3, while Item 2 had an unspecified Golabz app/lab.</t>
        </is>
      </c>
      <c r="G457" s="8" t="inlineStr">
        <is>
          <t>1</t>
        </is>
      </c>
      <c r="H457" s="8" t="inlineStr">
        <is>
          <t>0</t>
        </is>
      </c>
      <c r="I457" s="8" t="inlineStr">
        <is>
          <t>0</t>
        </is>
      </c>
      <c r="J457" s="8" t="inlineStr">
        <is>
          <t>0</t>
        </is>
      </c>
      <c r="K457" s="9" t="inlineStr">
        <is>
          <t>1</t>
        </is>
      </c>
      <c r="L457" s="9" t="inlineStr">
        <is>
          <t>0</t>
        </is>
      </c>
      <c r="M457" s="9" t="inlineStr">
        <is>
          <t>0</t>
        </is>
      </c>
      <c r="N457" s="9" t="inlineStr">
        <is>
          <t>0</t>
        </is>
      </c>
      <c r="O457" s="10" t="inlineStr">
        <is>
          <t>0</t>
        </is>
      </c>
      <c r="P457" s="10" t="inlineStr">
        <is>
          <t>1</t>
        </is>
      </c>
      <c r="Q457" s="10" t="inlineStr">
        <is>
          <t>0</t>
        </is>
      </c>
      <c r="R457" s="10" t="inlineStr">
        <is>
          <t>0</t>
        </is>
      </c>
      <c r="S457" s="10" t="inlineStr">
        <is>
          <t>0</t>
        </is>
      </c>
    </row>
    <row r="458" ht="409.5" customHeight="1">
      <c r="A458" s="6">
        <f>IFERROR(__xludf.DUMMYFUNCTION("""COMPUTED_VALUE"""),"double quotes")</f>
        <v/>
      </c>
      <c r="B458" s="6">
        <f>IFERROR(__xludf.DUMMYFUNCTION("""COMPUTED_VALUE"""),"Application")</f>
        <v/>
      </c>
      <c r="C458" s="6">
        <f>IFERROR(__xludf.DUMMYFUNCTION("""COMPUTED_VALUE"""),"report")</f>
        <v/>
      </c>
      <c r="D458" s="7">
        <f>IFERROR(__xludf.DUMMYFUNCTION("""COMPUTED_VALUE"""),"No task description")</f>
        <v/>
      </c>
      <c r="E458"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458" s="7" t="inlineStr">
        <is>
          <t>Students were given tasks with varying levels of description and embedded artifacts, including a Golabz app/lab with a report tool for creating final reports.</t>
        </is>
      </c>
      <c r="G458" s="8" t="inlineStr">
        <is>
          <t>0</t>
        </is>
      </c>
      <c r="H458" s="8" t="inlineStr">
        <is>
          <t>0</t>
        </is>
      </c>
      <c r="I458" s="8" t="inlineStr">
        <is>
          <t>1</t>
        </is>
      </c>
      <c r="J458" s="8" t="inlineStr">
        <is>
          <t>1</t>
        </is>
      </c>
      <c r="K458" s="9" t="inlineStr">
        <is>
          <t>0</t>
        </is>
      </c>
      <c r="L458" s="9" t="inlineStr">
        <is>
          <t>1</t>
        </is>
      </c>
      <c r="M458" s="9" t="inlineStr">
        <is>
          <t>0</t>
        </is>
      </c>
      <c r="N458" s="9" t="inlineStr">
        <is>
          <t>1</t>
        </is>
      </c>
      <c r="O458" s="10" t="inlineStr">
        <is>
          <t>0</t>
        </is>
      </c>
      <c r="P458" s="10" t="inlineStr">
        <is>
          <t>1</t>
        </is>
      </c>
      <c r="Q458" s="10" t="inlineStr">
        <is>
          <t>1</t>
        </is>
      </c>
      <c r="R458" s="10" t="inlineStr">
        <is>
          <t>1</t>
        </is>
      </c>
      <c r="S458" s="10" t="inlineStr">
        <is>
          <t>1</t>
        </is>
      </c>
    </row>
    <row r="459" ht="37" customHeight="1">
      <c r="A459" s="6">
        <f>IFERROR(__xludf.DUMMYFUNCTION("""COMPUTED_VALUE"""),"double quotes")</f>
        <v/>
      </c>
      <c r="B459" s="6">
        <f>IFERROR(__xludf.DUMMYFUNCTION("""COMPUTED_VALUE"""),"Space")</f>
        <v/>
      </c>
      <c r="C459" s="6">
        <f>IFERROR(__xludf.DUMMYFUNCTION("""COMPUTED_VALUE"""),"Investigation")</f>
        <v/>
      </c>
      <c r="D459" s="7">
        <f>IFERROR(__xludf.DUMMYFUNCTION("""COMPUTED_VALUE"""),"&lt;p&gt;This is the Investigation phase.&lt;/p&gt;")</f>
        <v/>
      </c>
      <c r="E459" s="7">
        <f>IFERROR(__xludf.DUMMYFUNCTION("""COMPUTED_VALUE"""),"No artifact embedded")</f>
        <v/>
      </c>
      <c r="F459" s="7" t="inlineStr">
        <is>
          <t>Students receive task descriptions for Conceptualisation and Investigation phases with no artifacts embedded, except for Item2 which describes the Golabz app/lab report tool.</t>
        </is>
      </c>
      <c r="G459" s="8" t="inlineStr">
        <is>
          <t>1</t>
        </is>
      </c>
      <c r="H459" s="8" t="inlineStr">
        <is>
          <t>0</t>
        </is>
      </c>
      <c r="I459" s="8" t="inlineStr">
        <is>
          <t>0</t>
        </is>
      </c>
      <c r="J459" s="8" t="inlineStr">
        <is>
          <t>0</t>
        </is>
      </c>
      <c r="K459" s="9" t="inlineStr">
        <is>
          <t>1</t>
        </is>
      </c>
      <c r="L459" s="9" t="inlineStr">
        <is>
          <t>0</t>
        </is>
      </c>
      <c r="M459" s="9" t="inlineStr">
        <is>
          <t>0</t>
        </is>
      </c>
      <c r="N459" s="9" t="inlineStr">
        <is>
          <t>0</t>
        </is>
      </c>
      <c r="O459" s="10" t="inlineStr">
        <is>
          <t>0</t>
        </is>
      </c>
      <c r="P459" s="10" t="inlineStr">
        <is>
          <t>0</t>
        </is>
      </c>
      <c r="Q459" s="10" t="inlineStr">
        <is>
          <t>1</t>
        </is>
      </c>
      <c r="R459" s="10" t="inlineStr">
        <is>
          <t>0</t>
        </is>
      </c>
      <c r="S459" s="10" t="inlineStr">
        <is>
          <t>0</t>
        </is>
      </c>
    </row>
    <row r="460" ht="37" customHeight="1">
      <c r="A460" s="6">
        <f>IFERROR(__xludf.DUMMYFUNCTION("""COMPUTED_VALUE"""),"double quotes")</f>
        <v/>
      </c>
      <c r="B460" s="6">
        <f>IFERROR(__xludf.DUMMYFUNCTION("""COMPUTED_VALUE"""),"Space")</f>
        <v/>
      </c>
      <c r="C460" s="6">
        <f>IFERROR(__xludf.DUMMYFUNCTION("""COMPUTED_VALUE"""),"Conclusion")</f>
        <v/>
      </c>
      <c r="D460" s="7">
        <f>IFERROR(__xludf.DUMMYFUNCTION("""COMPUTED_VALUE"""),"&lt;p&gt;This is the Conclusion phase.&lt;/p&gt;")</f>
        <v/>
      </c>
      <c r="E460" s="7">
        <f>IFERROR(__xludf.DUMMYFUNCTION("""COMPUTED_VALUE"""),"No artifact embedded")</f>
        <v/>
      </c>
      <c r="F460" s="7" t="inlineStr">
        <is>
          <t>Students are given tasks with descriptions and access to Golabz app/lab for creating reports, with configuration options available for teachers.</t>
        </is>
      </c>
      <c r="G460" s="8" t="inlineStr">
        <is>
          <t>1</t>
        </is>
      </c>
      <c r="H460" s="8" t="inlineStr">
        <is>
          <t>0</t>
        </is>
      </c>
      <c r="I460" s="8" t="inlineStr">
        <is>
          <t>0</t>
        </is>
      </c>
      <c r="J460" s="8" t="inlineStr">
        <is>
          <t>0</t>
        </is>
      </c>
      <c r="K460" s="9" t="inlineStr">
        <is>
          <t>1</t>
        </is>
      </c>
      <c r="L460" s="9" t="inlineStr">
        <is>
          <t>0</t>
        </is>
      </c>
      <c r="M460" s="9" t="inlineStr">
        <is>
          <t>0</t>
        </is>
      </c>
      <c r="N460" s="9" t="inlineStr">
        <is>
          <t>0</t>
        </is>
      </c>
      <c r="O460" s="10" t="inlineStr">
        <is>
          <t>0</t>
        </is>
      </c>
      <c r="P460" s="10" t="inlineStr">
        <is>
          <t>0</t>
        </is>
      </c>
      <c r="Q460" s="10" t="inlineStr">
        <is>
          <t>0</t>
        </is>
      </c>
      <c r="R460" s="10" t="inlineStr">
        <is>
          <t>1</t>
        </is>
      </c>
      <c r="S460" s="10" t="inlineStr">
        <is>
          <t>0</t>
        </is>
      </c>
    </row>
    <row r="461" ht="37" customHeight="1">
      <c r="A461" s="6">
        <f>IFERROR(__xludf.DUMMYFUNCTION("""COMPUTED_VALUE"""),"˝ Otkrivanje ˝ Arhimedovog zakona (1)")</f>
        <v/>
      </c>
      <c r="B461" s="6">
        <f>IFERROR(__xludf.DUMMYFUNCTION("""COMPUTED_VALUE"""),"Space")</f>
        <v/>
      </c>
      <c r="C461" s="6">
        <f>IFERROR(__xludf.DUMMYFUNCTION("""COMPUTED_VALUE"""),"Orientation")</f>
        <v/>
      </c>
      <c r="D461" s="7">
        <f>IFERROR(__xludf.DUMMYFUNCTION("""COMPUTED_VALUE"""),"&lt;p&gt;This is the Orientation phase.&lt;/p&gt;")</f>
        <v/>
      </c>
      <c r="E461" s="7">
        <f>IFERROR(__xludf.DUMMYFUNCTION("""COMPUTED_VALUE"""),"No artifact embedded")</f>
        <v/>
      </c>
      <c r="F461" s="7" t="inlineStr">
        <is>
          <t>Students received task descriptions for Investigation, Conclusion, and Orientation phases with no embedded artifacts.</t>
        </is>
      </c>
      <c r="G461" s="8" t="inlineStr">
        <is>
          <t>1</t>
        </is>
      </c>
      <c r="H461" s="8" t="inlineStr">
        <is>
          <t>0</t>
        </is>
      </c>
      <c r="I461" s="8" t="inlineStr">
        <is>
          <t>0</t>
        </is>
      </c>
      <c r="J461" s="8" t="inlineStr">
        <is>
          <t>0</t>
        </is>
      </c>
      <c r="K461" s="9" t="inlineStr">
        <is>
          <t>1</t>
        </is>
      </c>
      <c r="L461" s="9" t="inlineStr">
        <is>
          <t>0</t>
        </is>
      </c>
      <c r="M461" s="9" t="inlineStr">
        <is>
          <t>0</t>
        </is>
      </c>
      <c r="N461" s="9" t="inlineStr">
        <is>
          <t>0</t>
        </is>
      </c>
      <c r="O461" s="10" t="inlineStr">
        <is>
          <t>1</t>
        </is>
      </c>
      <c r="P461" s="10" t="inlineStr">
        <is>
          <t>0</t>
        </is>
      </c>
      <c r="Q461" s="10" t="inlineStr">
        <is>
          <t>0</t>
        </is>
      </c>
      <c r="R461" s="10" t="inlineStr">
        <is>
          <t>0</t>
        </is>
      </c>
      <c r="S461" s="10" t="inlineStr">
        <is>
          <t>0</t>
        </is>
      </c>
    </row>
    <row r="462" ht="285" customHeight="1">
      <c r="A462" s="6">
        <f>IFERROR(__xludf.DUMMYFUNCTION("""COMPUTED_VALUE"""),"˝ Otkrivanje ˝ Arhimedovog zakona (1)")</f>
        <v/>
      </c>
      <c r="B462" s="6">
        <f>IFERROR(__xludf.DUMMYFUNCTION("""COMPUTED_VALUE"""),"Resource")</f>
        <v/>
      </c>
      <c r="C462" s="6">
        <f>IFERROR(__xludf.DUMMYFUNCTION("""COMPUTED_VALUE"""),"The Golden Crown (Introduction)")</f>
        <v/>
      </c>
      <c r="D462" s="7">
        <f>IFERROR(__xludf.DUMMYFUNCTION("""COMPUTED_VALUE"""),"In the first century BC the Roman architect Vitruvius related a story of how Archimedes uncovered a fraud in the manufacture of a golden crown commissioned by Hiero II, the king of Syracuse. The crown ( corona in Vitruvius's Latin) would have been in the "&amp;"form of a wreath, such as one of the three pictured from grave sites in Macedonia and the Dardanelles.")</f>
        <v/>
      </c>
      <c r="E462" s="7">
        <f>IFERROR(__xludf.DUMMYFUNCTION("""COMPUTED_VALUE"""),"Artifact from math.nyu.edu: New York University's mathematics department site, offering resources like explorations of Archimedes' principles.")</f>
        <v/>
      </c>
      <c r="F462" s="7" t="inlineStr">
        <is>
          <t>Students receive task descriptions for Conclusion, Orientation, and a problem about Archimedes. Artifacts are embedded in the third item, from NYU's math department website.</t>
        </is>
      </c>
      <c r="G462" s="8" t="inlineStr">
        <is>
          <t>1</t>
        </is>
      </c>
      <c r="H462" s="8" t="inlineStr">
        <is>
          <t>0</t>
        </is>
      </c>
      <c r="I462" s="8" t="inlineStr">
        <is>
          <t>0</t>
        </is>
      </c>
      <c r="J462" s="8" t="inlineStr">
        <is>
          <t>0</t>
        </is>
      </c>
      <c r="K462" s="9" t="inlineStr">
        <is>
          <t>0</t>
        </is>
      </c>
      <c r="L462" s="9" t="inlineStr">
        <is>
          <t>0</t>
        </is>
      </c>
      <c r="M462" s="9" t="inlineStr">
        <is>
          <t>0</t>
        </is>
      </c>
      <c r="N462" s="9" t="inlineStr">
        <is>
          <t>0</t>
        </is>
      </c>
      <c r="O462" s="10" t="inlineStr">
        <is>
          <t>1</t>
        </is>
      </c>
      <c r="P462" s="10" t="inlineStr">
        <is>
          <t>0</t>
        </is>
      </c>
      <c r="Q462" s="10" t="inlineStr">
        <is>
          <t>0</t>
        </is>
      </c>
      <c r="R462" s="10" t="inlineStr">
        <is>
          <t>0</t>
        </is>
      </c>
      <c r="S462" s="10" t="inlineStr">
        <is>
          <t>0</t>
        </is>
      </c>
    </row>
    <row r="463" ht="37" customHeight="1">
      <c r="A463" s="6">
        <f>IFERROR(__xludf.DUMMYFUNCTION("""COMPUTED_VALUE"""),"˝ Otkrivanje ˝ Arhimedovog zakona (1)")</f>
        <v/>
      </c>
      <c r="B463" s="6">
        <f>IFERROR(__xludf.DUMMYFUNCTION("""COMPUTED_VALUE"""),"Space")</f>
        <v/>
      </c>
      <c r="C463" s="6">
        <f>IFERROR(__xludf.DUMMYFUNCTION("""COMPUTED_VALUE"""),"Conceptualisation")</f>
        <v/>
      </c>
      <c r="D463" s="7">
        <f>IFERROR(__xludf.DUMMYFUNCTION("""COMPUTED_VALUE"""),"&lt;p&gt;This is the Conceptualisation phase.&lt;/p&gt;")</f>
        <v/>
      </c>
      <c r="E463" s="7">
        <f>IFERROR(__xludf.DUMMYFUNCTION("""COMPUTED_VALUE"""),"No artifact embedded")</f>
        <v/>
      </c>
      <c r="F463" s="7" t="inlineStr">
        <is>
          <t>Students are guided through phases with some items containing artifacts, such as a math resource from NYU.</t>
        </is>
      </c>
      <c r="G463" s="8" t="inlineStr">
        <is>
          <t>1</t>
        </is>
      </c>
      <c r="H463" s="8" t="inlineStr">
        <is>
          <t>0</t>
        </is>
      </c>
      <c r="I463" s="8" t="inlineStr">
        <is>
          <t>0</t>
        </is>
      </c>
      <c r="J463" s="8" t="inlineStr">
        <is>
          <t>0</t>
        </is>
      </c>
      <c r="K463" s="9" t="inlineStr">
        <is>
          <t>1</t>
        </is>
      </c>
      <c r="L463" s="9" t="inlineStr">
        <is>
          <t>0</t>
        </is>
      </c>
      <c r="M463" s="9" t="inlineStr">
        <is>
          <t>0</t>
        </is>
      </c>
      <c r="N463" s="9" t="inlineStr">
        <is>
          <t>0</t>
        </is>
      </c>
      <c r="O463" s="10" t="inlineStr">
        <is>
          <t>0</t>
        </is>
      </c>
      <c r="P463" s="10" t="inlineStr">
        <is>
          <t>1</t>
        </is>
      </c>
      <c r="Q463" s="10" t="inlineStr">
        <is>
          <t>0</t>
        </is>
      </c>
      <c r="R463" s="10" t="inlineStr">
        <is>
          <t>0</t>
        </is>
      </c>
      <c r="S463" s="10" t="inlineStr">
        <is>
          <t>0</t>
        </is>
      </c>
    </row>
    <row r="464" ht="97" customHeight="1">
      <c r="A464" s="6">
        <f>IFERROR(__xludf.DUMMYFUNCTION("""COMPUTED_VALUE"""),"˝ Otkrivanje ˝ Arhimedovog zakona (1)")</f>
        <v/>
      </c>
      <c r="B464" s="6">
        <f>IFERROR(__xludf.DUMMYFUNCTION("""COMPUTED_VALUE"""),"Resource")</f>
        <v/>
      </c>
      <c r="C464" s="6">
        <f>IFERROR(__xludf.DUMMYFUNCTION("""COMPUTED_VALUE"""),"dissplacemet[1].gif")</f>
        <v/>
      </c>
      <c r="D464" s="7">
        <f>IFERROR(__xludf.DUMMYFUNCTION("""COMPUTED_VALUE"""),"No task description")</f>
        <v/>
      </c>
      <c r="E464" s="7">
        <f>IFERROR(__xludf.DUMMYFUNCTION("""COMPUTED_VALUE"""),"image/gif – An animated or static graphic using the GIF format, often seen in memes and web animations.")</f>
        <v/>
      </c>
      <c r="F464" s="7" t="inlineStr">
        <is>
          <t>Students are given tasks with artifacts, including a math resource from NYU and a GIF image.</t>
        </is>
      </c>
      <c r="G464" s="8" t="inlineStr">
        <is>
          <t>1</t>
        </is>
      </c>
      <c r="H464" s="8" t="inlineStr">
        <is>
          <t>0</t>
        </is>
      </c>
      <c r="I464" s="8" t="inlineStr">
        <is>
          <t>0</t>
        </is>
      </c>
      <c r="J464" s="8" t="inlineStr">
        <is>
          <t>0</t>
        </is>
      </c>
      <c r="K464" s="9" t="inlineStr">
        <is>
          <t>0</t>
        </is>
      </c>
      <c r="L464" s="9" t="inlineStr">
        <is>
          <t>0</t>
        </is>
      </c>
      <c r="M464" s="9" t="inlineStr">
        <is>
          <t>0</t>
        </is>
      </c>
      <c r="N464" s="9" t="inlineStr">
        <is>
          <t>0</t>
        </is>
      </c>
      <c r="O464" s="10" t="inlineStr">
        <is>
          <t>0</t>
        </is>
      </c>
      <c r="P464" s="10" t="inlineStr">
        <is>
          <t>0</t>
        </is>
      </c>
      <c r="Q464" s="10" t="inlineStr">
        <is>
          <t>0</t>
        </is>
      </c>
      <c r="R464" s="10" t="inlineStr">
        <is>
          <t>0</t>
        </is>
      </c>
      <c r="S464" s="10" t="inlineStr">
        <is>
          <t>0</t>
        </is>
      </c>
    </row>
    <row r="465" ht="409.5" customHeight="1">
      <c r="A465" s="6">
        <f>IFERROR(__xludf.DUMMYFUNCTION("""COMPUTED_VALUE"""),"˝ Otkrivanje ˝ Arhimedovog zakona (1)")</f>
        <v/>
      </c>
      <c r="B465" s="6">
        <f>IFERROR(__xludf.DUMMYFUNCTION("""COMPUTED_VALUE"""),"Application")</f>
        <v/>
      </c>
      <c r="C465" s="6">
        <f>IFERROR(__xludf.DUMMYFUNCTION("""COMPUTED_VALUE"""),"Experiment Design Tool")</f>
        <v/>
      </c>
      <c r="D465" s="7">
        <f>IFERROR(__xludf.DUMMYFUNCTION("""COMPUTED_VALUE"""),"No task description")</f>
        <v/>
      </c>
      <c r="E465"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5" s="7" t="inlineStr">
        <is>
          <t>Students were given no task descriptions for Items 2 and 3. Embedded artifacts include a GIF image and the Experiment Design Tool (EDT) app.</t>
        </is>
      </c>
      <c r="G465" s="8" t="inlineStr">
        <is>
          <t>0</t>
        </is>
      </c>
      <c r="H465" s="8" t="inlineStr">
        <is>
          <t>1</t>
        </is>
      </c>
      <c r="I465" s="8" t="inlineStr">
        <is>
          <t>1</t>
        </is>
      </c>
      <c r="J465" s="8" t="inlineStr">
        <is>
          <t>1</t>
        </is>
      </c>
      <c r="K465" s="9" t="inlineStr">
        <is>
          <t>1</t>
        </is>
      </c>
      <c r="L465" s="9" t="inlineStr">
        <is>
          <t>1</t>
        </is>
      </c>
      <c r="M465" s="9" t="inlineStr">
        <is>
          <t>0</t>
        </is>
      </c>
      <c r="N465" s="9" t="inlineStr">
        <is>
          <t>0</t>
        </is>
      </c>
      <c r="O465" s="10" t="inlineStr">
        <is>
          <t>0</t>
        </is>
      </c>
      <c r="P465" s="10" t="inlineStr">
        <is>
          <t>1</t>
        </is>
      </c>
      <c r="Q465" s="10" t="inlineStr">
        <is>
          <t>1</t>
        </is>
      </c>
      <c r="R465" s="10" t="inlineStr">
        <is>
          <t>0</t>
        </is>
      </c>
      <c r="S465" s="10" t="inlineStr">
        <is>
          <t>0</t>
        </is>
      </c>
    </row>
    <row r="466" ht="37" customHeight="1">
      <c r="A466" s="6">
        <f>IFERROR(__xludf.DUMMYFUNCTION("""COMPUTED_VALUE"""),"˝ Otkrivanje ˝ Arhimedovog zakona (1)")</f>
        <v/>
      </c>
      <c r="B466" s="6">
        <f>IFERROR(__xludf.DUMMYFUNCTION("""COMPUTED_VALUE"""),"Space")</f>
        <v/>
      </c>
      <c r="C466" s="6">
        <f>IFERROR(__xludf.DUMMYFUNCTION("""COMPUTED_VALUE"""),"Investigation")</f>
        <v/>
      </c>
      <c r="D466" s="7">
        <f>IFERROR(__xludf.DUMMYFUNCTION("""COMPUTED_VALUE"""),"&lt;p&gt;This is the Investigation phase.&lt;/p&gt;")</f>
        <v/>
      </c>
      <c r="E466" s="7">
        <f>IFERROR(__xludf.DUMMYFUNCTION("""COMPUTED_VALUE"""),"No artifact embedded")</f>
        <v/>
      </c>
      <c r="F466" s="7" t="inlineStr">
        <is>
          <t>No task descriptions are provided for Items 1 and 2. Artifacts include a GIF image and the Experiment Design Tool (EDT) app.</t>
        </is>
      </c>
      <c r="G466" s="8" t="inlineStr">
        <is>
          <t>1</t>
        </is>
      </c>
      <c r="H466" s="8" t="inlineStr">
        <is>
          <t>0</t>
        </is>
      </c>
      <c r="I466" s="8" t="inlineStr">
        <is>
          <t>0</t>
        </is>
      </c>
      <c r="J466" s="8" t="inlineStr">
        <is>
          <t>0</t>
        </is>
      </c>
      <c r="K466" s="9" t="inlineStr">
        <is>
          <t>1</t>
        </is>
      </c>
      <c r="L466" s="9" t="inlineStr">
        <is>
          <t>0</t>
        </is>
      </c>
      <c r="M466" s="9" t="inlineStr">
        <is>
          <t>0</t>
        </is>
      </c>
      <c r="N466" s="9" t="inlineStr">
        <is>
          <t>0</t>
        </is>
      </c>
      <c r="O466" s="10" t="inlineStr">
        <is>
          <t>0</t>
        </is>
      </c>
      <c r="P466" s="10" t="inlineStr">
        <is>
          <t>0</t>
        </is>
      </c>
      <c r="Q466" s="10" t="inlineStr">
        <is>
          <t>1</t>
        </is>
      </c>
      <c r="R466" s="10" t="inlineStr">
        <is>
          <t>0</t>
        </is>
      </c>
      <c r="S466" s="10" t="inlineStr">
        <is>
          <t>0</t>
        </is>
      </c>
    </row>
    <row r="467" ht="373" customHeight="1">
      <c r="A467" s="6">
        <f>IFERROR(__xludf.DUMMYFUNCTION("""COMPUTED_VALUE"""),"˝ Otkrivanje ˝ Arhimedovog zakona (1)")</f>
        <v/>
      </c>
      <c r="B467" s="6">
        <f>IFERROR(__xludf.DUMMYFUNCTION("""COMPUTED_VALUE"""),"Application")</f>
        <v/>
      </c>
      <c r="C467" s="6">
        <f>IFERROR(__xludf.DUMMYFUNCTION("""COMPUTED_VALUE"""),"Splash app")</f>
        <v/>
      </c>
      <c r="D467" s="7">
        <f>IFERROR(__xludf.DUMMYFUNCTION("""COMPUTED_VALUE"""),"No task description")</f>
        <v/>
      </c>
      <c r="E467" s="7">
        <f>IFERROR(__xludf.DUMMYFUNCTION("""COMPUTED_VALUE"""),"Golabz app/lab: ""&lt;p&gt;In Splash students can create objects from object properties like mass, volume, and density, and drop these objects in a tube filled with a fluid. In some phases students can choose the density of the fluid themselves, allowing them t"&amp;"o discover the interaction between object properties and fluid density. &amp;nbsp;In other phases students can measure the amount of fluid displaced by the object and discover about Archimedes’ Principle.&lt;/p&gt;\r\n""")</f>
        <v/>
      </c>
      <c r="F467" s="7" t="inlineStr">
        <is>
          <t>Students were given tasks with embedded labs: EDT for experiment design and Splash for exploring object properties and fluid density.</t>
        </is>
      </c>
      <c r="G467" s="8" t="inlineStr">
        <is>
          <t>0</t>
        </is>
      </c>
      <c r="H467" s="8" t="inlineStr">
        <is>
          <t>1</t>
        </is>
      </c>
      <c r="I467" s="8" t="inlineStr">
        <is>
          <t>1</t>
        </is>
      </c>
      <c r="J467" s="8" t="inlineStr">
        <is>
          <t>1</t>
        </is>
      </c>
      <c r="K467" s="9" t="inlineStr">
        <is>
          <t>1</t>
        </is>
      </c>
      <c r="L467" s="9" t="inlineStr">
        <is>
          <t>1</t>
        </is>
      </c>
      <c r="M467" s="9" t="inlineStr">
        <is>
          <t>0</t>
        </is>
      </c>
      <c r="N467" s="9" t="inlineStr">
        <is>
          <t>0</t>
        </is>
      </c>
      <c r="O467" s="10" t="inlineStr">
        <is>
          <t>1</t>
        </is>
      </c>
      <c r="P467" s="10" t="inlineStr">
        <is>
          <t>0</t>
        </is>
      </c>
      <c r="Q467" s="10" t="inlineStr">
        <is>
          <t>1</t>
        </is>
      </c>
      <c r="R467" s="10" t="inlineStr">
        <is>
          <t>0</t>
        </is>
      </c>
      <c r="S467" s="10" t="inlineStr">
        <is>
          <t>0</t>
        </is>
      </c>
    </row>
    <row r="468" ht="409.5" customHeight="1">
      <c r="A468" s="6">
        <f>IFERROR(__xludf.DUMMYFUNCTION("""COMPUTED_VALUE"""),"˝ Otkrivanje ˝ Arhimedovog zakona (1)")</f>
        <v/>
      </c>
      <c r="B468" s="6">
        <f>IFERROR(__xludf.DUMMYFUNCTION("""COMPUTED_VALUE"""),"Application")</f>
        <v/>
      </c>
      <c r="C468" s="6">
        <f>IFERROR(__xludf.DUMMYFUNCTION("""COMPUTED_VALUE"""),"Table tool")</f>
        <v/>
      </c>
      <c r="D468" s="7">
        <f>IFERROR(__xludf.DUMMYFUNCTION("""COMPUTED_VALUE"""),"No task description")</f>
        <v/>
      </c>
      <c r="E46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68" s="7" t="inlineStr">
        <is>
          <t>Students investigate object properties and fluid density using Golabz apps, with tasks including creating objects and measuring fluid displacement.</t>
        </is>
      </c>
      <c r="G468" s="8" t="inlineStr">
        <is>
          <t>0</t>
        </is>
      </c>
      <c r="H468" s="8" t="inlineStr">
        <is>
          <t>1</t>
        </is>
      </c>
      <c r="I468" s="8" t="inlineStr">
        <is>
          <t>1</t>
        </is>
      </c>
      <c r="J468" s="8" t="inlineStr">
        <is>
          <t>1</t>
        </is>
      </c>
      <c r="K468" s="9" t="inlineStr">
        <is>
          <t>0</t>
        </is>
      </c>
      <c r="L468" s="9" t="inlineStr">
        <is>
          <t>1</t>
        </is>
      </c>
      <c r="M468" s="9" t="inlineStr">
        <is>
          <t>1</t>
        </is>
      </c>
      <c r="N468" s="9" t="inlineStr">
        <is>
          <t>1</t>
        </is>
      </c>
      <c r="O468" s="10" t="inlineStr">
        <is>
          <t>0</t>
        </is>
      </c>
      <c r="P468" s="10" t="inlineStr">
        <is>
          <t>0</t>
        </is>
      </c>
      <c r="Q468" s="10" t="inlineStr">
        <is>
          <t>0</t>
        </is>
      </c>
      <c r="R468" s="10" t="inlineStr">
        <is>
          <t>0</t>
        </is>
      </c>
      <c r="S468" s="10" t="inlineStr">
        <is>
          <t>0</t>
        </is>
      </c>
    </row>
    <row r="469" ht="409.5" customHeight="1">
      <c r="A469" s="6">
        <f>IFERROR(__xludf.DUMMYFUNCTION("""COMPUTED_VALUE"""),"˝ Otkrivanje ˝ Arhimedovog zakona (1)")</f>
        <v/>
      </c>
      <c r="B469" s="6">
        <f>IFERROR(__xludf.DUMMYFUNCTION("""COMPUTED_VALUE"""),"Application")</f>
        <v/>
      </c>
      <c r="C469" s="6">
        <f>IFERROR(__xludf.DUMMYFUNCTION("""COMPUTED_VALUE"""),"Experiment Design Tool")</f>
        <v/>
      </c>
      <c r="D469" s="7">
        <f>IFERROR(__xludf.DUMMYFUNCTION("""COMPUTED_VALUE"""),"No task description")</f>
        <v/>
      </c>
      <c r="E46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9" s="7" t="inlineStr">
        <is>
          <t>No task descriptions. Embedded artifacts include Golabz apps for interactive science experiments and data analysis tools.</t>
        </is>
      </c>
      <c r="G469" s="8" t="inlineStr">
        <is>
          <t>0</t>
        </is>
      </c>
      <c r="H469" s="8" t="inlineStr">
        <is>
          <t>1</t>
        </is>
      </c>
      <c r="I469" s="8" t="inlineStr">
        <is>
          <t>1</t>
        </is>
      </c>
      <c r="J469" s="8" t="inlineStr">
        <is>
          <t>1</t>
        </is>
      </c>
      <c r="K469" s="9" t="inlineStr">
        <is>
          <t>1</t>
        </is>
      </c>
      <c r="L469" s="9" t="inlineStr">
        <is>
          <t>0</t>
        </is>
      </c>
      <c r="M469" s="9" t="inlineStr">
        <is>
          <t>0</t>
        </is>
      </c>
      <c r="N469" s="9" t="inlineStr">
        <is>
          <t>0</t>
        </is>
      </c>
      <c r="O469" s="10" t="inlineStr">
        <is>
          <t>0</t>
        </is>
      </c>
      <c r="P469" s="10" t="inlineStr">
        <is>
          <t>1</t>
        </is>
      </c>
      <c r="Q469" s="10" t="inlineStr">
        <is>
          <t>1</t>
        </is>
      </c>
      <c r="R469" s="10" t="inlineStr">
        <is>
          <t>0</t>
        </is>
      </c>
      <c r="S469" s="10" t="inlineStr">
        <is>
          <t>0</t>
        </is>
      </c>
    </row>
    <row r="470" ht="49" customHeight="1">
      <c r="A470" s="6">
        <f>IFERROR(__xludf.DUMMYFUNCTION("""COMPUTED_VALUE"""),"˝ Otkrivanje ˝ Arhimedovog zakona (1)")</f>
        <v/>
      </c>
      <c r="B470" s="6">
        <f>IFERROR(__xludf.DUMMYFUNCTION("""COMPUTED_VALUE"""),"Application")</f>
        <v/>
      </c>
      <c r="C470" s="6">
        <f>IFERROR(__xludf.DUMMYFUNCTION("""COMPUTED_VALUE"""),"Laboratory")</f>
        <v/>
      </c>
      <c r="D470" s="7">
        <f>IFERROR(__xludf.DUMMYFUNCTION("""COMPUTED_VALUE"""),"No task description")</f>
        <v/>
      </c>
      <c r="E470" s="7">
        <f>IFERROR(__xludf.DUMMYFUNCTION("""COMPUTED_VALUE"""),"Golabz app/lab: No description available for this online lab")</f>
        <v/>
      </c>
      <c r="F470" s="7" t="inlineStr">
        <is>
          <t>No task descriptions provided. Embedded artifacts describe Golabz apps for data entry and experiment design.</t>
        </is>
      </c>
      <c r="G470" s="8" t="inlineStr">
        <is>
          <t>1</t>
        </is>
      </c>
      <c r="H470" s="8" t="inlineStr">
        <is>
          <t>0</t>
        </is>
      </c>
      <c r="I470" s="8" t="inlineStr">
        <is>
          <t>0</t>
        </is>
      </c>
      <c r="J470" s="8" t="inlineStr">
        <is>
          <t>0</t>
        </is>
      </c>
      <c r="K470" s="9" t="inlineStr">
        <is>
          <t>0</t>
        </is>
      </c>
      <c r="L470" s="9" t="inlineStr">
        <is>
          <t>0</t>
        </is>
      </c>
      <c r="M470" s="9" t="inlineStr">
        <is>
          <t>0</t>
        </is>
      </c>
      <c r="N470" s="9" t="inlineStr">
        <is>
          <t>0</t>
        </is>
      </c>
      <c r="O470" s="10" t="inlineStr">
        <is>
          <t>0</t>
        </is>
      </c>
      <c r="P470" s="10" t="inlineStr">
        <is>
          <t>0</t>
        </is>
      </c>
      <c r="Q470" s="10" t="inlineStr">
        <is>
          <t>0</t>
        </is>
      </c>
      <c r="R470" s="10" t="inlineStr">
        <is>
          <t>0</t>
        </is>
      </c>
      <c r="S470" s="10" t="inlineStr">
        <is>
          <t>0</t>
        </is>
      </c>
    </row>
    <row r="471" ht="37" customHeight="1">
      <c r="A471" s="6">
        <f>IFERROR(__xludf.DUMMYFUNCTION("""COMPUTED_VALUE"""),"˝ Otkrivanje ˝ Arhimedovog zakona (1)")</f>
        <v/>
      </c>
      <c r="B471" s="6">
        <f>IFERROR(__xludf.DUMMYFUNCTION("""COMPUTED_VALUE"""),"Space")</f>
        <v/>
      </c>
      <c r="C471" s="6">
        <f>IFERROR(__xludf.DUMMYFUNCTION("""COMPUTED_VALUE"""),"Conclusion")</f>
        <v/>
      </c>
      <c r="D471" s="7">
        <f>IFERROR(__xludf.DUMMYFUNCTION("""COMPUTED_VALUE"""),"&lt;p&gt;This is the Conclusion phase.&lt;/p&gt;")</f>
        <v/>
      </c>
      <c r="E471" s="7">
        <f>IFERROR(__xludf.DUMMYFUNCTION("""COMPUTED_VALUE"""),"No artifact embedded")</f>
        <v/>
      </c>
      <c r="F471" s="7" t="inlineStr">
        <is>
          <t>No task descriptions are provided, but Items 1 and 2 include Golabz app/lab with an Experiment Design Tool.</t>
        </is>
      </c>
      <c r="G471" s="8" t="inlineStr">
        <is>
          <t>1</t>
        </is>
      </c>
      <c r="H471" s="8" t="inlineStr">
        <is>
          <t>0</t>
        </is>
      </c>
      <c r="I471" s="8" t="inlineStr">
        <is>
          <t>0</t>
        </is>
      </c>
      <c r="J471" s="8" t="inlineStr">
        <is>
          <t>0</t>
        </is>
      </c>
      <c r="K471" s="9" t="inlineStr">
        <is>
          <t>1</t>
        </is>
      </c>
      <c r="L471" s="9" t="inlineStr">
        <is>
          <t>0</t>
        </is>
      </c>
      <c r="M471" s="9" t="inlineStr">
        <is>
          <t>0</t>
        </is>
      </c>
      <c r="N471" s="9" t="inlineStr">
        <is>
          <t>0</t>
        </is>
      </c>
      <c r="O471" s="10" t="inlineStr">
        <is>
          <t>0</t>
        </is>
      </c>
      <c r="P471" s="10" t="inlineStr">
        <is>
          <t>0</t>
        </is>
      </c>
      <c r="Q471" s="10" t="inlineStr">
        <is>
          <t>0</t>
        </is>
      </c>
      <c r="R471" s="10" t="inlineStr">
        <is>
          <t>1</t>
        </is>
      </c>
      <c r="S471" s="10" t="inlineStr">
        <is>
          <t>0</t>
        </is>
      </c>
    </row>
    <row r="472" ht="37" customHeight="1">
      <c r="A472" s="6">
        <f>IFERROR(__xludf.DUMMYFUNCTION("""COMPUTED_VALUE"""),"˝ Otkrivanje ˝ Arhimedovog zakona (1)")</f>
        <v/>
      </c>
      <c r="B472" s="6">
        <f>IFERROR(__xludf.DUMMYFUNCTION("""COMPUTED_VALUE"""),"Space")</f>
        <v/>
      </c>
      <c r="C472" s="6">
        <f>IFERROR(__xludf.DUMMYFUNCTION("""COMPUTED_VALUE"""),"Discussion")</f>
        <v/>
      </c>
      <c r="D472" s="7">
        <f>IFERROR(__xludf.DUMMYFUNCTION("""COMPUTED_VALUE"""),"&lt;p&gt;This is the Discussion phase.&lt;/p&gt;")</f>
        <v/>
      </c>
      <c r="E472" s="7">
        <f>IFERROR(__xludf.DUMMYFUNCTION("""COMPUTED_VALUE"""),"No artifact embedded")</f>
        <v/>
      </c>
      <c r="F472" s="7" t="inlineStr">
        <is>
          <t>Students received task descriptions and embedded artifacts for three items, including a lab app, conclusion, and discussion phases.</t>
        </is>
      </c>
      <c r="G472" s="8" t="inlineStr">
        <is>
          <t>0</t>
        </is>
      </c>
      <c r="H472" s="8" t="inlineStr">
        <is>
          <t>0</t>
        </is>
      </c>
      <c r="I472" s="8" t="inlineStr">
        <is>
          <t>0</t>
        </is>
      </c>
      <c r="J472" s="8" t="inlineStr">
        <is>
          <t>1</t>
        </is>
      </c>
      <c r="K472" s="9" t="inlineStr">
        <is>
          <t>0</t>
        </is>
      </c>
      <c r="L472" s="9" t="inlineStr">
        <is>
          <t>0</t>
        </is>
      </c>
      <c r="M472" s="9" t="inlineStr">
        <is>
          <t>1</t>
        </is>
      </c>
      <c r="N472" s="9" t="inlineStr">
        <is>
          <t>0</t>
        </is>
      </c>
      <c r="O472" s="10" t="inlineStr">
        <is>
          <t>0</t>
        </is>
      </c>
      <c r="P472" s="10" t="inlineStr">
        <is>
          <t>0</t>
        </is>
      </c>
      <c r="Q472" s="10" t="inlineStr">
        <is>
          <t>0</t>
        </is>
      </c>
      <c r="R472" s="10" t="inlineStr">
        <is>
          <t>0</t>
        </is>
      </c>
      <c r="S472" s="10" t="inlineStr">
        <is>
          <t>1</t>
        </is>
      </c>
    </row>
    <row r="473" ht="25" customHeight="1">
      <c r="A473" s="6">
        <f>IFERROR(__xludf.DUMMYFUNCTION("""COMPUTED_VALUE"""),"Tsedey")</f>
        <v/>
      </c>
      <c r="B473" s="6">
        <f>IFERROR(__xludf.DUMMYFUNCTION("""COMPUTED_VALUE"""),"Space")</f>
        <v/>
      </c>
      <c r="C473" s="6">
        <f>IFERROR(__xludf.DUMMYFUNCTION("""COMPUTED_VALUE"""),"Orientation")</f>
        <v/>
      </c>
      <c r="D473" s="7">
        <f>IFERROR(__xludf.DUMMYFUNCTION("""COMPUTED_VALUE"""),"No task description")</f>
        <v/>
      </c>
      <c r="E473" s="7">
        <f>IFERROR(__xludf.DUMMYFUNCTION("""COMPUTED_VALUE"""),"No artifact embedded")</f>
        <v/>
      </c>
      <c r="F473" s="7" t="inlineStr">
        <is>
          <t>Students received instructions for Conclusion, Discussion, and an unspecified phase with no embedded artifacts.</t>
        </is>
      </c>
      <c r="G473" s="8" t="inlineStr">
        <is>
          <t>1</t>
        </is>
      </c>
      <c r="H473" s="8" t="inlineStr">
        <is>
          <t>0</t>
        </is>
      </c>
      <c r="I473" s="8" t="inlineStr">
        <is>
          <t>0</t>
        </is>
      </c>
      <c r="J473" s="8" t="inlineStr">
        <is>
          <t>0</t>
        </is>
      </c>
      <c r="K473" s="9" t="inlineStr">
        <is>
          <t>0</t>
        </is>
      </c>
      <c r="L473" s="9" t="inlineStr">
        <is>
          <t>0</t>
        </is>
      </c>
      <c r="M473" s="9" t="inlineStr">
        <is>
          <t>0</t>
        </is>
      </c>
      <c r="N473" s="9" t="inlineStr">
        <is>
          <t>0</t>
        </is>
      </c>
      <c r="O473" s="10" t="inlineStr">
        <is>
          <t>0</t>
        </is>
      </c>
      <c r="P473" s="10" t="inlineStr">
        <is>
          <t>0</t>
        </is>
      </c>
      <c r="Q473" s="10" t="inlineStr">
        <is>
          <t>0</t>
        </is>
      </c>
      <c r="R473" s="10" t="inlineStr">
        <is>
          <t>0</t>
        </is>
      </c>
      <c r="S473" s="10" t="inlineStr">
        <is>
          <t>0</t>
        </is>
      </c>
    </row>
    <row r="474" ht="37" customHeight="1">
      <c r="A474" s="6">
        <f>IFERROR(__xludf.DUMMYFUNCTION("""COMPUTED_VALUE"""),"Tsedey")</f>
        <v/>
      </c>
      <c r="B474" s="6">
        <f>IFERROR(__xludf.DUMMYFUNCTION("""COMPUTED_VALUE"""),"Resource")</f>
        <v/>
      </c>
      <c r="C474" s="6">
        <f>IFERROR(__xludf.DUMMYFUNCTION("""COMPUTED_VALUE"""),"Text.graasp")</f>
        <v/>
      </c>
      <c r="D474" s="7">
        <f>IFERROR(__xludf.DUMMYFUNCTION("""COMPUTED_VALUE"""),"&lt;p&gt;best game on this app easy enough &lt;/p&gt;")</f>
        <v/>
      </c>
      <c r="E474" s="7">
        <f>IFERROR(__xludf.DUMMYFUNCTION("""COMPUTED_VALUE"""),"No artifact embedded")</f>
        <v/>
      </c>
      <c r="F474" s="7" t="inlineStr">
        <is>
          <t>Students were given vague instructions with no embedded artifacts in Items 1, 2, and 3.</t>
        </is>
      </c>
      <c r="G474" s="8" t="inlineStr">
        <is>
          <t>0</t>
        </is>
      </c>
      <c r="H474" s="8" t="inlineStr">
        <is>
          <t>0</t>
        </is>
      </c>
      <c r="I474" s="8" t="inlineStr">
        <is>
          <t>0</t>
        </is>
      </c>
      <c r="J474" s="8" t="inlineStr">
        <is>
          <t>0</t>
        </is>
      </c>
      <c r="K474" s="9" t="inlineStr">
        <is>
          <t>1</t>
        </is>
      </c>
      <c r="L474" s="9" t="inlineStr">
        <is>
          <t>0</t>
        </is>
      </c>
      <c r="M474" s="9" t="inlineStr">
        <is>
          <t>0</t>
        </is>
      </c>
      <c r="N474" s="9" t="inlineStr">
        <is>
          <t>0</t>
        </is>
      </c>
      <c r="O474" s="10" t="inlineStr">
        <is>
          <t>0</t>
        </is>
      </c>
      <c r="P474" s="10" t="inlineStr">
        <is>
          <t>0</t>
        </is>
      </c>
      <c r="Q474" s="10" t="inlineStr">
        <is>
          <t>0</t>
        </is>
      </c>
      <c r="R474" s="10" t="inlineStr">
        <is>
          <t>0</t>
        </is>
      </c>
      <c r="S474" s="10" t="inlineStr">
        <is>
          <t>0</t>
        </is>
      </c>
    </row>
    <row r="475" ht="409.5" customHeight="1">
      <c r="A475" s="6">
        <f>IFERROR(__xludf.DUMMYFUNCTION("""COMPUTED_VALUE"""),"Tsedey")</f>
        <v/>
      </c>
      <c r="B475" s="6">
        <f>IFERROR(__xludf.DUMMYFUNCTION("""COMPUTED_VALUE"""),"Resource")</f>
        <v/>
      </c>
      <c r="C475" s="6">
        <f>IFERROR(__xludf.DUMMYFUNCTION("""COMPUTED_VALUE"""),"I Bought My DREAM CAR and it's AMAZING!!!")</f>
        <v/>
      </c>
      <c r="D475" s="7">
        <f>IFERROR(__xludf.DUMMYFUNCTION("""COMPUTED_VALUE"""),"I finally did it, I bought my dream car an AM General Hummer H1! Not only did I buy it, but in this video I take it off road, ford through flooded roads, and drive over cars and crush them. After years of hard work, dedication and passion, I was able to s"&amp;"ave up enough to buy a car, well technically a truck, that I have wanted since I was a kid. This video is super special to me and I hope you enjoy it! Also, there is a kinda-sorta ChrisFix face reveal in this video...  Where I found my dream car: https://"&amp;"www.AutoTempest.com  Surprising my Mom with her Dream Car: https://youtu.be/Quvby2Me5CM Buying a $300 Car: https://youtu.be/7VX090Fi63E  Adhesion Promoter Paint: https://amzn.to/2Hn0o8k Matte Black Paint: https://amzn.to/2ZlzCU1 Measuring wheel (for the b"&amp;"rake test): https://amzn.to/2ziUKQa Round Xenon Headlights: https://amzn.to/2L43Sxr Fluid Pump: https://amzn.to/322laSm  For the helicopter and tank footage: The appearance of U.S. Department of Defense (DoD) visual information does not imply or constitut"&amp;"e DoD endorsement.  → Become a ChrisFix Subscriber: http://www.youtube.com/subscription_center?add_user=paintballoo7 → Instagram: https://www.instagram.com/chrisfixit → Facebook: https://www.facebook.com/chrisfix8 → Website: http://www.ChrisFixed.com → My"&amp;" Channel Home Page: https://www.youtube.com/ChrisFix  **If the video was helpful, remember to give it a ""thumbs up"" and consider subscribing.**  Disclaimer: Due to factors beyond the control of ChrisFix, I cannot guarantee against improper use or unauth"&amp;"orized modifications of this information. ChrisFix assumes no liability for property damage or injury incurred as a result of any of the information contained in this video. Use this information at your own risk. ChrisFix recommends safe practices when wo"&amp;"rking on vehicles and or with tools seen or implied in this video. Due to factors beyond the control of ChrisFix, no information contained in this video shall create any expressed or implied warranty or guarantee of any particular result. Any injury, dama"&amp;"ge, or loss that may result from improper use of these tools, equipment, or from the information contained in this video is the sole responsibility of the user and not ChrisFix.")</f>
        <v/>
      </c>
      <c r="E475" s="7">
        <f>IFERROR(__xludf.DUMMYFUNCTION("""COMPUTED_VALUE"""),"youtu.be: A shortened URL service for YouTube, leading to various videos on the platform.")</f>
        <v/>
      </c>
      <c r="F475" s="7" t="inlineStr">
        <is>
          <t>Students have no task descriptions for Item1. Item2 has a simple game task. Item3 involves watching a video about buying a dream car with embedded YouTube links.</t>
        </is>
      </c>
      <c r="G475" s="8" t="inlineStr">
        <is>
          <t>0</t>
        </is>
      </c>
      <c r="H475" s="8" t="inlineStr">
        <is>
          <t>0</t>
        </is>
      </c>
      <c r="I475" s="8" t="inlineStr">
        <is>
          <t>0</t>
        </is>
      </c>
      <c r="J475" s="8" t="inlineStr">
        <is>
          <t>0</t>
        </is>
      </c>
      <c r="K475" s="9" t="inlineStr">
        <is>
          <t>0</t>
        </is>
      </c>
      <c r="L475" s="9" t="inlineStr">
        <is>
          <t>0</t>
        </is>
      </c>
      <c r="M475" s="9" t="inlineStr">
        <is>
          <t>0</t>
        </is>
      </c>
      <c r="N475" s="9" t="inlineStr">
        <is>
          <t>0</t>
        </is>
      </c>
      <c r="O475" s="10" t="inlineStr">
        <is>
          <t>0</t>
        </is>
      </c>
      <c r="P475" s="10" t="inlineStr">
        <is>
          <t>0</t>
        </is>
      </c>
      <c r="Q475" s="10" t="inlineStr">
        <is>
          <t>0</t>
        </is>
      </c>
      <c r="R475" s="10" t="inlineStr">
        <is>
          <t>0</t>
        </is>
      </c>
      <c r="S475" s="10" t="inlineStr">
        <is>
          <t>0</t>
        </is>
      </c>
    </row>
    <row r="476" ht="409.5" customHeight="1">
      <c r="A476" s="6">
        <f>IFERROR(__xludf.DUMMYFUNCTION("""COMPUTED_VALUE"""),"Tsedey")</f>
        <v/>
      </c>
      <c r="B476" s="6">
        <f>IFERROR(__xludf.DUMMYFUNCTION("""COMPUTED_VALUE"""),"Application")</f>
        <v/>
      </c>
      <c r="C476" s="6">
        <f>IFERROR(__xludf.DUMMYFUNCTION("""COMPUTED_VALUE"""),"Concept Mapper")</f>
        <v/>
      </c>
      <c r="D476" s="7">
        <f>IFERROR(__xludf.DUMMYFUNCTION("""COMPUTED_VALUE"""),"No task description")</f>
        <v/>
      </c>
      <c r="E476"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76" s="7" t="inlineStr">
        <is>
          <t>Students received task descriptions and embedded artifacts for Items 1 and 2, with Item 3 lacking a task description but having an artifact.</t>
        </is>
      </c>
      <c r="G476" s="8" t="inlineStr">
        <is>
          <t>0</t>
        </is>
      </c>
      <c r="H476" s="8" t="inlineStr">
        <is>
          <t>1</t>
        </is>
      </c>
      <c r="I476" s="8" t="inlineStr">
        <is>
          <t>1</t>
        </is>
      </c>
      <c r="J476" s="8" t="inlineStr">
        <is>
          <t>1</t>
        </is>
      </c>
      <c r="K476" s="9" t="inlineStr">
        <is>
          <t>0</t>
        </is>
      </c>
      <c r="L476" s="9" t="inlineStr">
        <is>
          <t>1</t>
        </is>
      </c>
      <c r="M476" s="9" t="inlineStr">
        <is>
          <t>0</t>
        </is>
      </c>
      <c r="N476" s="9" t="inlineStr">
        <is>
          <t>1</t>
        </is>
      </c>
      <c r="O476" s="10" t="inlineStr">
        <is>
          <t>0</t>
        </is>
      </c>
      <c r="P476" s="10" t="inlineStr">
        <is>
          <t>1</t>
        </is>
      </c>
      <c r="Q476" s="10" t="inlineStr">
        <is>
          <t>0</t>
        </is>
      </c>
      <c r="R476" s="10" t="inlineStr">
        <is>
          <t>0</t>
        </is>
      </c>
      <c r="S476" s="10" t="inlineStr">
        <is>
          <t>0</t>
        </is>
      </c>
    </row>
    <row r="477" ht="49" customHeight="1">
      <c r="A477" s="6">
        <f>IFERROR(__xludf.DUMMYFUNCTION("""COMPUTED_VALUE"""),"Tsedey")</f>
        <v/>
      </c>
      <c r="B477" s="6">
        <f>IFERROR(__xludf.DUMMYFUNCTION("""COMPUTED_VALUE"""),"Application")</f>
        <v/>
      </c>
      <c r="C477" s="6">
        <f>IFERROR(__xludf.DUMMYFUNCTION("""COMPUTED_VALUE"""),"Input")</f>
        <v/>
      </c>
      <c r="D477" s="7">
        <f>IFERROR(__xludf.DUMMYFUNCTION("""COMPUTED_VALUE"""),"No task description")</f>
        <v/>
      </c>
      <c r="E477" s="7">
        <f>IFERROR(__xludf.DUMMYFUNCTION("""COMPUTED_VALUE"""),"Golabz app/lab: No description available for this online app")</f>
        <v/>
      </c>
      <c r="F477" s="7" t="inlineStr">
        <is>
          <t>No instructions are provided to students; embedded artifacts include YouTube links and Golabz app descriptions.</t>
        </is>
      </c>
      <c r="G477" s="8" t="inlineStr">
        <is>
          <t>1</t>
        </is>
      </c>
      <c r="H477" s="8" t="inlineStr">
        <is>
          <t>0</t>
        </is>
      </c>
      <c r="I477" s="8" t="inlineStr">
        <is>
          <t>0</t>
        </is>
      </c>
      <c r="J477" s="8" t="inlineStr">
        <is>
          <t>0</t>
        </is>
      </c>
      <c r="K477" s="9" t="inlineStr">
        <is>
          <t>0</t>
        </is>
      </c>
      <c r="L477" s="9" t="inlineStr">
        <is>
          <t>0</t>
        </is>
      </c>
      <c r="M477" s="9" t="inlineStr">
        <is>
          <t>0</t>
        </is>
      </c>
      <c r="N477" s="9" t="inlineStr">
        <is>
          <t>0</t>
        </is>
      </c>
      <c r="O477" s="10" t="inlineStr">
        <is>
          <t>0</t>
        </is>
      </c>
      <c r="P477" s="10" t="inlineStr">
        <is>
          <t>0</t>
        </is>
      </c>
      <c r="Q477" s="10" t="inlineStr">
        <is>
          <t>0</t>
        </is>
      </c>
      <c r="R477" s="10" t="inlineStr">
        <is>
          <t>0</t>
        </is>
      </c>
      <c r="S477" s="10" t="inlineStr">
        <is>
          <t>0</t>
        </is>
      </c>
    </row>
    <row r="478" ht="25" customHeight="1">
      <c r="A478" s="6">
        <f>IFERROR(__xludf.DUMMYFUNCTION("""COMPUTED_VALUE"""),"Tsedey")</f>
        <v/>
      </c>
      <c r="B478" s="6">
        <f>IFERROR(__xludf.DUMMYFUNCTION("""COMPUTED_VALUE"""),"Space")</f>
        <v/>
      </c>
      <c r="C478" s="6">
        <f>IFERROR(__xludf.DUMMYFUNCTION("""COMPUTED_VALUE"""),"Conceptualisation")</f>
        <v/>
      </c>
      <c r="D478" s="7">
        <f>IFERROR(__xludf.DUMMYFUNCTION("""COMPUTED_VALUE"""),"No task description")</f>
        <v/>
      </c>
      <c r="E478" s="7">
        <f>IFERROR(__xludf.DUMMYFUNCTION("""COMPUTED_VALUE"""),"No artifact embedded")</f>
        <v/>
      </c>
      <c r="F478" s="7" t="inlineStr">
        <is>
          <t>No task descriptions; artifacts include Golabz app/lab with Concept Mapper tool.</t>
        </is>
      </c>
      <c r="G478" s="8" t="inlineStr">
        <is>
          <t>1</t>
        </is>
      </c>
      <c r="H478" s="8" t="inlineStr">
        <is>
          <t>0</t>
        </is>
      </c>
      <c r="I478" s="8" t="inlineStr">
        <is>
          <t>0</t>
        </is>
      </c>
      <c r="J478" s="8" t="inlineStr">
        <is>
          <t>0</t>
        </is>
      </c>
      <c r="K478" s="9" t="inlineStr">
        <is>
          <t>0</t>
        </is>
      </c>
      <c r="L478" s="9" t="inlineStr">
        <is>
          <t>0</t>
        </is>
      </c>
      <c r="M478" s="9" t="inlineStr">
        <is>
          <t>0</t>
        </is>
      </c>
      <c r="N478" s="9" t="inlineStr">
        <is>
          <t>0</t>
        </is>
      </c>
      <c r="O478" s="10" t="inlineStr">
        <is>
          <t>0</t>
        </is>
      </c>
      <c r="P478" s="10" t="inlineStr">
        <is>
          <t>0</t>
        </is>
      </c>
      <c r="Q478" s="10" t="inlineStr">
        <is>
          <t>0</t>
        </is>
      </c>
      <c r="R478" s="10" t="inlineStr">
        <is>
          <t>0</t>
        </is>
      </c>
      <c r="S478" s="10" t="inlineStr">
        <is>
          <t>0</t>
        </is>
      </c>
    </row>
    <row r="479" ht="25" customHeight="1">
      <c r="A479" s="6">
        <f>IFERROR(__xludf.DUMMYFUNCTION("""COMPUTED_VALUE"""),"Tsedey")</f>
        <v/>
      </c>
      <c r="B479" s="6">
        <f>IFERROR(__xludf.DUMMYFUNCTION("""COMPUTED_VALUE"""),"Space")</f>
        <v/>
      </c>
      <c r="C479" s="6">
        <f>IFERROR(__xludf.DUMMYFUNCTION("""COMPUTED_VALUE"""),"Investigation")</f>
        <v/>
      </c>
      <c r="D479" s="7">
        <f>IFERROR(__xludf.DUMMYFUNCTION("""COMPUTED_VALUE"""),"No task description")</f>
        <v/>
      </c>
      <c r="E479" s="7">
        <f>IFERROR(__xludf.DUMMYFUNCTION("""COMPUTED_VALUE"""),"No artifact embedded")</f>
        <v/>
      </c>
      <c r="F479" s="7" t="inlineStr">
        <is>
          <t>No instructions or artifacts are provided to students in Items 1, 2, and 3.</t>
        </is>
      </c>
      <c r="G479" s="8" t="inlineStr">
        <is>
          <t>1</t>
        </is>
      </c>
      <c r="H479" s="8" t="inlineStr">
        <is>
          <t>0</t>
        </is>
      </c>
      <c r="I479" s="8" t="inlineStr">
        <is>
          <t>0</t>
        </is>
      </c>
      <c r="J479" s="8" t="inlineStr">
        <is>
          <t>0</t>
        </is>
      </c>
      <c r="K479" s="9" t="inlineStr">
        <is>
          <t>0</t>
        </is>
      </c>
      <c r="L479" s="9" t="inlineStr">
        <is>
          <t>0</t>
        </is>
      </c>
      <c r="M479" s="9" t="inlineStr">
        <is>
          <t>0</t>
        </is>
      </c>
      <c r="N479" s="9" t="inlineStr">
        <is>
          <t>0</t>
        </is>
      </c>
      <c r="O479" s="10" t="inlineStr">
        <is>
          <t>0</t>
        </is>
      </c>
      <c r="P479" s="10" t="inlineStr">
        <is>
          <t>0</t>
        </is>
      </c>
      <c r="Q479" s="10" t="inlineStr">
        <is>
          <t>0</t>
        </is>
      </c>
      <c r="R479" s="10" t="inlineStr">
        <is>
          <t>0</t>
        </is>
      </c>
      <c r="S479" s="10" t="inlineStr">
        <is>
          <t>0</t>
        </is>
      </c>
    </row>
    <row r="480" ht="25" customHeight="1">
      <c r="A480" s="6">
        <f>IFERROR(__xludf.DUMMYFUNCTION("""COMPUTED_VALUE"""),"Tsedey")</f>
        <v/>
      </c>
      <c r="B480" s="6">
        <f>IFERROR(__xludf.DUMMYFUNCTION("""COMPUTED_VALUE"""),"Space")</f>
        <v/>
      </c>
      <c r="C480" s="6">
        <f>IFERROR(__xludf.DUMMYFUNCTION("""COMPUTED_VALUE"""),"Conclusion")</f>
        <v/>
      </c>
      <c r="D480" s="7">
        <f>IFERROR(__xludf.DUMMYFUNCTION("""COMPUTED_VALUE"""),"No task description")</f>
        <v/>
      </c>
      <c r="E480" s="7">
        <f>IFERROR(__xludf.DUMMYFUNCTION("""COMPUTED_VALUE"""),"No artifact embedded")</f>
        <v/>
      </c>
      <c r="F480" s="7" t="inlineStr">
        <is>
          <t>No instructions or artifacts are provided for any of the items.</t>
        </is>
      </c>
      <c r="G480" s="8" t="inlineStr">
        <is>
          <t>1</t>
        </is>
      </c>
      <c r="H480" s="8" t="inlineStr">
        <is>
          <t>0</t>
        </is>
      </c>
      <c r="I480" s="8" t="inlineStr">
        <is>
          <t>0</t>
        </is>
      </c>
      <c r="J480" s="8" t="inlineStr">
        <is>
          <t>0</t>
        </is>
      </c>
      <c r="K480" s="9" t="inlineStr">
        <is>
          <t>0</t>
        </is>
      </c>
      <c r="L480" s="9" t="inlineStr">
        <is>
          <t>0</t>
        </is>
      </c>
      <c r="M480" s="9" t="inlineStr">
        <is>
          <t>0</t>
        </is>
      </c>
      <c r="N480" s="9" t="inlineStr">
        <is>
          <t>0</t>
        </is>
      </c>
      <c r="O480" s="10" t="inlineStr">
        <is>
          <t>0</t>
        </is>
      </c>
      <c r="P480" s="10" t="inlineStr">
        <is>
          <t>0</t>
        </is>
      </c>
      <c r="Q480" s="10" t="inlineStr">
        <is>
          <t>0</t>
        </is>
      </c>
      <c r="R480" s="10" t="inlineStr">
        <is>
          <t>0</t>
        </is>
      </c>
      <c r="S480" s="10" t="inlineStr">
        <is>
          <t>0</t>
        </is>
      </c>
    </row>
    <row r="481" ht="25" customHeight="1">
      <c r="A481" s="6">
        <f>IFERROR(__xludf.DUMMYFUNCTION("""COMPUTED_VALUE"""),"Tsedey")</f>
        <v/>
      </c>
      <c r="B481" s="6">
        <f>IFERROR(__xludf.DUMMYFUNCTION("""COMPUTED_VALUE"""),"Space")</f>
        <v/>
      </c>
      <c r="C481" s="6">
        <f>IFERROR(__xludf.DUMMYFUNCTION("""COMPUTED_VALUE"""),"Discussion")</f>
        <v/>
      </c>
      <c r="D481" s="7">
        <f>IFERROR(__xludf.DUMMYFUNCTION("""COMPUTED_VALUE"""),"No task description")</f>
        <v/>
      </c>
      <c r="E481" s="7">
        <f>IFERROR(__xludf.DUMMYFUNCTION("""COMPUTED_VALUE"""),"No artifact embedded")</f>
        <v/>
      </c>
      <c r="F481" s="7" t="inlineStr">
        <is>
          <t>No instructions or artifacts are provided for any of the items.</t>
        </is>
      </c>
      <c r="G481" s="8" t="inlineStr">
        <is>
          <t>1</t>
        </is>
      </c>
      <c r="H481" s="8" t="inlineStr">
        <is>
          <t>0</t>
        </is>
      </c>
      <c r="I481" s="8" t="inlineStr">
        <is>
          <t>0</t>
        </is>
      </c>
      <c r="J481" s="8" t="inlineStr">
        <is>
          <t>0</t>
        </is>
      </c>
      <c r="K481" s="9" t="inlineStr">
        <is>
          <t>0</t>
        </is>
      </c>
      <c r="L481" s="9" t="inlineStr">
        <is>
          <t>0</t>
        </is>
      </c>
      <c r="M481" s="9" t="inlineStr">
        <is>
          <t>0</t>
        </is>
      </c>
      <c r="N481" s="9" t="inlineStr">
        <is>
          <t>0</t>
        </is>
      </c>
      <c r="O481" s="10" t="inlineStr">
        <is>
          <t>0</t>
        </is>
      </c>
      <c r="P481" s="10" t="inlineStr">
        <is>
          <t>0</t>
        </is>
      </c>
      <c r="Q481" s="10" t="inlineStr">
        <is>
          <t>0</t>
        </is>
      </c>
      <c r="R481" s="10" t="inlineStr">
        <is>
          <t>0</t>
        </is>
      </c>
      <c r="S481" s="10" t="inlineStr">
        <is>
          <t>0</t>
        </is>
      </c>
    </row>
    <row r="482" ht="37" customHeight="1">
      <c r="A482" s="6">
        <f>IFERROR(__xludf.DUMMYFUNCTION("""COMPUTED_VALUE"""),"Teste")</f>
        <v/>
      </c>
      <c r="B482" s="6">
        <f>IFERROR(__xludf.DUMMYFUNCTION("""COMPUTED_VALUE"""),"Space")</f>
        <v/>
      </c>
      <c r="C482" s="6">
        <f>IFERROR(__xludf.DUMMYFUNCTION("""COMPUTED_VALUE"""),"Orientation")</f>
        <v/>
      </c>
      <c r="D482" s="7">
        <f>IFERROR(__xludf.DUMMYFUNCTION("""COMPUTED_VALUE"""),"&lt;p&gt;This is the Orientation phase.&lt;/p&gt;")</f>
        <v/>
      </c>
      <c r="E482" s="7">
        <f>IFERROR(__xludf.DUMMYFUNCTION("""COMPUTED_VALUE"""),"No artifact embedded")</f>
        <v/>
      </c>
      <c r="F482" s="7" t="inlineStr">
        <is>
          <t>Students received no task descriptions for Items 1 and 2. Item 3's task was the Orientation phase with no embedded artifacts.</t>
        </is>
      </c>
      <c r="G482" s="8" t="inlineStr">
        <is>
          <t>1</t>
        </is>
      </c>
      <c r="H482" s="8" t="inlineStr">
        <is>
          <t>0</t>
        </is>
      </c>
      <c r="I482" s="8" t="inlineStr">
        <is>
          <t>0</t>
        </is>
      </c>
      <c r="J482" s="8" t="inlineStr">
        <is>
          <t>0</t>
        </is>
      </c>
      <c r="K482" s="9" t="inlineStr">
        <is>
          <t>1</t>
        </is>
      </c>
      <c r="L482" s="9" t="inlineStr">
        <is>
          <t>0</t>
        </is>
      </c>
      <c r="M482" s="9" t="inlineStr">
        <is>
          <t>0</t>
        </is>
      </c>
      <c r="N482" s="9" t="inlineStr">
        <is>
          <t>0</t>
        </is>
      </c>
      <c r="O482" s="10" t="inlineStr">
        <is>
          <t>1</t>
        </is>
      </c>
      <c r="P482" s="10" t="inlineStr">
        <is>
          <t>0</t>
        </is>
      </c>
      <c r="Q482" s="10" t="inlineStr">
        <is>
          <t>0</t>
        </is>
      </c>
      <c r="R482" s="10" t="inlineStr">
        <is>
          <t>0</t>
        </is>
      </c>
      <c r="S482" s="10" t="inlineStr">
        <is>
          <t>0</t>
        </is>
      </c>
    </row>
    <row r="483" ht="37" customHeight="1">
      <c r="A483" s="6">
        <f>IFERROR(__xludf.DUMMYFUNCTION("""COMPUTED_VALUE"""),"Teste")</f>
        <v/>
      </c>
      <c r="B483" s="6">
        <f>IFERROR(__xludf.DUMMYFUNCTION("""COMPUTED_VALUE"""),"Space")</f>
        <v/>
      </c>
      <c r="C483" s="6">
        <f>IFERROR(__xludf.DUMMYFUNCTION("""COMPUTED_VALUE"""),"Conceptualisation")</f>
        <v/>
      </c>
      <c r="D483" s="7">
        <f>IFERROR(__xludf.DUMMYFUNCTION("""COMPUTED_VALUE"""),"&lt;p&gt;This is the Conceptualisation phase.&lt;/p&gt;")</f>
        <v/>
      </c>
      <c r="E483" s="7">
        <f>IFERROR(__xludf.DUMMYFUNCTION("""COMPUTED_VALUE"""),"No artifact embedded")</f>
        <v/>
      </c>
      <c r="F483" s="7" t="inlineStr">
        <is>
          <t>Students were instructed on Orientation and Conceptualisation phases with no artifacts or task descriptions provided for some items.</t>
        </is>
      </c>
      <c r="G483" s="8" t="inlineStr">
        <is>
          <t>1</t>
        </is>
      </c>
      <c r="H483" s="8" t="inlineStr">
        <is>
          <t>0</t>
        </is>
      </c>
      <c r="I483" s="8" t="inlineStr">
        <is>
          <t>0</t>
        </is>
      </c>
      <c r="J483" s="8" t="inlineStr">
        <is>
          <t>0</t>
        </is>
      </c>
      <c r="K483" s="9" t="inlineStr">
        <is>
          <t>1</t>
        </is>
      </c>
      <c r="L483" s="9" t="inlineStr">
        <is>
          <t>0</t>
        </is>
      </c>
      <c r="M483" s="9" t="inlineStr">
        <is>
          <t>0</t>
        </is>
      </c>
      <c r="N483" s="9" t="inlineStr">
        <is>
          <t>0</t>
        </is>
      </c>
      <c r="O483" s="10" t="inlineStr">
        <is>
          <t>0</t>
        </is>
      </c>
      <c r="P483" s="10" t="inlineStr">
        <is>
          <t>1</t>
        </is>
      </c>
      <c r="Q483" s="10" t="inlineStr">
        <is>
          <t>0</t>
        </is>
      </c>
      <c r="R483" s="10" t="inlineStr">
        <is>
          <t>0</t>
        </is>
      </c>
      <c r="S483" s="10" t="inlineStr">
        <is>
          <t>0</t>
        </is>
      </c>
    </row>
    <row r="484" ht="37" customHeight="1">
      <c r="A484" s="6">
        <f>IFERROR(__xludf.DUMMYFUNCTION("""COMPUTED_VALUE"""),"Teste")</f>
        <v/>
      </c>
      <c r="B484" s="6">
        <f>IFERROR(__xludf.DUMMYFUNCTION("""COMPUTED_VALUE"""),"Space")</f>
        <v/>
      </c>
      <c r="C484" s="6">
        <f>IFERROR(__xludf.DUMMYFUNCTION("""COMPUTED_VALUE"""),"Investigation")</f>
        <v/>
      </c>
      <c r="D484" s="7">
        <f>IFERROR(__xludf.DUMMYFUNCTION("""COMPUTED_VALUE"""),"&lt;p&gt;This is the Investigation phase.&lt;/p&gt;")</f>
        <v/>
      </c>
      <c r="E484" s="7">
        <f>IFERROR(__xludf.DUMMYFUNCTION("""COMPUTED_VALUE"""),"No artifact embedded")</f>
        <v/>
      </c>
      <c r="F484" s="7" t="inlineStr">
        <is>
          <t>Students receive task descriptions for Orientation, Conceptualisation, and Investigation phases with no embedded artifacts.</t>
        </is>
      </c>
      <c r="G484" s="8" t="inlineStr">
        <is>
          <t>0</t>
        </is>
      </c>
      <c r="H484" s="8" t="inlineStr">
        <is>
          <t>0</t>
        </is>
      </c>
      <c r="I484" s="8" t="inlineStr">
        <is>
          <t>0</t>
        </is>
      </c>
      <c r="J484" s="8" t="inlineStr">
        <is>
          <t>0</t>
        </is>
      </c>
      <c r="K484" s="9" t="inlineStr">
        <is>
          <t>1</t>
        </is>
      </c>
      <c r="L484" s="9" t="inlineStr">
        <is>
          <t>0</t>
        </is>
      </c>
      <c r="M484" s="9" t="inlineStr">
        <is>
          <t>0</t>
        </is>
      </c>
      <c r="N484" s="9" t="inlineStr">
        <is>
          <t>0</t>
        </is>
      </c>
      <c r="O484" s="10" t="inlineStr">
        <is>
          <t>0</t>
        </is>
      </c>
      <c r="P484" s="10" t="inlineStr">
        <is>
          <t>0</t>
        </is>
      </c>
      <c r="Q484" s="10" t="inlineStr">
        <is>
          <t>1</t>
        </is>
      </c>
      <c r="R484" s="10" t="inlineStr">
        <is>
          <t>0</t>
        </is>
      </c>
      <c r="S484" s="10" t="inlineStr">
        <is>
          <t>0</t>
        </is>
      </c>
    </row>
    <row r="485" ht="340" customHeight="1">
      <c r="A485" s="6">
        <f>IFERROR(__xludf.DUMMYFUNCTION("""COMPUTED_VALUE"""),"Teste")</f>
        <v/>
      </c>
      <c r="B485" s="6">
        <f>IFERROR(__xludf.DUMMYFUNCTION("""COMPUTED_VALUE"""),"Application")</f>
        <v/>
      </c>
      <c r="C485" s="6">
        <f>IFERROR(__xludf.DUMMYFUNCTION("""COMPUTED_VALUE"""),"John Travoltage source")</f>
        <v/>
      </c>
      <c r="D485" s="7">
        <f>IFERROR(__xludf.DUMMYFUNCTION("""COMPUTED_VALUE"""),"No task description")</f>
        <v/>
      </c>
      <c r="E485" s="7">
        <f>IFERROR(__xludf.DUMMYFUNCTION("""COMPUTED_VALUE"""),"Golabz app/lab: ""&lt;p&gt;Make sparks fly with John Travoltage. Wiggle Johnnie&amp;#39;s foot and he picks up charges from the carpet. Bring his hand close to the door knob and get rid of the excess charge.&lt;/p&gt;&lt;p&gt;&lt;strong&gt;Sample Learning Goals&lt;/strong&gt;&lt;/p&gt;&lt;ul&gt;&lt;li&gt;D"&amp;"escribe and draw models for common static electricity concepts (transfer of charge, attraction, repulsion, and grounding).&lt;/li&gt;&lt;/ul&gt;""")</f>
        <v/>
      </c>
      <c r="F485" s="7" t="inlineStr">
        <is>
          <t>Students follow phases: Conceptualisation, Investigation. An artifact "John Travoltage" simulates static electricity concepts.</t>
        </is>
      </c>
      <c r="G485" s="8" t="inlineStr">
        <is>
          <t>0</t>
        </is>
      </c>
      <c r="H485" s="8" t="inlineStr">
        <is>
          <t>1</t>
        </is>
      </c>
      <c r="I485" s="8" t="inlineStr">
        <is>
          <t>1</t>
        </is>
      </c>
      <c r="J485" s="8" t="inlineStr">
        <is>
          <t>1</t>
        </is>
      </c>
      <c r="K485" s="9" t="inlineStr">
        <is>
          <t>1</t>
        </is>
      </c>
      <c r="L485" s="9" t="inlineStr">
        <is>
          <t>0</t>
        </is>
      </c>
      <c r="M485" s="9" t="inlineStr">
        <is>
          <t>0</t>
        </is>
      </c>
      <c r="N485" s="9" t="inlineStr">
        <is>
          <t>0</t>
        </is>
      </c>
      <c r="O485" s="10" t="inlineStr">
        <is>
          <t>1</t>
        </is>
      </c>
      <c r="P485" s="10" t="inlineStr">
        <is>
          <t>0</t>
        </is>
      </c>
      <c r="Q485" s="10" t="inlineStr">
        <is>
          <t>1</t>
        </is>
      </c>
      <c r="R485" s="10" t="inlineStr">
        <is>
          <t>0</t>
        </is>
      </c>
      <c r="S485" s="10" t="inlineStr">
        <is>
          <t>0</t>
        </is>
      </c>
    </row>
    <row r="486" ht="409.5" customHeight="1">
      <c r="A486" s="6">
        <f>IFERROR(__xludf.DUMMYFUNCTION("""COMPUTED_VALUE"""),"Teste")</f>
        <v/>
      </c>
      <c r="B486" s="6">
        <f>IFERROR(__xludf.DUMMYFUNCTION("""COMPUTED_VALUE"""),"Application")</f>
        <v/>
      </c>
      <c r="C486" s="6">
        <f>IFERROR(__xludf.DUMMYFUNCTION("""COMPUTED_VALUE"""),"Vector Addition")</f>
        <v/>
      </c>
      <c r="D486" s="7">
        <f>IFERROR(__xludf.DUMMYFUNCTION("""COMPUTED_VALUE"""),"No task description")</f>
        <v/>
      </c>
      <c r="E486" s="7">
        <f>IFERROR(__xludf.DUMMYFUNCTION("""COMPUTED_VALUE"""),"Golabz app/lab: ""&lt;p&gt;Explore vectors in 1D or 2D, and discover how vectors add together. Specify vectors in Cartesian or polar coordinates, and see the magnitude, angle, and components of each vector. Experiment with vector equations and compare vector su"&amp;"ms and differences.&lt;/p&gt;\r\n\r\n&lt;p&gt;Sample learning goals:&lt;/p&gt;\r\n\r\n&lt;ul&gt;\r\n\t&lt;li&gt;Describe a vector in your own words&lt;/li&gt;\r\n\t&lt;li&gt;Explain a method to add vectors&lt;/li&gt;\r\n\t&lt;li&gt;Compare and contrast the component styles&lt;/li&gt;\r\n\t&lt;li&gt;Decompose a vector in"&amp;"to components&lt;/li&gt;\r\n\t&lt;li&gt;Describe what happens to a vector when it is multiplied by a scalar&lt;/li&gt;\r\n\t&lt;li&gt;Arrange vectors graphically to represent vector addition or subtraction&lt;/li&gt;\r\n&lt;/ul&gt;\r\n""")</f>
        <v/>
      </c>
      <c r="F486" s="7" t="inlineStr">
        <is>
          <t>Students were given tasks with embedded labs: static electricity and vector exploration, with specific learning goals.</t>
        </is>
      </c>
      <c r="G486" s="8" t="inlineStr">
        <is>
          <t>0</t>
        </is>
      </c>
      <c r="H486" s="8" t="inlineStr">
        <is>
          <t>1</t>
        </is>
      </c>
      <c r="I486" s="8" t="inlineStr">
        <is>
          <t>1</t>
        </is>
      </c>
      <c r="J486" s="8" t="inlineStr">
        <is>
          <t>1</t>
        </is>
      </c>
      <c r="K486" s="9" t="inlineStr">
        <is>
          <t>1</t>
        </is>
      </c>
      <c r="L486" s="9" t="inlineStr">
        <is>
          <t>0</t>
        </is>
      </c>
      <c r="M486" s="9" t="inlineStr">
        <is>
          <t>0</t>
        </is>
      </c>
      <c r="N486" s="9" t="inlineStr">
        <is>
          <t>0</t>
        </is>
      </c>
      <c r="O486" s="10" t="inlineStr">
        <is>
          <t>1</t>
        </is>
      </c>
      <c r="P486" s="10" t="inlineStr">
        <is>
          <t>0</t>
        </is>
      </c>
      <c r="Q486" s="10" t="inlineStr">
        <is>
          <t>1</t>
        </is>
      </c>
      <c r="R486" s="10" t="inlineStr">
        <is>
          <t>0</t>
        </is>
      </c>
      <c r="S486" s="10" t="inlineStr">
        <is>
          <t>0</t>
        </is>
      </c>
    </row>
    <row r="487" ht="37" customHeight="1">
      <c r="A487" s="6">
        <f>IFERROR(__xludf.DUMMYFUNCTION("""COMPUTED_VALUE"""),"Teste")</f>
        <v/>
      </c>
      <c r="B487" s="6">
        <f>IFERROR(__xludf.DUMMYFUNCTION("""COMPUTED_VALUE"""),"Space")</f>
        <v/>
      </c>
      <c r="C487" s="6">
        <f>IFERROR(__xludf.DUMMYFUNCTION("""COMPUTED_VALUE"""),"Conclusion")</f>
        <v/>
      </c>
      <c r="D487" s="7">
        <f>IFERROR(__xludf.DUMMYFUNCTION("""COMPUTED_VALUE"""),"&lt;p&gt;This is the Conclusion phase.&lt;/p&gt;")</f>
        <v/>
      </c>
      <c r="E487" s="7">
        <f>IFERROR(__xludf.DUMMYFUNCTION("""COMPUTED_VALUE"""),"No artifact embedded")</f>
        <v/>
      </c>
      <c r="F487" s="7" t="inlineStr">
        <is>
          <t>Students use Golabz app/labs for static electricity and vector exploration with sample learning goals.</t>
        </is>
      </c>
      <c r="G487" s="8" t="inlineStr">
        <is>
          <t>1</t>
        </is>
      </c>
      <c r="H487" s="8" t="inlineStr">
        <is>
          <t>0</t>
        </is>
      </c>
      <c r="I487" s="8" t="inlineStr">
        <is>
          <t>0</t>
        </is>
      </c>
      <c r="J487" s="8" t="inlineStr">
        <is>
          <t>0</t>
        </is>
      </c>
      <c r="K487" s="9" t="inlineStr">
        <is>
          <t>1</t>
        </is>
      </c>
      <c r="L487" s="9" t="inlineStr">
        <is>
          <t>0</t>
        </is>
      </c>
      <c r="M487" s="9" t="inlineStr">
        <is>
          <t>0</t>
        </is>
      </c>
      <c r="N487" s="9" t="inlineStr">
        <is>
          <t>0</t>
        </is>
      </c>
      <c r="O487" s="10" t="inlineStr">
        <is>
          <t>0</t>
        </is>
      </c>
      <c r="P487" s="10" t="inlineStr">
        <is>
          <t>0</t>
        </is>
      </c>
      <c r="Q487" s="10" t="inlineStr">
        <is>
          <t>0</t>
        </is>
      </c>
      <c r="R487" s="10" t="inlineStr">
        <is>
          <t>1</t>
        </is>
      </c>
      <c r="S487" s="10" t="inlineStr">
        <is>
          <t>0</t>
        </is>
      </c>
    </row>
    <row r="488" ht="37" customHeight="1">
      <c r="A488" s="6">
        <f>IFERROR(__xludf.DUMMYFUNCTION("""COMPUTED_VALUE"""),"Teste")</f>
        <v/>
      </c>
      <c r="B488" s="6">
        <f>IFERROR(__xludf.DUMMYFUNCTION("""COMPUTED_VALUE"""),"Space")</f>
        <v/>
      </c>
      <c r="C488" s="6">
        <f>IFERROR(__xludf.DUMMYFUNCTION("""COMPUTED_VALUE"""),"Discussion")</f>
        <v/>
      </c>
      <c r="D488" s="7">
        <f>IFERROR(__xludf.DUMMYFUNCTION("""COMPUTED_VALUE"""),"&lt;p&gt;This is the Discussion phase.&lt;/p&gt;")</f>
        <v/>
      </c>
      <c r="E488" s="7">
        <f>IFERROR(__xludf.DUMMYFUNCTION("""COMPUTED_VALUE"""),"No artifact embedded")</f>
        <v/>
      </c>
      <c r="F488" s="7" t="inlineStr">
        <is>
          <t>Students explore vectors using Golabz app, describing and adding vectors, comparing components, and decomposing vectors.</t>
        </is>
      </c>
      <c r="G488" s="8" t="inlineStr">
        <is>
          <t>0</t>
        </is>
      </c>
      <c r="H488" s="8" t="inlineStr">
        <is>
          <t>0</t>
        </is>
      </c>
      <c r="I488" s="8" t="inlineStr">
        <is>
          <t>0</t>
        </is>
      </c>
      <c r="J488" s="8" t="inlineStr">
        <is>
          <t>1</t>
        </is>
      </c>
      <c r="K488" s="9" t="inlineStr">
        <is>
          <t>0</t>
        </is>
      </c>
      <c r="L488" s="9" t="inlineStr">
        <is>
          <t>0</t>
        </is>
      </c>
      <c r="M488" s="9" t="inlineStr">
        <is>
          <t>1</t>
        </is>
      </c>
      <c r="N488" s="9" t="inlineStr">
        <is>
          <t>0</t>
        </is>
      </c>
      <c r="O488" s="10" t="inlineStr">
        <is>
          <t>0</t>
        </is>
      </c>
      <c r="P488" s="10" t="inlineStr">
        <is>
          <t>0</t>
        </is>
      </c>
      <c r="Q488" s="10" t="inlineStr">
        <is>
          <t>0</t>
        </is>
      </c>
      <c r="R488" s="10" t="inlineStr">
        <is>
          <t>0</t>
        </is>
      </c>
      <c r="S488" s="10" t="inlineStr">
        <is>
          <t>1</t>
        </is>
      </c>
    </row>
    <row r="489" ht="133" customHeight="1">
      <c r="A489" s="6">
        <f>IFERROR(__xludf.DUMMYFUNCTION("""COMPUTED_VALUE"""),"ROU - Școala Gimnazială nr. 9 „Nicolae Orghidan” Brașov")</f>
        <v/>
      </c>
      <c r="B489" s="6">
        <f>IFERROR(__xludf.DUMMYFUNCTION("""COMPUTED_VALUE"""),"Space")</f>
        <v/>
      </c>
      <c r="C489" s="6">
        <f>IFERROR(__xludf.DUMMYFUNCTION("""COMPUTED_VALUE"""),"Meet the team")</f>
        <v/>
      </c>
      <c r="D489" s="7">
        <f>IFERROR(__xludf.DUMMYFUNCTION("""COMPUTED_VALUE"""),"&lt;p&gt;This space was created for each member of the team to present itself. You can add pictures, quotes, or a simple sentence. Your creativity is welcome.&lt;/p&gt;")</f>
        <v/>
      </c>
      <c r="E489" s="7">
        <f>IFERROR(__xludf.DUMMYFUNCTION("""COMPUTED_VALUE"""),"No artifact embedded")</f>
        <v/>
      </c>
      <c r="F489" s="7" t="inlineStr">
        <is>
          <t>Students were instructed on Conclusion, Discussion, and team introduction phases with no artifacts embedded.</t>
        </is>
      </c>
      <c r="G489" s="8" t="inlineStr">
        <is>
          <t>0</t>
        </is>
      </c>
      <c r="H489" s="8" t="inlineStr">
        <is>
          <t>0</t>
        </is>
      </c>
      <c r="I489" s="8" t="inlineStr">
        <is>
          <t>1</t>
        </is>
      </c>
      <c r="J489" s="8" t="inlineStr">
        <is>
          <t>0</t>
        </is>
      </c>
      <c r="K489" s="9" t="inlineStr">
        <is>
          <t>0</t>
        </is>
      </c>
      <c r="L489" s="9" t="inlineStr">
        <is>
          <t>1</t>
        </is>
      </c>
      <c r="M489" s="9" t="inlineStr">
        <is>
          <t>0</t>
        </is>
      </c>
      <c r="N489" s="9" t="inlineStr">
        <is>
          <t>0</t>
        </is>
      </c>
      <c r="O489" s="10" t="inlineStr">
        <is>
          <t>0</t>
        </is>
      </c>
      <c r="P489" s="10" t="inlineStr">
        <is>
          <t>0</t>
        </is>
      </c>
      <c r="Q489" s="10" t="inlineStr">
        <is>
          <t>0</t>
        </is>
      </c>
      <c r="R489" s="10" t="inlineStr">
        <is>
          <t>0</t>
        </is>
      </c>
      <c r="S489" s="10" t="inlineStr">
        <is>
          <t>1</t>
        </is>
      </c>
    </row>
    <row r="490" ht="121" customHeight="1">
      <c r="A490" s="6">
        <f>IFERROR(__xludf.DUMMYFUNCTION("""COMPUTED_VALUE"""),"ROU - Școala Gimnazială nr. 9 „Nicolae Orghidan” Brașov")</f>
        <v/>
      </c>
      <c r="B490" s="6">
        <f>IFERROR(__xludf.DUMMYFUNCTION("""COMPUTED_VALUE"""),"Resource")</f>
        <v/>
      </c>
      <c r="C490" s="6">
        <f>IFERROR(__xludf.DUMMYFUNCTION("""COMPUTED_VALUE"""),"Școala Gimnazială Nr. 9 „Nicolae Orghidan” Brașov, România")</f>
        <v/>
      </c>
      <c r="D490" s="7">
        <f>IFERROR(__xludf.DUMMYFUNCTION("""COMPUTED_VALUE"""),"No task description")</f>
        <v/>
      </c>
      <c r="E490" s="7">
        <f>IFERROR(__xludf.DUMMYFUNCTION("""COMPUTED_VALUE"""),"slideshare.net: A platform for sharing presentations and documents, including educational materials from various institutions.")</f>
        <v/>
      </c>
      <c r="F490" s="7" t="inlineStr">
        <is>
          <t>Students were given tasks to discuss and introduce themselves. Embedded artifacts include a presentation-sharing platform, Slideshare.</t>
        </is>
      </c>
      <c r="G490" s="8" t="inlineStr">
        <is>
          <t>1</t>
        </is>
      </c>
      <c r="H490" s="8" t="inlineStr">
        <is>
          <t>0</t>
        </is>
      </c>
      <c r="I490" s="8" t="inlineStr">
        <is>
          <t>0</t>
        </is>
      </c>
      <c r="J490" s="8" t="inlineStr">
        <is>
          <t>0</t>
        </is>
      </c>
      <c r="K490" s="9" t="inlineStr">
        <is>
          <t>0</t>
        </is>
      </c>
      <c r="L490" s="9" t="inlineStr">
        <is>
          <t>0</t>
        </is>
      </c>
      <c r="M490" s="9" t="inlineStr">
        <is>
          <t>0</t>
        </is>
      </c>
      <c r="N490" s="9" t="inlineStr">
        <is>
          <t>0</t>
        </is>
      </c>
      <c r="O490" s="10" t="inlineStr">
        <is>
          <t>0</t>
        </is>
      </c>
      <c r="P490" s="10" t="inlineStr">
        <is>
          <t>0</t>
        </is>
      </c>
      <c r="Q490" s="10" t="inlineStr">
        <is>
          <t>0</t>
        </is>
      </c>
      <c r="R490" s="10" t="inlineStr">
        <is>
          <t>0</t>
        </is>
      </c>
      <c r="S490" s="10" t="inlineStr">
        <is>
          <t>0</t>
        </is>
      </c>
    </row>
    <row r="491" ht="133" customHeight="1">
      <c r="A491" s="6">
        <f>IFERROR(__xludf.DUMMYFUNCTION("""COMPUTED_VALUE"""),"ROU - Școala Gimnazială nr. 9 „Nicolae Orghidan” Brașov")</f>
        <v/>
      </c>
      <c r="B491" s="6">
        <f>IFERROR(__xludf.DUMMYFUNCTION("""COMPUTED_VALUE"""),"Space")</f>
        <v/>
      </c>
      <c r="C491" s="6">
        <f>IFERROR(__xludf.DUMMYFUNCTION("""COMPUTED_VALUE"""),"What motivates us in PLATON")</f>
        <v/>
      </c>
      <c r="D491" s="7">
        <f>IFERROR(__xludf.DUMMYFUNCTION("""COMPUTED_VALUE"""),"&lt;p&gt;Write here what motivates you in PLATON, what does it mean to you, how do you think it is contributing to your school’s development and/or identity.&lt;/p&gt;")</f>
        <v/>
      </c>
      <c r="E491" s="7">
        <f>IFERROR(__xludf.DUMMYFUNCTION("""COMPUTED_VALUE"""),"No artifact embedded")</f>
        <v/>
      </c>
      <c r="F491" s="7" t="inlineStr">
        <is>
          <t>Students were instructed to introduce themselves (Item1) and share motivations (Item3). Embedded artifacts include a presentation-sharing platform (Item2).</t>
        </is>
      </c>
      <c r="G491" s="8" t="inlineStr">
        <is>
          <t>0</t>
        </is>
      </c>
      <c r="H491" s="8" t="inlineStr">
        <is>
          <t>0</t>
        </is>
      </c>
      <c r="I491" s="8" t="inlineStr">
        <is>
          <t>1</t>
        </is>
      </c>
      <c r="J491" s="8" t="inlineStr">
        <is>
          <t>0</t>
        </is>
      </c>
      <c r="K491" s="9" t="inlineStr">
        <is>
          <t>1</t>
        </is>
      </c>
      <c r="L491" s="9" t="inlineStr">
        <is>
          <t>1</t>
        </is>
      </c>
      <c r="M491" s="9" t="inlineStr">
        <is>
          <t>0</t>
        </is>
      </c>
      <c r="N491" s="9" t="inlineStr">
        <is>
          <t>0</t>
        </is>
      </c>
      <c r="O491" s="10" t="inlineStr">
        <is>
          <t>1</t>
        </is>
      </c>
      <c r="P491" s="10" t="inlineStr">
        <is>
          <t>1</t>
        </is>
      </c>
      <c r="Q491" s="10" t="inlineStr">
        <is>
          <t>0</t>
        </is>
      </c>
      <c r="R491" s="10" t="inlineStr">
        <is>
          <t>0</t>
        </is>
      </c>
      <c r="S491" s="10" t="inlineStr">
        <is>
          <t>1</t>
        </is>
      </c>
    </row>
    <row r="492" ht="217" customHeight="1">
      <c r="A492" s="6">
        <f>IFERROR(__xludf.DUMMYFUNCTION("""COMPUTED_VALUE"""),"ROU - Școala Gimnazială nr. 9 „Nicolae Orghidan” Brașov")</f>
        <v/>
      </c>
      <c r="B492" s="6">
        <f>IFERROR(__xludf.DUMMYFUNCTION("""COMPUTED_VALUE"""),"Space")</f>
        <v/>
      </c>
      <c r="C492" s="6">
        <f>IFERROR(__xludf.DUMMYFUNCTION("""COMPUTED_VALUE"""),"Our work")</f>
        <v/>
      </c>
      <c r="D492" s="7">
        <f>IFERROR(__xludf.DUMMYFUNCTION("""COMPUTED_VALUE"""),"&lt;p&gt;This is where you can add pictures, scans, texts, whatever record you have of the work you have been doing throughout the implementation of the project in your school. Please identify the date, the class and the name of the teacher in each input.&lt;/p&gt;")</f>
        <v/>
      </c>
      <c r="E492" s="7">
        <f>IFERROR(__xludf.DUMMYFUNCTION("""COMPUTED_VALUE"""),"No artifact embedded")</f>
        <v/>
      </c>
      <c r="F492" s="7" t="inlineStr">
        <is>
          <t>Students were given tasks with varying instructions and optional embedded artifacts from platforms like Slideshare.</t>
        </is>
      </c>
      <c r="G492" s="8" t="inlineStr">
        <is>
          <t>0</t>
        </is>
      </c>
      <c r="H492" s="8" t="inlineStr">
        <is>
          <t>0</t>
        </is>
      </c>
      <c r="I492" s="8" t="inlineStr">
        <is>
          <t>1</t>
        </is>
      </c>
      <c r="J492" s="8" t="inlineStr">
        <is>
          <t>0</t>
        </is>
      </c>
      <c r="K492" s="9" t="inlineStr">
        <is>
          <t>0</t>
        </is>
      </c>
      <c r="L492" s="9" t="inlineStr">
        <is>
          <t>1</t>
        </is>
      </c>
      <c r="M492" s="9" t="inlineStr">
        <is>
          <t>0</t>
        </is>
      </c>
      <c r="N492" s="9" t="inlineStr">
        <is>
          <t>0</t>
        </is>
      </c>
      <c r="O492" s="10" t="inlineStr">
        <is>
          <t>0</t>
        </is>
      </c>
      <c r="P492" s="10" t="inlineStr">
        <is>
          <t>0</t>
        </is>
      </c>
      <c r="Q492" s="10" t="inlineStr">
        <is>
          <t>0</t>
        </is>
      </c>
      <c r="R492" s="10" t="inlineStr">
        <is>
          <t>0</t>
        </is>
      </c>
      <c r="S492" s="10" t="inlineStr">
        <is>
          <t>0</t>
        </is>
      </c>
    </row>
    <row r="493" ht="217" customHeight="1">
      <c r="A493" s="6">
        <f>IFERROR(__xludf.DUMMYFUNCTION("""COMPUTED_VALUE"""),"ROU - Școala Gimnazială nr. 9 „Nicolae Orghidan” Brașov")</f>
        <v/>
      </c>
      <c r="B493" s="6">
        <f>IFERROR(__xludf.DUMMYFUNCTION("""COMPUTED_VALUE"""),"Space")</f>
        <v/>
      </c>
      <c r="C493" s="6">
        <f>IFERROR(__xludf.DUMMYFUNCTION("""COMPUTED_VALUE"""),"Worth Sharing")</f>
        <v/>
      </c>
      <c r="D493" s="7">
        <f>IFERROR(__xludf.DUMMYFUNCTION("""COMPUTED_VALUE"""),"&lt;p&gt;Add here any ideas, experiences, videos, pictures, relevant to your work and/or to the project. Think that other teachers from your country or other countries can visit this space, if you allow it, looking for good ideas to implement in their practice."&amp;"&lt;/p&gt;")</f>
        <v/>
      </c>
      <c r="E493" s="7">
        <f>IFERROR(__xludf.DUMMYFUNCTION("""COMPUTED_VALUE"""),"No artifact embedded")</f>
        <v/>
      </c>
      <c r="F493" s="7" t="inlineStr">
        <is>
          <t>Students are instructed to write about motivations, share project records, and add relevant ideas/experiences. No artifacts are embedded in Items 1-3.</t>
        </is>
      </c>
      <c r="G493" s="8" t="inlineStr">
        <is>
          <t>0</t>
        </is>
      </c>
      <c r="H493" s="8" t="inlineStr">
        <is>
          <t>0</t>
        </is>
      </c>
      <c r="I493" s="8" t="inlineStr">
        <is>
          <t>1</t>
        </is>
      </c>
      <c r="J493" s="8" t="inlineStr">
        <is>
          <t>0</t>
        </is>
      </c>
      <c r="K493" s="9" t="inlineStr">
        <is>
          <t>0</t>
        </is>
      </c>
      <c r="L493" s="9" t="inlineStr">
        <is>
          <t>1</t>
        </is>
      </c>
      <c r="M493" s="9" t="inlineStr">
        <is>
          <t>0</t>
        </is>
      </c>
      <c r="N493" s="9" t="inlineStr">
        <is>
          <t>1</t>
        </is>
      </c>
      <c r="O493" s="10" t="inlineStr">
        <is>
          <t>0</t>
        </is>
      </c>
      <c r="P493" s="10" t="inlineStr">
        <is>
          <t>0</t>
        </is>
      </c>
      <c r="Q493" s="10" t="inlineStr">
        <is>
          <t>0</t>
        </is>
      </c>
      <c r="R493" s="10" t="inlineStr">
        <is>
          <t>0</t>
        </is>
      </c>
      <c r="S493" s="10" t="inlineStr">
        <is>
          <t>1</t>
        </is>
      </c>
    </row>
    <row r="494" ht="409.5" customHeight="1">
      <c r="A494" s="6">
        <f>IFERROR(__xludf.DUMMYFUNCTION("""COMPUTED_VALUE"""),"ROU - Școala Gimnazială nr. 9 „Nicolae Orghidan” Brașov")</f>
        <v/>
      </c>
      <c r="B494" s="6">
        <f>IFERROR(__xludf.DUMMYFUNCTION("""COMPUTED_VALUE"""),"Space")</f>
        <v/>
      </c>
      <c r="C494" s="6">
        <f>IFERROR(__xludf.DUMMYFUNCTION("""COMPUTED_VALUE"""),"Student's feedback")</f>
        <v/>
      </c>
      <c r="D494" s="7">
        <f>IFERROR(__xludf.DUMMYFUNCTION("""COMPUTED_VALUE"""),"&lt;p&gt;You can add here memorable quotes and pictures that you gathered during the implementation of the project. Alternatively, if you wish, you can create an individual portfolio with your students and add it here, either in the form of pictures, scans or y"&amp;"ou can create a space for your students clicking in the [+] below. If you decide to do so, each student must create a Graasp account and an e-mail should be sent to your national PLATON coordinator with all the names and e-mail contacts of the students to"&amp;" be given access to this platform.&lt;/p&gt;")</f>
        <v/>
      </c>
      <c r="E494" s="7">
        <f>IFERROR(__xludf.DUMMYFUNCTION("""COMPUTED_VALUE"""),"No artifact embedded")</f>
        <v/>
      </c>
      <c r="F494" s="7" t="inlineStr">
        <is>
          <t>Students are instructed to add project records, ideas, and quotes, with optional artifacts like pictures and videos. No artifacts are currently embedded.</t>
        </is>
      </c>
      <c r="G494" s="8" t="inlineStr">
        <is>
          <t>0</t>
        </is>
      </c>
      <c r="H494" s="8" t="inlineStr">
        <is>
          <t>0</t>
        </is>
      </c>
      <c r="I494" s="8" t="inlineStr">
        <is>
          <t>1</t>
        </is>
      </c>
      <c r="J494" s="8" t="inlineStr">
        <is>
          <t>0</t>
        </is>
      </c>
      <c r="K494" s="9" t="inlineStr">
        <is>
          <t>0</t>
        </is>
      </c>
      <c r="L494" s="9" t="inlineStr">
        <is>
          <t>1</t>
        </is>
      </c>
      <c r="M494" s="9" t="inlineStr">
        <is>
          <t>0</t>
        </is>
      </c>
      <c r="N494" s="9" t="inlineStr">
        <is>
          <t>1</t>
        </is>
      </c>
      <c r="O494" s="10" t="inlineStr">
        <is>
          <t>0</t>
        </is>
      </c>
      <c r="P494" s="10" t="inlineStr">
        <is>
          <t>0</t>
        </is>
      </c>
      <c r="Q494" s="10" t="inlineStr">
        <is>
          <t>0</t>
        </is>
      </c>
      <c r="R494" s="10" t="inlineStr">
        <is>
          <t>0</t>
        </is>
      </c>
      <c r="S494" s="10" t="inlineStr">
        <is>
          <t>0</t>
        </is>
      </c>
    </row>
    <row r="495" ht="157" customHeight="1">
      <c r="A495" s="6">
        <f>IFERROR(__xludf.DUMMYFUNCTION("""COMPUTED_VALUE"""),"ROU - Școala Gimnazială nr. 9 „Nicolae Orghidan” Brașov")</f>
        <v/>
      </c>
      <c r="B495" s="6">
        <f>IFERROR(__xludf.DUMMYFUNCTION("""COMPUTED_VALUE"""),"Application")</f>
        <v/>
      </c>
      <c r="C495" s="6">
        <f>IFERROR(__xludf.DUMMYFUNCTION("""COMPUTED_VALUE"""),"File Drop")</f>
        <v/>
      </c>
      <c r="D495" s="7">
        <f>IFERROR(__xludf.DUMMYFUNCTION("""COMPUTED_VALUE"""),"No task description")</f>
        <v/>
      </c>
      <c r="E495" s="7">
        <f>IFERROR(__xludf.DUMMYFUNCTION("""COMPUTED_VALUE"""),"Golabz app/lab: ""&lt;p&gt;This app allows students to upload files, e.g., assignment and reports, to the Inquiry learning Space. The app also allows teachers to download the uploaded files.&lt;/p&gt;\r\n""")</f>
        <v/>
      </c>
      <c r="F495" s="7" t="inlineStr">
        <is>
          <t>Students are instructed to share ideas, experiences, and artifacts, with optional embedding of videos, pictures, quotes, and portfolios, with varying levels of access and permission settings.</t>
        </is>
      </c>
      <c r="G495" s="8" t="inlineStr">
        <is>
          <t>0</t>
        </is>
      </c>
      <c r="H495" s="8" t="inlineStr">
        <is>
          <t>0</t>
        </is>
      </c>
      <c r="I495" s="8" t="inlineStr">
        <is>
          <t>0</t>
        </is>
      </c>
      <c r="J495" s="8" t="inlineStr">
        <is>
          <t>0</t>
        </is>
      </c>
      <c r="K495" s="9" t="inlineStr">
        <is>
          <t>0</t>
        </is>
      </c>
      <c r="L495" s="9" t="inlineStr">
        <is>
          <t>1</t>
        </is>
      </c>
      <c r="M495" s="9" t="inlineStr">
        <is>
          <t>0</t>
        </is>
      </c>
      <c r="N495" s="9" t="inlineStr">
        <is>
          <t>0</t>
        </is>
      </c>
      <c r="O495" s="10" t="inlineStr">
        <is>
          <t>0</t>
        </is>
      </c>
      <c r="P495" s="10" t="inlineStr">
        <is>
          <t>0</t>
        </is>
      </c>
      <c r="Q495" s="10" t="inlineStr">
        <is>
          <t>0</t>
        </is>
      </c>
      <c r="R495" s="10" t="inlineStr">
        <is>
          <t>0</t>
        </is>
      </c>
      <c r="S495" s="10" t="inlineStr">
        <is>
          <t>0</t>
        </is>
      </c>
    </row>
    <row r="496" ht="296" customHeight="1">
      <c r="A496" s="6">
        <f>IFERROR(__xludf.DUMMYFUNCTION("""COMPUTED_VALUE"""),"ROU - Școala Gimnazială nr. 9 „Nicolae Orghidan” Brașov")</f>
        <v/>
      </c>
      <c r="B496" s="6">
        <f>IFERROR(__xludf.DUMMYFUNCTION("""COMPUTED_VALUE"""),"Space")</f>
        <v/>
      </c>
      <c r="C496" s="6">
        <f>IFERROR(__xludf.DUMMYFUNCTION("""COMPUTED_VALUE"""),"Our team's feedback")</f>
        <v/>
      </c>
      <c r="D496" s="7">
        <f>IFERROR(__xludf.DUMMYFUNCTION("""COMPUTED_VALUE"""),"&lt;p&gt;Write here any recommendations and suggestions, as a team or individually, that you might have regarding PLATON methodology and resources. You are a pilot teacher for our project and this means that you are the first to test and implement it. Your opin"&amp;"ion is very valuable and will help us to refine and improve our work.&lt;/p&gt;")</f>
        <v/>
      </c>
      <c r="E496" s="7">
        <f>IFERROR(__xludf.DUMMYFUNCTION("""COMPUTED_VALUE"""),"No artifact embedded")</f>
        <v/>
      </c>
      <c r="F496" s="7" t="inlineStr">
        <is>
          <t>Students were instructed to add quotes, pictures, or portfolios. Embedded artifacts include a Golabz app for file upload and download.</t>
        </is>
      </c>
      <c r="G496" s="8" t="inlineStr">
        <is>
          <t>0</t>
        </is>
      </c>
      <c r="H496" s="8" t="inlineStr">
        <is>
          <t>0</t>
        </is>
      </c>
      <c r="I496" s="8" t="inlineStr">
        <is>
          <t>1</t>
        </is>
      </c>
      <c r="J496" s="8" t="inlineStr">
        <is>
          <t>0</t>
        </is>
      </c>
      <c r="K496" s="9" t="inlineStr">
        <is>
          <t>0</t>
        </is>
      </c>
      <c r="L496" s="9" t="inlineStr">
        <is>
          <t>1</t>
        </is>
      </c>
      <c r="M496" s="9" t="inlineStr">
        <is>
          <t>1</t>
        </is>
      </c>
      <c r="N496" s="9" t="inlineStr">
        <is>
          <t>1</t>
        </is>
      </c>
      <c r="O496" s="10" t="inlineStr">
        <is>
          <t>0</t>
        </is>
      </c>
      <c r="P496" s="10" t="inlineStr">
        <is>
          <t>0</t>
        </is>
      </c>
      <c r="Q496" s="10" t="inlineStr">
        <is>
          <t>0</t>
        </is>
      </c>
      <c r="R496" s="10" t="inlineStr">
        <is>
          <t>0</t>
        </is>
      </c>
      <c r="S496" s="10" t="inlineStr">
        <is>
          <t>1</t>
        </is>
      </c>
    </row>
    <row r="497" ht="157" customHeight="1">
      <c r="A497" s="6">
        <f>IFERROR(__xludf.DUMMYFUNCTION("""COMPUTED_VALUE"""),"ROU - Școala Gimnazială nr. 9 „Nicolae Orghidan” Brașov")</f>
        <v/>
      </c>
      <c r="B497" s="6">
        <f>IFERROR(__xludf.DUMMYFUNCTION("""COMPUTED_VALUE"""),"Space")</f>
        <v/>
      </c>
      <c r="C497" s="6">
        <f>IFERROR(__xludf.DUMMYFUNCTION("""COMPUTED_VALUE"""),"Lessons learn't")</f>
        <v/>
      </c>
      <c r="D497" s="7">
        <f>IFERROR(__xludf.DUMMYFUNCTION("""COMPUTED_VALUE"""),"&lt;p&gt;From your work during the implementation what is it that stands out? What would you want to see in our final project compilation of work (roadmap)? Write here your reflections.&lt;/p&gt;")</f>
        <v/>
      </c>
      <c r="E497" s="7">
        <f>IFERROR(__xludf.DUMMYFUNCTION("""COMPUTED_VALUE"""),"No artifact embedded")</f>
        <v/>
      </c>
      <c r="F497" s="7" t="inlineStr">
        <is>
          <t>Students were given tasks with descriptions and optional embedded artifacts, including using Golabz app for file uploads.</t>
        </is>
      </c>
      <c r="G497" s="8" t="inlineStr">
        <is>
          <t>0</t>
        </is>
      </c>
      <c r="H497" s="8" t="inlineStr">
        <is>
          <t>0</t>
        </is>
      </c>
      <c r="I497" s="8" t="inlineStr">
        <is>
          <t>1</t>
        </is>
      </c>
      <c r="J497" s="8" t="inlineStr">
        <is>
          <t>0</t>
        </is>
      </c>
      <c r="K497" s="9" t="inlineStr">
        <is>
          <t>1</t>
        </is>
      </c>
      <c r="L497" s="9" t="inlineStr">
        <is>
          <t>1</t>
        </is>
      </c>
      <c r="M497" s="9" t="inlineStr">
        <is>
          <t>0</t>
        </is>
      </c>
      <c r="N497" s="9" t="inlineStr">
        <is>
          <t>0</t>
        </is>
      </c>
      <c r="O497" s="10" t="inlineStr">
        <is>
          <t>0</t>
        </is>
      </c>
      <c r="P497" s="10" t="inlineStr">
        <is>
          <t>1</t>
        </is>
      </c>
      <c r="Q497" s="10" t="inlineStr">
        <is>
          <t>0</t>
        </is>
      </c>
      <c r="R497" s="10" t="inlineStr">
        <is>
          <t>1</t>
        </is>
      </c>
      <c r="S497" s="10" t="inlineStr">
        <is>
          <t>1</t>
        </is>
      </c>
    </row>
    <row r="498" ht="61" customHeight="1">
      <c r="A498" s="6">
        <f>IFERROR(__xludf.DUMMYFUNCTION("""COMPUTED_VALUE"""),"Robotic Arm")</f>
        <v/>
      </c>
      <c r="B498" s="6">
        <f>IFERROR(__xludf.DUMMYFUNCTION("""COMPUTED_VALUE"""),"Space")</f>
        <v/>
      </c>
      <c r="C498" s="6">
        <f>IFERROR(__xludf.DUMMYFUNCTION("""COMPUTED_VALUE"""),"Basic")</f>
        <v/>
      </c>
      <c r="D498" s="7">
        <f>IFERROR(__xludf.DUMMYFUNCTION("""COMPUTED_VALUE"""),"&lt;p&gt;YouTube  example used and programming RoboArm&lt;/p&gt;")</f>
        <v/>
      </c>
      <c r="E498" s="7">
        <f>IFERROR(__xludf.DUMMYFUNCTION("""COMPUTED_VALUE"""),"No artifact embedded")</f>
        <v/>
      </c>
      <c r="F498" s="7" t="inlineStr">
        <is>
          <t>Students provide recommendations on PLATON methodology, reflect on implementation, and share a YouTube example of programming RoboArm. No artifacts are embedded in the tasks.</t>
        </is>
      </c>
      <c r="G498" s="8" t="inlineStr">
        <is>
          <t>0</t>
        </is>
      </c>
      <c r="H498" s="8" t="inlineStr">
        <is>
          <t>1</t>
        </is>
      </c>
      <c r="I498" s="8" t="inlineStr">
        <is>
          <t>1</t>
        </is>
      </c>
      <c r="J498" s="8" t="inlineStr">
        <is>
          <t>1</t>
        </is>
      </c>
      <c r="K498" s="9" t="inlineStr">
        <is>
          <t>1</t>
        </is>
      </c>
      <c r="L498" s="9" t="inlineStr">
        <is>
          <t>0</t>
        </is>
      </c>
      <c r="M498" s="9" t="inlineStr">
        <is>
          <t>0</t>
        </is>
      </c>
      <c r="N498" s="9" t="inlineStr">
        <is>
          <t>0</t>
        </is>
      </c>
      <c r="O498" s="10" t="inlineStr">
        <is>
          <t>0</t>
        </is>
      </c>
      <c r="P498" s="10" t="inlineStr">
        <is>
          <t>0</t>
        </is>
      </c>
      <c r="Q498" s="10" t="inlineStr">
        <is>
          <t>0</t>
        </is>
      </c>
      <c r="R498" s="10" t="inlineStr">
        <is>
          <t>0</t>
        </is>
      </c>
      <c r="S498" s="10" t="inlineStr">
        <is>
          <t>0</t>
        </is>
      </c>
    </row>
    <row r="499" ht="121" customHeight="1">
      <c r="A499" s="6">
        <f>IFERROR(__xludf.DUMMYFUNCTION("""COMPUTED_VALUE"""),"Robotic Arm")</f>
        <v/>
      </c>
      <c r="B499" s="6">
        <f>IFERROR(__xludf.DUMMYFUNCTION("""COMPUTED_VALUE"""),"Resource")</f>
        <v/>
      </c>
      <c r="C499" s="6">
        <f>IFERROR(__xludf.DUMMYFUNCTION("""COMPUTED_VALUE"""),"ROBOARM")</f>
        <v/>
      </c>
      <c r="D499" s="7">
        <f>IFERROR(__xludf.DUMMYFUNCTION("""COMPUTED_VALUE"""),"No task description")</f>
        <v/>
      </c>
      <c r="E499" s="7">
        <f>IFERROR(__xludf.DUMMYFUNCTION("""COMPUTED_VALUE"""),"youtube.com: A widely known video-sharing platform where users can watch videos on a vast array of topics, including educational content.")</f>
        <v/>
      </c>
      <c r="F499" s="7" t="inlineStr">
        <is>
          <t>Students were instructed to reflect on their work and provide feedback. Embedded artifacts include YouTube examples and a RoboArm programming task, but no actual artifacts are attached.</t>
        </is>
      </c>
      <c r="G499" s="8" t="inlineStr">
        <is>
          <t>1</t>
        </is>
      </c>
      <c r="H499" s="8" t="inlineStr">
        <is>
          <t>0</t>
        </is>
      </c>
      <c r="I499" s="8" t="inlineStr">
        <is>
          <t>0</t>
        </is>
      </c>
      <c r="J499" s="8" t="inlineStr">
        <is>
          <t>0</t>
        </is>
      </c>
      <c r="K499" s="9" t="inlineStr">
        <is>
          <t>0</t>
        </is>
      </c>
      <c r="L499" s="9" t="inlineStr">
        <is>
          <t>0</t>
        </is>
      </c>
      <c r="M499" s="9" t="inlineStr">
        <is>
          <t>0</t>
        </is>
      </c>
      <c r="N499" s="9" t="inlineStr">
        <is>
          <t>0</t>
        </is>
      </c>
      <c r="O499" s="10" t="inlineStr">
        <is>
          <t>0</t>
        </is>
      </c>
      <c r="P499" s="10" t="inlineStr">
        <is>
          <t>0</t>
        </is>
      </c>
      <c r="Q499" s="10" t="inlineStr">
        <is>
          <t>0</t>
        </is>
      </c>
      <c r="R499" s="10" t="inlineStr">
        <is>
          <t>0</t>
        </is>
      </c>
      <c r="S499" s="10" t="inlineStr">
        <is>
          <t>0</t>
        </is>
      </c>
    </row>
    <row r="500" ht="109" customHeight="1">
      <c r="A500" s="6">
        <f>IFERROR(__xludf.DUMMYFUNCTION("""COMPUTED_VALUE"""),"Robotic Arm")</f>
        <v/>
      </c>
      <c r="B500" s="6">
        <f>IFERROR(__xludf.DUMMYFUNCTION("""COMPUTED_VALUE"""),"Topic")</f>
        <v/>
      </c>
      <c r="C500" s="6">
        <f>IFERROR(__xludf.DUMMYFUNCTION("""COMPUTED_VALUE"""),"Interest theme")</f>
        <v/>
      </c>
      <c r="D500" s="7">
        <f>IFERROR(__xludf.DUMMYFUNCTION("""COMPUTED_VALUE"""),"No task description")</f>
        <v/>
      </c>
      <c r="E500" s="7">
        <f>IFERROR(__xludf.DUMMYFUNCTION("""COMPUTED_VALUE"""),"text/html – A webpage or web document that contains structured text, images, and links, designed for display in a web browser.")</f>
        <v/>
      </c>
      <c r="F500" s="7" t="inlineStr">
        <is>
          <t>Students were given tasks with varying descriptions and embedded artifacts, including YouTube examples and HTML webpages.</t>
        </is>
      </c>
      <c r="G500" s="8" t="inlineStr">
        <is>
          <t>1</t>
        </is>
      </c>
      <c r="H500" s="8" t="inlineStr">
        <is>
          <t>0</t>
        </is>
      </c>
      <c r="I500" s="8" t="inlineStr">
        <is>
          <t>0</t>
        </is>
      </c>
      <c r="J500" s="8" t="inlineStr">
        <is>
          <t>0</t>
        </is>
      </c>
      <c r="K500" s="9" t="inlineStr">
        <is>
          <t>0</t>
        </is>
      </c>
      <c r="L500" s="9" t="inlineStr">
        <is>
          <t>0</t>
        </is>
      </c>
      <c r="M500" s="9" t="inlineStr">
        <is>
          <t>0</t>
        </is>
      </c>
      <c r="N500" s="9" t="inlineStr">
        <is>
          <t>0</t>
        </is>
      </c>
      <c r="O500" s="10" t="inlineStr">
        <is>
          <t>0</t>
        </is>
      </c>
      <c r="P500" s="10" t="inlineStr">
        <is>
          <t>0</t>
        </is>
      </c>
      <c r="Q500" s="10" t="inlineStr">
        <is>
          <t>0</t>
        </is>
      </c>
      <c r="R500" s="10" t="inlineStr">
        <is>
          <t>0</t>
        </is>
      </c>
      <c r="S500" s="10" t="inlineStr">
        <is>
          <t>0</t>
        </is>
      </c>
    </row>
    <row r="501" ht="37" customHeight="1">
      <c r="A501" s="6">
        <f>IFERROR(__xludf.DUMMYFUNCTION("""COMPUTED_VALUE"""),"Robotic Arm")</f>
        <v/>
      </c>
      <c r="B501" s="6">
        <f>IFERROR(__xludf.DUMMYFUNCTION("""COMPUTED_VALUE"""),"Space")</f>
        <v/>
      </c>
      <c r="C501" s="6">
        <f>IFERROR(__xludf.DUMMYFUNCTION("""COMPUTED_VALUE"""),"Start lecture")</f>
        <v/>
      </c>
      <c r="D501" s="7">
        <f>IFERROR(__xludf.DUMMYFUNCTION("""COMPUTED_VALUE"""),"&lt;p&gt;Types RoboArm&lt;/p&gt;&lt;p&gt;&lt;br&gt;&lt;/p&gt;")</f>
        <v/>
      </c>
      <c r="E501" s="7">
        <f>IFERROR(__xludf.DUMMYFUNCTION("""COMPUTED_VALUE"""),"No artifact embedded")</f>
        <v/>
      </c>
      <c r="F501" s="7" t="inlineStr">
        <is>
          <t>Students received no task descriptions for Items 1 and 2, but had artifacts from YouTube and a webpage. Item 3 involved "Types RoboArm" with no embedded artifact.</t>
        </is>
      </c>
      <c r="G501" s="8" t="inlineStr">
        <is>
          <t>1</t>
        </is>
      </c>
      <c r="H501" s="8" t="inlineStr">
        <is>
          <t>1</t>
        </is>
      </c>
      <c r="I501" s="8" t="inlineStr">
        <is>
          <t>0</t>
        </is>
      </c>
      <c r="J501" s="8" t="inlineStr">
        <is>
          <t>0</t>
        </is>
      </c>
      <c r="K501" s="9" t="inlineStr">
        <is>
          <t>1</t>
        </is>
      </c>
      <c r="L501" s="9" t="inlineStr">
        <is>
          <t>0</t>
        </is>
      </c>
      <c r="M501" s="9" t="inlineStr">
        <is>
          <t>0</t>
        </is>
      </c>
      <c r="N501" s="9" t="inlineStr">
        <is>
          <t>0</t>
        </is>
      </c>
      <c r="O501" s="10" t="inlineStr">
        <is>
          <t>0</t>
        </is>
      </c>
      <c r="P501" s="10" t="inlineStr">
        <is>
          <t>0</t>
        </is>
      </c>
      <c r="Q501" s="10" t="inlineStr">
        <is>
          <t>0</t>
        </is>
      </c>
      <c r="R501" s="10" t="inlineStr">
        <is>
          <t>0</t>
        </is>
      </c>
      <c r="S501" s="10" t="inlineStr">
        <is>
          <t>0</t>
        </is>
      </c>
    </row>
    <row r="502" ht="409.5" customHeight="1">
      <c r="A502" s="6">
        <f>IFERROR(__xludf.DUMMYFUNCTION("""COMPUTED_VALUE"""),"Robotic Arm")</f>
        <v/>
      </c>
      <c r="B502" s="6">
        <f>IFERROR(__xludf.DUMMYFUNCTION("""COMPUTED_VALUE"""),"Resource")</f>
        <v/>
      </c>
      <c r="C502" s="6">
        <f>IFERROR(__xludf.DUMMYFUNCTION("""COMPUTED_VALUE"""),"Robotic Arm Geometry")</f>
        <v/>
      </c>
      <c r="D502" s="7">
        <f>IFERROR(__xludf.DUMMYFUNCTION("""COMPUTED_VALUE"""),"In this video you learn more about the four main types of robotic arm geometry: rectangular, cylindrical, spherical and jointed spherical. This video explains each type of robotic arm and how they move.  More about this video:  technology simulation video"&amp;"s at http://www.engineertech.org.  Simulations provided free by Iowa Community Colleges. http://www.eicc.edu  This video was made by another YouTube user and made available for the use under the Creative Commons licence ""CC-BY"". Source channel: ""Engine"&amp;"ering Technology Simulation Learning Videos"" https://www.youtube.com/channel/UCxS0Ga0sAHX39LYkswiv63g")</f>
        <v/>
      </c>
      <c r="E502" s="7">
        <f>IFERROR(__xludf.DUMMYFUNCTION("""COMPUTED_VALUE"""),"youtube.com: A widely known video-sharing platform where users can watch videos on a vast array of topics, including educational content.")</f>
        <v/>
      </c>
      <c r="F502" s="7" t="inlineStr">
        <is>
          <t>Students receive tasks with embedded artifacts, including webpages, videos, and no artifacts, with descriptions explaining each type.</t>
        </is>
      </c>
      <c r="G502" s="8" t="inlineStr">
        <is>
          <t>1</t>
        </is>
      </c>
      <c r="H502" s="8" t="inlineStr">
        <is>
          <t>0</t>
        </is>
      </c>
      <c r="I502" s="8" t="inlineStr">
        <is>
          <t>0</t>
        </is>
      </c>
      <c r="J502" s="8" t="inlineStr">
        <is>
          <t>0</t>
        </is>
      </c>
      <c r="K502" s="9" t="inlineStr">
        <is>
          <t>1</t>
        </is>
      </c>
      <c r="L502" s="9" t="inlineStr">
        <is>
          <t>0</t>
        </is>
      </c>
      <c r="M502" s="9" t="inlineStr">
        <is>
          <t>0</t>
        </is>
      </c>
      <c r="N502" s="9" t="inlineStr">
        <is>
          <t>0</t>
        </is>
      </c>
      <c r="O502" s="10" t="inlineStr">
        <is>
          <t>0</t>
        </is>
      </c>
      <c r="P502" s="10" t="inlineStr">
        <is>
          <t>0</t>
        </is>
      </c>
      <c r="Q502" s="10" t="inlineStr">
        <is>
          <t>0</t>
        </is>
      </c>
      <c r="R502" s="10" t="inlineStr">
        <is>
          <t>0</t>
        </is>
      </c>
      <c r="S502" s="10" t="inlineStr">
        <is>
          <t>0</t>
        </is>
      </c>
    </row>
    <row r="503" ht="109" customHeight="1">
      <c r="A503" s="6">
        <f>IFERROR(__xludf.DUMMYFUNCTION("""COMPUTED_VALUE"""),"Robotic Arm")</f>
        <v/>
      </c>
      <c r="B503" s="6">
        <f>IFERROR(__xludf.DUMMYFUNCTION("""COMPUTED_VALUE"""),"Topic")</f>
        <v/>
      </c>
      <c r="C503" s="6">
        <f>IFERROR(__xludf.DUMMYFUNCTION("""COMPUTED_VALUE"""),"Lecture questions")</f>
        <v/>
      </c>
      <c r="D503" s="7">
        <f>IFERROR(__xludf.DUMMYFUNCTION("""COMPUTED_VALUE"""),"&lt;p&gt;What general school subjects are utilized to study and work with the robotic arm?&lt;/p&gt;&lt;p&gt;&lt;br&gt;&lt;/p&gt;")</f>
        <v/>
      </c>
      <c r="E503" s="7">
        <f>IFERROR(__xludf.DUMMYFUNCTION("""COMPUTED_VALUE"""),"text/html – A webpage or web document that contains structured text, images, and links, designed for display in a web browser.")</f>
        <v/>
      </c>
      <c r="F503" s="7" t="inlineStr">
        <is>
          <t>Students learn about robotic arm types via video and identify relevant school subjects. Embedded artifacts include YouTube videos and webpages.</t>
        </is>
      </c>
      <c r="G503" s="8" t="inlineStr">
        <is>
          <t>1</t>
        </is>
      </c>
      <c r="H503" s="8" t="inlineStr">
        <is>
          <t>0</t>
        </is>
      </c>
      <c r="I503" s="8" t="inlineStr">
        <is>
          <t>0</t>
        </is>
      </c>
      <c r="J503" s="8" t="inlineStr">
        <is>
          <t>0</t>
        </is>
      </c>
      <c r="K503" s="9" t="inlineStr">
        <is>
          <t>1</t>
        </is>
      </c>
      <c r="L503" s="9" t="inlineStr">
        <is>
          <t>0</t>
        </is>
      </c>
      <c r="M503" s="9" t="inlineStr">
        <is>
          <t>0</t>
        </is>
      </c>
      <c r="N503" s="9" t="inlineStr">
        <is>
          <t>0</t>
        </is>
      </c>
      <c r="O503" s="10" t="inlineStr">
        <is>
          <t>1</t>
        </is>
      </c>
      <c r="P503" s="10" t="inlineStr">
        <is>
          <t>1</t>
        </is>
      </c>
      <c r="Q503" s="10" t="inlineStr">
        <is>
          <t>0</t>
        </is>
      </c>
      <c r="R503" s="10" t="inlineStr">
        <is>
          <t>0</t>
        </is>
      </c>
      <c r="S503" s="10" t="inlineStr">
        <is>
          <t>0</t>
        </is>
      </c>
    </row>
    <row r="504" ht="296" customHeight="1">
      <c r="A504" s="6">
        <f>IFERROR(__xludf.DUMMYFUNCTION("""COMPUTED_VALUE"""),"Robotic Arm")</f>
        <v/>
      </c>
      <c r="B504" s="6">
        <f>IFERROR(__xludf.DUMMYFUNCTION("""COMPUTED_VALUE"""),"Application")</f>
        <v/>
      </c>
      <c r="C504" s="6">
        <f>IFERROR(__xludf.DUMMYFUNCTION("""COMPUTED_VALUE"""),"Quiz tool")</f>
        <v/>
      </c>
      <c r="D504" s="7">
        <f>IFERROR(__xludf.DUMMYFUNCTION("""COMPUTED_VALUE"""),"No task description")</f>
        <v/>
      </c>
      <c r="E5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04" s="7" t="inlineStr">
        <is>
          <t>Students learn about robotic arm geometry via video and identify relevant school subjects. Embedded artifacts include YouTube videos, webpages, and interactive quiz apps.</t>
        </is>
      </c>
      <c r="G504" s="8" t="inlineStr">
        <is>
          <t>1</t>
        </is>
      </c>
      <c r="H504" s="8" t="inlineStr">
        <is>
          <t>0</t>
        </is>
      </c>
      <c r="I504" s="8" t="inlineStr">
        <is>
          <t>0</t>
        </is>
      </c>
      <c r="J504" s="8" t="inlineStr">
        <is>
          <t>1</t>
        </is>
      </c>
      <c r="K504" s="9" t="inlineStr">
        <is>
          <t>1</t>
        </is>
      </c>
      <c r="L504" s="9" t="inlineStr">
        <is>
          <t>0</t>
        </is>
      </c>
      <c r="M504" s="9" t="inlineStr">
        <is>
          <t>0</t>
        </is>
      </c>
      <c r="N504" s="9" t="inlineStr">
        <is>
          <t>0</t>
        </is>
      </c>
      <c r="O504" s="10" t="inlineStr">
        <is>
          <t>0</t>
        </is>
      </c>
      <c r="P504" s="10" t="inlineStr">
        <is>
          <t>0</t>
        </is>
      </c>
      <c r="Q504" s="10" t="inlineStr">
        <is>
          <t>0</t>
        </is>
      </c>
      <c r="R504" s="10" t="inlineStr">
        <is>
          <t>0</t>
        </is>
      </c>
      <c r="S504" s="10" t="inlineStr">
        <is>
          <t>0</t>
        </is>
      </c>
    </row>
    <row r="505" ht="61" customHeight="1">
      <c r="A505" s="6">
        <f>IFERROR(__xludf.DUMMYFUNCTION("""COMPUTED_VALUE"""),"Robotic Arm")</f>
        <v/>
      </c>
      <c r="B505" s="6">
        <f>IFERROR(__xludf.DUMMYFUNCTION("""COMPUTED_VALUE"""),"Space")</f>
        <v/>
      </c>
      <c r="C505" s="6">
        <f>IFERROR(__xludf.DUMMYFUNCTION("""COMPUTED_VALUE"""),"Specifications")</f>
        <v/>
      </c>
      <c r="D505" s="7">
        <f>IFERROR(__xludf.DUMMYFUNCTION("""COMPUTED_VALUE"""),"&lt;p&gt;The principle of the mechanism of robotic hands&lt;/p&gt;")</f>
        <v/>
      </c>
      <c r="E505" s="7">
        <f>IFERROR(__xludf.DUMMYFUNCTION("""COMPUTED_VALUE"""),"No artifact embedded")</f>
        <v/>
      </c>
      <c r="F505" s="7" t="inlineStr">
        <is>
          <t>Students study robotic arms using general school subjects. Embedded artifacts include webpages, Golabz app/lab with interactive quizzes, and no artifact for robotic hand mechanisms.</t>
        </is>
      </c>
      <c r="G505" s="8" t="inlineStr">
        <is>
          <t>1</t>
        </is>
      </c>
      <c r="H505" s="8" t="inlineStr">
        <is>
          <t>0</t>
        </is>
      </c>
      <c r="I505" s="8" t="inlineStr">
        <is>
          <t>0</t>
        </is>
      </c>
      <c r="J505" s="8" t="inlineStr">
        <is>
          <t>0</t>
        </is>
      </c>
      <c r="K505" s="9" t="inlineStr">
        <is>
          <t>1</t>
        </is>
      </c>
      <c r="L505" s="9" t="inlineStr">
        <is>
          <t>0</t>
        </is>
      </c>
      <c r="M505" s="9" t="inlineStr">
        <is>
          <t>0</t>
        </is>
      </c>
      <c r="N505" s="9" t="inlineStr">
        <is>
          <t>0</t>
        </is>
      </c>
      <c r="O505" s="10" t="inlineStr">
        <is>
          <t>0</t>
        </is>
      </c>
      <c r="P505" s="10" t="inlineStr">
        <is>
          <t>0</t>
        </is>
      </c>
      <c r="Q505" s="10" t="inlineStr">
        <is>
          <t>0</t>
        </is>
      </c>
      <c r="R505" s="10" t="inlineStr">
        <is>
          <t>0</t>
        </is>
      </c>
      <c r="S505" s="10" t="inlineStr">
        <is>
          <t>0</t>
        </is>
      </c>
    </row>
    <row r="506" ht="121" customHeight="1">
      <c r="A506" s="6">
        <f>IFERROR(__xludf.DUMMYFUNCTION("""COMPUTED_VALUE"""),"Robotic Arm")</f>
        <v/>
      </c>
      <c r="B506" s="6">
        <f>IFERROR(__xludf.DUMMYFUNCTION("""COMPUTED_VALUE"""),"Resource")</f>
        <v/>
      </c>
      <c r="C506" s="6">
        <f>IFERROR(__xludf.DUMMYFUNCTION("""COMPUTED_VALUE"""),"Mechanisms")</f>
        <v/>
      </c>
      <c r="D506" s="7">
        <f>IFERROR(__xludf.DUMMYFUNCTION("""COMPUTED_VALUE"""),"No task description")</f>
        <v/>
      </c>
      <c r="E506" s="7">
        <f>IFERROR(__xludf.DUMMYFUNCTION("""COMPUTED_VALUE"""),"youtube.com: A widely known video-sharing platform where users can watch videos on a vast array of topics, including educational content.")</f>
        <v/>
      </c>
      <c r="F506" s="7" t="inlineStr">
        <is>
          <t>Students received tasks with varying descriptions and embedded artifacts, including Golabz app and YouTube.</t>
        </is>
      </c>
      <c r="G506" s="8" t="inlineStr">
        <is>
          <t>1</t>
        </is>
      </c>
      <c r="H506" s="8" t="inlineStr">
        <is>
          <t>0</t>
        </is>
      </c>
      <c r="I506" s="8" t="inlineStr">
        <is>
          <t>0</t>
        </is>
      </c>
      <c r="J506" s="8" t="inlineStr">
        <is>
          <t>0</t>
        </is>
      </c>
      <c r="K506" s="9" t="inlineStr">
        <is>
          <t>0</t>
        </is>
      </c>
      <c r="L506" s="9" t="inlineStr">
        <is>
          <t>0</t>
        </is>
      </c>
      <c r="M506" s="9" t="inlineStr">
        <is>
          <t>0</t>
        </is>
      </c>
      <c r="N506" s="9" t="inlineStr">
        <is>
          <t>0</t>
        </is>
      </c>
      <c r="O506" s="10" t="inlineStr">
        <is>
          <t>0</t>
        </is>
      </c>
      <c r="P506" s="10" t="inlineStr">
        <is>
          <t>0</t>
        </is>
      </c>
      <c r="Q506" s="10" t="inlineStr">
        <is>
          <t>0</t>
        </is>
      </c>
      <c r="R506" s="10" t="inlineStr">
        <is>
          <t>0</t>
        </is>
      </c>
      <c r="S506" s="10" t="inlineStr">
        <is>
          <t>0</t>
        </is>
      </c>
    </row>
    <row r="507" ht="25" customHeight="1">
      <c r="A507" s="6">
        <f>IFERROR(__xludf.DUMMYFUNCTION("""COMPUTED_VALUE"""),"Robotic Arm")</f>
        <v/>
      </c>
      <c r="B507" s="6">
        <f>IFERROR(__xludf.DUMMYFUNCTION("""COMPUTED_VALUE"""),"Space")</f>
        <v/>
      </c>
      <c r="C507" s="6">
        <f>IFERROR(__xludf.DUMMYFUNCTION("""COMPUTED_VALUE"""),"Conclusion")</f>
        <v/>
      </c>
      <c r="D507" s="7">
        <f>IFERROR(__xludf.DUMMYFUNCTION("""COMPUTED_VALUE"""),"No task description")</f>
        <v/>
      </c>
      <c r="E507" s="7">
        <f>IFERROR(__xludf.DUMMYFUNCTION("""COMPUTED_VALUE"""),"No artifact embedded")</f>
        <v/>
      </c>
      <c r="F507" s="7" t="inlineStr">
        <is>
          <t>Students were given tasks with varying levels of instruction and embedded artifacts, including a YouTube link for educational content.</t>
        </is>
      </c>
      <c r="G507" s="8" t="inlineStr">
        <is>
          <t>1</t>
        </is>
      </c>
      <c r="H507" s="8" t="inlineStr">
        <is>
          <t>0</t>
        </is>
      </c>
      <c r="I507" s="8" t="inlineStr">
        <is>
          <t>0</t>
        </is>
      </c>
      <c r="J507" s="8" t="inlineStr">
        <is>
          <t>0</t>
        </is>
      </c>
      <c r="K507" s="9" t="inlineStr">
        <is>
          <t>0</t>
        </is>
      </c>
      <c r="L507" s="9" t="inlineStr">
        <is>
          <t>0</t>
        </is>
      </c>
      <c r="M507" s="9" t="inlineStr">
        <is>
          <t>0</t>
        </is>
      </c>
      <c r="N507" s="9" t="inlineStr">
        <is>
          <t>0</t>
        </is>
      </c>
      <c r="O507" s="10" t="inlineStr">
        <is>
          <t>0</t>
        </is>
      </c>
      <c r="P507" s="10" t="inlineStr">
        <is>
          <t>0</t>
        </is>
      </c>
      <c r="Q507" s="10" t="inlineStr">
        <is>
          <t>0</t>
        </is>
      </c>
      <c r="R507" s="10" t="inlineStr">
        <is>
          <t>0</t>
        </is>
      </c>
      <c r="S507" s="10" t="inlineStr">
        <is>
          <t>0</t>
        </is>
      </c>
    </row>
    <row r="508" ht="409.5" customHeight="1">
      <c r="A508" s="6">
        <f>IFERROR(__xludf.DUMMYFUNCTION("""COMPUTED_VALUE"""),"Robotic Arm")</f>
        <v/>
      </c>
      <c r="B508" s="6">
        <f>IFERROR(__xludf.DUMMYFUNCTION("""COMPUTED_VALUE"""),"Application")</f>
        <v/>
      </c>
      <c r="C508" s="6">
        <f>IFERROR(__xludf.DUMMYFUNCTION("""COMPUTED_VALUE"""),"Equilibrium of three forces")</f>
        <v/>
      </c>
      <c r="D508" s="7">
        <f>IFERROR(__xludf.DUMMYFUNCTION("""COMPUTED_VALUE"""),"No task description")</f>
        <v/>
      </c>
      <c r="E508" s="7">
        <f>IFERROR(__xludf.DUMMYFUNCTION("""COMPUTED_VALUE"""),"Golabz app/lab: &lt;p&gt;&lt;span style=""color: rgb(0, 0, 0); font-family: Arial, Helvetica, sans-serif; line-height: 20.8px;""&gt;A simple experiment concerning the&amp;nbsp;&lt;/span&gt;&lt;span class=""Begriff"" style=""font-family: Arial, Helvetica, sans-serif; line-height: "&amp;"20.8px; margin: 0px; padding: 0px; color: blue;""&gt;equilibrium of three forces&lt;/span&gt;&lt;span style=""color: rgb(0, 0, 0); font-family: Arial, Helvetica, sans-serif; line-height: 20.8px;""&gt;&amp;nbsp;is simulated here: Weights are suspended from three tied cords. "&amp;"Two of the cords run over frictionless pulleys. The three forces acting on the knot (coloured arrows) are in equilibrium.&lt;/span&gt;&lt;/p&gt;'")</f>
        <v/>
      </c>
      <c r="F508" s="7" t="inlineStr">
        <is>
          <t>No task descriptions provided, but embedded artifacts include YouTube and Golabz app/lab with a force equilibrium simulation.</t>
        </is>
      </c>
      <c r="G508" s="8" t="inlineStr">
        <is>
          <t>1</t>
        </is>
      </c>
      <c r="H508" s="8" t="inlineStr">
        <is>
          <t>1</t>
        </is>
      </c>
      <c r="I508" s="8" t="inlineStr">
        <is>
          <t>0</t>
        </is>
      </c>
      <c r="J508" s="8" t="inlineStr">
        <is>
          <t>1</t>
        </is>
      </c>
      <c r="K508" s="9" t="inlineStr">
        <is>
          <t>1</t>
        </is>
      </c>
      <c r="L508" s="9" t="inlineStr">
        <is>
          <t>0</t>
        </is>
      </c>
      <c r="M508" s="9" t="inlineStr">
        <is>
          <t>0</t>
        </is>
      </c>
      <c r="N508" s="9" t="inlineStr">
        <is>
          <t>0</t>
        </is>
      </c>
      <c r="O508" s="10" t="inlineStr">
        <is>
          <t>1</t>
        </is>
      </c>
      <c r="P508" s="10" t="inlineStr">
        <is>
          <t>0</t>
        </is>
      </c>
      <c r="Q508" s="10" t="inlineStr">
        <is>
          <t>1</t>
        </is>
      </c>
      <c r="R508" s="10" t="inlineStr">
        <is>
          <t>0</t>
        </is>
      </c>
      <c r="S508" s="10" t="inlineStr">
        <is>
          <t>0</t>
        </is>
      </c>
    </row>
    <row r="509" ht="49" customHeight="1">
      <c r="A509" s="6">
        <f>IFERROR(__xludf.DUMMYFUNCTION("""COMPUTED_VALUE"""),"Robotic Arm")</f>
        <v/>
      </c>
      <c r="B509" s="6">
        <f>IFERROR(__xludf.DUMMYFUNCTION("""COMPUTED_VALUE"""),"Space")</f>
        <v/>
      </c>
      <c r="C509" s="6">
        <f>IFERROR(__xludf.DUMMYFUNCTION("""COMPUTED_VALUE"""),"Discussion")</f>
        <v/>
      </c>
      <c r="D509" s="7">
        <f>IFERROR(__xludf.DUMMYFUNCTION("""COMPUTED_VALUE"""),"&lt;p&gt;Disccussion about hard questions in RoboArm&lt;/p&gt;")</f>
        <v/>
      </c>
      <c r="E509" s="7">
        <f>IFERROR(__xludf.DUMMYFUNCTION("""COMPUTED_VALUE"""),"No artifact embedded")</f>
        <v/>
      </c>
      <c r="F509" s="7" t="inlineStr">
        <is>
          <t>Students received minimal instructions with only one item, Item2, containing an embedded Golabz app simulating force equilibrium.</t>
        </is>
      </c>
      <c r="G509" s="8" t="inlineStr">
        <is>
          <t>0</t>
        </is>
      </c>
      <c r="H509" s="8" t="inlineStr">
        <is>
          <t>0</t>
        </is>
      </c>
      <c r="I509" s="8" t="inlineStr">
        <is>
          <t>0</t>
        </is>
      </c>
      <c r="J509" s="8" t="inlineStr">
        <is>
          <t>1</t>
        </is>
      </c>
      <c r="K509" s="9" t="inlineStr">
        <is>
          <t>0</t>
        </is>
      </c>
      <c r="L509" s="9" t="inlineStr">
        <is>
          <t>0</t>
        </is>
      </c>
      <c r="M509" s="9" t="inlineStr">
        <is>
          <t>1</t>
        </is>
      </c>
      <c r="N509" s="9" t="inlineStr">
        <is>
          <t>0</t>
        </is>
      </c>
      <c r="O509" s="10" t="inlineStr">
        <is>
          <t>1</t>
        </is>
      </c>
      <c r="P509" s="10" t="inlineStr">
        <is>
          <t>0</t>
        </is>
      </c>
      <c r="Q509" s="10" t="inlineStr">
        <is>
          <t>0</t>
        </is>
      </c>
      <c r="R509" s="10" t="inlineStr">
        <is>
          <t>0</t>
        </is>
      </c>
      <c r="S509" s="10" t="inlineStr">
        <is>
          <t>1</t>
        </is>
      </c>
    </row>
    <row r="510" ht="73" customHeight="1">
      <c r="A510" s="6">
        <f>IFERROR(__xludf.DUMMYFUNCTION("""COMPUTED_VALUE"""),"Robotic Arm")</f>
        <v/>
      </c>
      <c r="B510" s="6">
        <f>IFERROR(__xludf.DUMMYFUNCTION("""COMPUTED_VALUE"""),"Resource")</f>
        <v/>
      </c>
      <c r="C510" s="6">
        <f>IFERROR(__xludf.DUMMYFUNCTION("""COMPUTED_VALUE"""),"Log In | MindMeister")</f>
        <v/>
      </c>
      <c r="D510" s="7">
        <f>IFERROR(__xludf.DUMMYFUNCTION("""COMPUTED_VALUE"""),"No task description")</f>
        <v/>
      </c>
      <c r="E510" s="7">
        <f>IFERROR(__xludf.DUMMYFUNCTION("""COMPUTED_VALUE"""),"mindmeister.com: A mind mapping tool that allows users to create and share mind maps.")</f>
        <v/>
      </c>
      <c r="F510" s="7" t="inlineStr">
        <is>
          <t>Students received tasks with descriptions and embedded artifacts, including simulations and tools like Golabz app and MindMeister.</t>
        </is>
      </c>
      <c r="G510" s="8" t="inlineStr">
        <is>
          <t>1</t>
        </is>
      </c>
      <c r="H510" s="8" t="inlineStr">
        <is>
          <t>1</t>
        </is>
      </c>
      <c r="I510" s="8" t="inlineStr">
        <is>
          <t>1</t>
        </is>
      </c>
      <c r="J510" s="8" t="inlineStr">
        <is>
          <t>1</t>
        </is>
      </c>
      <c r="K510" s="9" t="inlineStr">
        <is>
          <t>0</t>
        </is>
      </c>
      <c r="L510" s="9" t="inlineStr">
        <is>
          <t>0</t>
        </is>
      </c>
      <c r="M510" s="9" t="inlineStr">
        <is>
          <t>0</t>
        </is>
      </c>
      <c r="N510" s="9" t="inlineStr">
        <is>
          <t>0</t>
        </is>
      </c>
      <c r="O510" s="10" t="inlineStr">
        <is>
          <t>0</t>
        </is>
      </c>
      <c r="P510" s="10" t="inlineStr">
        <is>
          <t>0</t>
        </is>
      </c>
      <c r="Q510" s="10" t="inlineStr">
        <is>
          <t>0</t>
        </is>
      </c>
      <c r="R510" s="10" t="inlineStr">
        <is>
          <t>0</t>
        </is>
      </c>
      <c r="S510" s="10" t="inlineStr">
        <is>
          <t>0</t>
        </is>
      </c>
    </row>
    <row r="511" ht="25" customHeight="1">
      <c r="A511" s="6">
        <f>IFERROR(__xludf.DUMMYFUNCTION("""COMPUTED_VALUE"""),"Robotic Arm")</f>
        <v/>
      </c>
      <c r="B511" s="6">
        <f>IFERROR(__xludf.DUMMYFUNCTION("""COMPUTED_VALUE"""),"Space")</f>
        <v/>
      </c>
      <c r="C511" s="6">
        <f>IFERROR(__xludf.DUMMYFUNCTION("""COMPUTED_VALUE"""),"Teacher")</f>
        <v/>
      </c>
      <c r="D511" s="7">
        <f>IFERROR(__xludf.DUMMYFUNCTION("""COMPUTED_VALUE"""),"No task description")</f>
        <v/>
      </c>
      <c r="E511" s="7">
        <f>IFERROR(__xludf.DUMMYFUNCTION("""COMPUTED_VALUE"""),"No artifact embedded")</f>
        <v/>
      </c>
      <c r="F511" s="7" t="inlineStr">
        <is>
          <t>Students discussed RoboArm, used a mind mapping tool, but had no other instructions or artifacts provided.</t>
        </is>
      </c>
      <c r="G511" s="8" t="inlineStr">
        <is>
          <t>1</t>
        </is>
      </c>
      <c r="H511" s="8" t="inlineStr">
        <is>
          <t>0</t>
        </is>
      </c>
      <c r="I511" s="8" t="inlineStr">
        <is>
          <t>0</t>
        </is>
      </c>
      <c r="J511" s="8" t="inlineStr">
        <is>
          <t>0</t>
        </is>
      </c>
      <c r="K511" s="9" t="inlineStr">
        <is>
          <t>0</t>
        </is>
      </c>
      <c r="L511" s="9" t="inlineStr">
        <is>
          <t>0</t>
        </is>
      </c>
      <c r="M511" s="9" t="inlineStr">
        <is>
          <t>0</t>
        </is>
      </c>
      <c r="N511" s="9" t="inlineStr">
        <is>
          <t>0</t>
        </is>
      </c>
      <c r="O511" s="10" t="inlineStr">
        <is>
          <t>0</t>
        </is>
      </c>
      <c r="P511" s="10" t="inlineStr">
        <is>
          <t>0</t>
        </is>
      </c>
      <c r="Q511" s="10" t="inlineStr">
        <is>
          <t>0</t>
        </is>
      </c>
      <c r="R511" s="10" t="inlineStr">
        <is>
          <t>0</t>
        </is>
      </c>
      <c r="S511" s="10" t="inlineStr">
        <is>
          <t>0</t>
        </is>
      </c>
    </row>
    <row r="512" ht="25" customHeight="1">
      <c r="A512" s="6">
        <f>IFERROR(__xludf.DUMMYFUNCTION("""COMPUTED_VALUE"""),"Robotic Arm")</f>
        <v/>
      </c>
      <c r="B512" s="6">
        <f>IFERROR(__xludf.DUMMYFUNCTION("""COMPUTED_VALUE"""),"Application")</f>
        <v/>
      </c>
      <c r="C512" s="6">
        <f>IFERROR(__xludf.DUMMYFUNCTION("""COMPUTED_VALUE"""),"Hypothesis Scratchpad")</f>
        <v/>
      </c>
      <c r="D512" s="7">
        <f>IFERROR(__xludf.DUMMYFUNCTION("""COMPUTED_VALUE"""),"No task description")</f>
        <v/>
      </c>
      <c r="E512" s="7">
        <f>IFERROR(__xludf.DUMMYFUNCTION("""COMPUTED_VALUE"""),"No artifact embedded")</f>
        <v/>
      </c>
      <c r="F512" s="7" t="inlineStr">
        <is>
          <t>No instructions provided; only Item1 has an embedded artifact, a mind mapping tool from mindmeister.com.</t>
        </is>
      </c>
      <c r="G512" s="8" t="inlineStr">
        <is>
          <t>1</t>
        </is>
      </c>
      <c r="H512" s="8" t="inlineStr">
        <is>
          <t>0</t>
        </is>
      </c>
      <c r="I512" s="8" t="inlineStr">
        <is>
          <t>0</t>
        </is>
      </c>
      <c r="J512" s="8" t="inlineStr">
        <is>
          <t>0</t>
        </is>
      </c>
      <c r="K512" s="9" t="inlineStr">
        <is>
          <t>0</t>
        </is>
      </c>
      <c r="L512" s="9" t="inlineStr">
        <is>
          <t>0</t>
        </is>
      </c>
      <c r="M512" s="9" t="inlineStr">
        <is>
          <t>0</t>
        </is>
      </c>
      <c r="N512" s="9" t="inlineStr">
        <is>
          <t>0</t>
        </is>
      </c>
      <c r="O512" s="10" t="inlineStr">
        <is>
          <t>0</t>
        </is>
      </c>
      <c r="P512" s="10" t="inlineStr">
        <is>
          <t>0</t>
        </is>
      </c>
      <c r="Q512" s="10" t="inlineStr">
        <is>
          <t>0</t>
        </is>
      </c>
      <c r="R512" s="10" t="inlineStr">
        <is>
          <t>0</t>
        </is>
      </c>
      <c r="S512" s="10" t="inlineStr">
        <is>
          <t>0</t>
        </is>
      </c>
    </row>
    <row r="513" ht="25" customHeight="1">
      <c r="A513" s="6">
        <f>IFERROR(__xludf.DUMMYFUNCTION("""COMPUTED_VALUE"""),"Robotic Arm")</f>
        <v/>
      </c>
      <c r="B513" s="6">
        <f>IFERROR(__xludf.DUMMYFUNCTION("""COMPUTED_VALUE"""),"Application")</f>
        <v/>
      </c>
      <c r="C513" s="6">
        <f>IFERROR(__xludf.DUMMYFUNCTION("""COMPUTED_VALUE"""),"F.A.Q")</f>
        <v/>
      </c>
      <c r="D513" s="7">
        <f>IFERROR(__xludf.DUMMYFUNCTION("""COMPUTED_VALUE"""),"&lt;p&gt;F.A.Q.&lt;/p&gt;")</f>
        <v/>
      </c>
      <c r="E513" s="7">
        <f>IFERROR(__xludf.DUMMYFUNCTION("""COMPUTED_VALUE"""),"No artifact embedded")</f>
        <v/>
      </c>
      <c r="F513" s="7" t="inlineStr">
        <is>
          <t>No instructions or artifacts are provided, except for a task titled "F.A.Q." with no embedded artifact.</t>
        </is>
      </c>
      <c r="G513" s="8" t="inlineStr">
        <is>
          <t>1</t>
        </is>
      </c>
      <c r="H513" s="8" t="inlineStr">
        <is>
          <t>0</t>
        </is>
      </c>
      <c r="I513" s="8" t="inlineStr">
        <is>
          <t>0</t>
        </is>
      </c>
      <c r="J513" s="8" t="inlineStr">
        <is>
          <t>0</t>
        </is>
      </c>
      <c r="K513" s="9" t="inlineStr">
        <is>
          <t>0</t>
        </is>
      </c>
      <c r="L513" s="9" t="inlineStr">
        <is>
          <t>0</t>
        </is>
      </c>
      <c r="M513" s="9" t="inlineStr">
        <is>
          <t>0</t>
        </is>
      </c>
      <c r="N513" s="9" t="inlineStr">
        <is>
          <t>0</t>
        </is>
      </c>
      <c r="O513" s="10" t="inlineStr">
        <is>
          <t>0</t>
        </is>
      </c>
      <c r="P513" s="10" t="inlineStr">
        <is>
          <t>0</t>
        </is>
      </c>
      <c r="Q513" s="10" t="inlineStr">
        <is>
          <t>0</t>
        </is>
      </c>
      <c r="R513" s="10" t="inlineStr">
        <is>
          <t>0</t>
        </is>
      </c>
      <c r="S513" s="10" t="inlineStr">
        <is>
          <t>0</t>
        </is>
      </c>
    </row>
    <row r="514" ht="25" customHeight="1">
      <c r="A514" s="6">
        <f>IFERROR(__xludf.DUMMYFUNCTION("""COMPUTED_VALUE"""),"Robotic Arm")</f>
        <v/>
      </c>
      <c r="B514" s="6">
        <f>IFERROR(__xludf.DUMMYFUNCTION("""COMPUTED_VALUE"""),"Application")</f>
        <v/>
      </c>
      <c r="C514" s="6">
        <f>IFERROR(__xludf.DUMMYFUNCTION("""COMPUTED_VALUE"""),"Mechanical Equivalent of Heat")</f>
        <v/>
      </c>
      <c r="D514" s="7">
        <f>IFERROR(__xludf.DUMMYFUNCTION("""COMPUTED_VALUE"""),"No task description")</f>
        <v/>
      </c>
      <c r="E514" s="7">
        <f>IFERROR(__xludf.DUMMYFUNCTION("""COMPUTED_VALUE"""),"No artifact embedded")</f>
        <v/>
      </c>
      <c r="F514" s="7" t="inlineStr">
        <is>
          <t>Students received minimal instructions with no task descriptions and no embedded artifacts in most items, except Item2 which is a F.A.Q.</t>
        </is>
      </c>
      <c r="G514" s="8" t="inlineStr">
        <is>
          <t>1</t>
        </is>
      </c>
      <c r="H514" s="8" t="inlineStr">
        <is>
          <t>0</t>
        </is>
      </c>
      <c r="I514" s="8" t="inlineStr">
        <is>
          <t>0</t>
        </is>
      </c>
      <c r="J514" s="8" t="inlineStr">
        <is>
          <t>0</t>
        </is>
      </c>
      <c r="K514" s="9" t="inlineStr">
        <is>
          <t>0</t>
        </is>
      </c>
      <c r="L514" s="9" t="inlineStr">
        <is>
          <t>0</t>
        </is>
      </c>
      <c r="M514" s="9" t="inlineStr">
        <is>
          <t>0</t>
        </is>
      </c>
      <c r="N514" s="9" t="inlineStr">
        <is>
          <t>0</t>
        </is>
      </c>
      <c r="O514" s="10" t="inlineStr">
        <is>
          <t>0</t>
        </is>
      </c>
      <c r="P514" s="10" t="inlineStr">
        <is>
          <t>0</t>
        </is>
      </c>
      <c r="Q514" s="10" t="inlineStr">
        <is>
          <t>0</t>
        </is>
      </c>
      <c r="R514" s="10" t="inlineStr">
        <is>
          <t>0</t>
        </is>
      </c>
      <c r="S514" s="10" t="inlineStr">
        <is>
          <t>0</t>
        </is>
      </c>
    </row>
    <row r="515" ht="25" customHeight="1">
      <c r="A515" s="6">
        <f>IFERROR(__xludf.DUMMYFUNCTION("""COMPUTED_VALUE"""),"Robotic Arm")</f>
        <v/>
      </c>
      <c r="B515" s="6">
        <f>IFERROR(__xludf.DUMMYFUNCTION("""COMPUTED_VALUE"""),"Application")</f>
        <v/>
      </c>
      <c r="C515" s="6">
        <f>IFERROR(__xludf.DUMMYFUNCTION("""COMPUTED_VALUE"""),"Universal Gravity Lab")</f>
        <v/>
      </c>
      <c r="D515" s="7">
        <f>IFERROR(__xludf.DUMMYFUNCTION("""COMPUTED_VALUE"""),"No task description")</f>
        <v/>
      </c>
      <c r="E515" s="7">
        <f>IFERROR(__xludf.DUMMYFUNCTION("""COMPUTED_VALUE"""),"No artifact embedded")</f>
        <v/>
      </c>
      <c r="F515" s="7" t="inlineStr">
        <is>
          <t>No instructions or artifacts are provided in Items 1, 2, and 3.</t>
        </is>
      </c>
      <c r="G515" s="8" t="inlineStr">
        <is>
          <t>1</t>
        </is>
      </c>
      <c r="H515" s="8" t="inlineStr">
        <is>
          <t>0</t>
        </is>
      </c>
      <c r="I515" s="8" t="inlineStr">
        <is>
          <t>0</t>
        </is>
      </c>
      <c r="J515" s="8" t="inlineStr">
        <is>
          <t>0</t>
        </is>
      </c>
      <c r="K515" s="9" t="inlineStr">
        <is>
          <t>0</t>
        </is>
      </c>
      <c r="L515" s="9" t="inlineStr">
        <is>
          <t>0</t>
        </is>
      </c>
      <c r="M515" s="9" t="inlineStr">
        <is>
          <t>0</t>
        </is>
      </c>
      <c r="N515" s="9" t="inlineStr">
        <is>
          <t>0</t>
        </is>
      </c>
      <c r="O515" s="10" t="inlineStr">
        <is>
          <t>0</t>
        </is>
      </c>
      <c r="P515" s="10" t="inlineStr">
        <is>
          <t>0</t>
        </is>
      </c>
      <c r="Q515" s="10" t="inlineStr">
        <is>
          <t>0</t>
        </is>
      </c>
      <c r="R515" s="10" t="inlineStr">
        <is>
          <t>0</t>
        </is>
      </c>
      <c r="S515" s="10" t="inlineStr">
        <is>
          <t>0</t>
        </is>
      </c>
    </row>
    <row r="516" ht="409.5" customHeight="1">
      <c r="A516" s="6">
        <f>IFERROR(__xludf.DUMMYFUNCTION("""COMPUTED_VALUE"""),"Racism in modern society")</f>
        <v/>
      </c>
      <c r="B516" s="6">
        <f>IFERROR(__xludf.DUMMYFUNCTION("""COMPUTED_VALUE"""),"Space")</f>
        <v/>
      </c>
      <c r="C516" s="6">
        <f>IFERROR(__xludf.DUMMYFUNCTION("""COMPUTED_VALUE"""),"Orientation")</f>
        <v/>
      </c>
      <c r="D516" s="7">
        <f>IFERROR(__xludf.DUMMYFUNCTION("""COMPUTED_VALUE"""),"&lt;p&gt;         Racism is prejudice, discrimination, or antagonism directed against someone of a different race based on the belief that one's own race is superior.&lt;/p&gt;&lt;p&gt;         Racism is one of the most revolting things within humanity. It haunts our past "&amp;"and degrades our future. There may be many reasons why one race of people believes they are superior to another but a great majority of people don’t truly know why they react the way; they just do; many just on the sight of someone of a different race.&lt;br"&amp;"&gt;         Today we will attempt to examine, from a social learning perspective, the root causes of racism as well as the culture and the effects racism has upon society.&lt;/p&gt;")</f>
        <v/>
      </c>
      <c r="E516" s="7">
        <f>IFERROR(__xludf.DUMMYFUNCTION("""COMPUTED_VALUE"""),"No artifact embedded")</f>
        <v/>
      </c>
      <c r="F516" s="7" t="inlineStr">
        <is>
          <t>No task descriptions or artifacts are provided for Items 1 and 2. Item 3 discusses racism from a social learning perspective.</t>
        </is>
      </c>
      <c r="G516" s="8" t="inlineStr">
        <is>
          <t>1</t>
        </is>
      </c>
      <c r="H516" s="8" t="inlineStr">
        <is>
          <t>0</t>
        </is>
      </c>
      <c r="I516" s="8" t="inlineStr">
        <is>
          <t>0</t>
        </is>
      </c>
      <c r="J516" s="8" t="inlineStr">
        <is>
          <t>0</t>
        </is>
      </c>
      <c r="K516" s="9" t="inlineStr">
        <is>
          <t>0</t>
        </is>
      </c>
      <c r="L516" s="9" t="inlineStr">
        <is>
          <t>0</t>
        </is>
      </c>
      <c r="M516" s="9" t="inlineStr">
        <is>
          <t>0</t>
        </is>
      </c>
      <c r="N516" s="9" t="inlineStr">
        <is>
          <t>0</t>
        </is>
      </c>
      <c r="O516" s="10" t="inlineStr">
        <is>
          <t>1</t>
        </is>
      </c>
      <c r="P516" s="10" t="inlineStr">
        <is>
          <t>1</t>
        </is>
      </c>
      <c r="Q516" s="10" t="inlineStr">
        <is>
          <t>1</t>
        </is>
      </c>
      <c r="R516" s="10" t="inlineStr">
        <is>
          <t>0</t>
        </is>
      </c>
      <c r="S516" s="10" t="inlineStr">
        <is>
          <t>0</t>
        </is>
      </c>
    </row>
    <row r="517" ht="121" customHeight="1">
      <c r="A517" s="6">
        <f>IFERROR(__xludf.DUMMYFUNCTION("""COMPUTED_VALUE"""),"Racism in modern society")</f>
        <v/>
      </c>
      <c r="B517" s="6">
        <f>IFERROR(__xludf.DUMMYFUNCTION("""COMPUTED_VALUE"""),"Resource")</f>
        <v/>
      </c>
      <c r="C517" s="6">
        <f>IFERROR(__xludf.DUMMYFUNCTION("""COMPUTED_VALUE"""),"Stop racism")</f>
        <v/>
      </c>
      <c r="D517" s="7">
        <f>IFERROR(__xludf.DUMMYFUNCTION("""COMPUTED_VALUE"""),"No task description")</f>
        <v/>
      </c>
      <c r="E517" s="7">
        <f>IFERROR(__xludf.DUMMYFUNCTION("""COMPUTED_VALUE"""),"image/jpeg – A digital photograph or web image stored in a compressed format, often used for photography and web graphics.")</f>
        <v/>
      </c>
      <c r="F517" s="7" t="inlineStr">
        <is>
          <t>Students examine racism from a social learning perspective. Items 1 and 2 have no artifacts, while Item 3 has a JPEG image embedded.</t>
        </is>
      </c>
      <c r="G517" s="8" t="inlineStr">
        <is>
          <t>1</t>
        </is>
      </c>
      <c r="H517" s="8" t="inlineStr">
        <is>
          <t>0</t>
        </is>
      </c>
      <c r="I517" s="8" t="inlineStr">
        <is>
          <t>0</t>
        </is>
      </c>
      <c r="J517" s="8" t="inlineStr">
        <is>
          <t>0</t>
        </is>
      </c>
      <c r="K517" s="9" t="inlineStr">
        <is>
          <t>0</t>
        </is>
      </c>
      <c r="L517" s="9" t="inlineStr">
        <is>
          <t>0</t>
        </is>
      </c>
      <c r="M517" s="9" t="inlineStr">
        <is>
          <t>0</t>
        </is>
      </c>
      <c r="N517" s="9" t="inlineStr">
        <is>
          <t>0</t>
        </is>
      </c>
      <c r="O517" s="10" t="inlineStr">
        <is>
          <t>0</t>
        </is>
      </c>
      <c r="P517" s="10" t="inlineStr">
        <is>
          <t>0</t>
        </is>
      </c>
      <c r="Q517" s="10" t="inlineStr">
        <is>
          <t>0</t>
        </is>
      </c>
      <c r="R517" s="10" t="inlineStr">
        <is>
          <t>0</t>
        </is>
      </c>
      <c r="S517" s="10" t="inlineStr">
        <is>
          <t>0</t>
        </is>
      </c>
    </row>
    <row r="518" ht="121" customHeight="1">
      <c r="A518" s="6">
        <f>IFERROR(__xludf.DUMMYFUNCTION("""COMPUTED_VALUE"""),"Racism in modern society")</f>
        <v/>
      </c>
      <c r="B518" s="6">
        <f>IFERROR(__xludf.DUMMYFUNCTION("""COMPUTED_VALUE"""),"Resource")</f>
        <v/>
      </c>
      <c r="C518" s="6">
        <f>IFERROR(__xludf.DUMMYFUNCTION("""COMPUTED_VALUE"""),"Stop racism (1)")</f>
        <v/>
      </c>
      <c r="D518" s="7">
        <f>IFERROR(__xludf.DUMMYFUNCTION("""COMPUTED_VALUE"""),"41s""")</f>
        <v/>
      </c>
      <c r="E518" s="7">
        <f>IFERROR(__xludf.DUMMYFUNCTION("""COMPUTED_VALUE"""),"image/jpeg – A digital photograph or web image stored in a compressed format, often used for photography and web graphics.")</f>
        <v/>
      </c>
      <c r="F518" s="7" t="inlineStr">
        <is>
          <t>Students examine racism from a social learning perspective. Embedded artifacts include two JPEG images, but no specific instructions are provided beyond the task description in Item1.</t>
        </is>
      </c>
      <c r="G518" s="8" t="inlineStr">
        <is>
          <t>1</t>
        </is>
      </c>
      <c r="H518" s="8" t="inlineStr">
        <is>
          <t>0</t>
        </is>
      </c>
      <c r="I518" s="8" t="inlineStr">
        <is>
          <t>0</t>
        </is>
      </c>
      <c r="J518" s="8" t="inlineStr">
        <is>
          <t>0</t>
        </is>
      </c>
      <c r="K518" s="9" t="inlineStr">
        <is>
          <t>0</t>
        </is>
      </c>
      <c r="L518" s="9" t="inlineStr">
        <is>
          <t>0</t>
        </is>
      </c>
      <c r="M518" s="9" t="inlineStr">
        <is>
          <t>0</t>
        </is>
      </c>
      <c r="N518" s="9" t="inlineStr">
        <is>
          <t>0</t>
        </is>
      </c>
      <c r="O518" s="10" t="inlineStr">
        <is>
          <t>0</t>
        </is>
      </c>
      <c r="P518" s="10" t="inlineStr">
        <is>
          <t>0</t>
        </is>
      </c>
      <c r="Q518" s="10" t="inlineStr">
        <is>
          <t>0</t>
        </is>
      </c>
      <c r="R518" s="10" t="inlineStr">
        <is>
          <t>0</t>
        </is>
      </c>
      <c r="S518" s="10" t="inlineStr">
        <is>
          <t>0</t>
        </is>
      </c>
    </row>
    <row r="519" ht="121" customHeight="1">
      <c r="A519" s="6">
        <f>IFERROR(__xludf.DUMMYFUNCTION("""COMPUTED_VALUE"""),"Racism in modern society")</f>
        <v/>
      </c>
      <c r="B519" s="6">
        <f>IFERROR(__xludf.DUMMYFUNCTION("""COMPUTED_VALUE"""),"Resource")</f>
        <v/>
      </c>
      <c r="C519" s="6">
        <f>IFERROR(__xludf.DUMMYFUNCTION("""COMPUTED_VALUE"""),"Stop racism (2)")</f>
        <v/>
      </c>
      <c r="D519" s="7">
        <f>IFERROR(__xludf.DUMMYFUNCTION("""COMPUTED_VALUE"""),"No task description")</f>
        <v/>
      </c>
      <c r="E519" s="7">
        <f>IFERROR(__xludf.DUMMYFUNCTION("""COMPUTED_VALUE"""),"image/jpeg – A digital photograph or web image stored in a compressed format, often used for photography and web graphics.")</f>
        <v/>
      </c>
      <c r="F519" s="7" t="inlineStr">
        <is>
          <t>No task descriptions are provided, but all items contain JPEG images as embedded artifacts.</t>
        </is>
      </c>
      <c r="G519" s="8" t="inlineStr">
        <is>
          <t>1</t>
        </is>
      </c>
      <c r="H519" s="8" t="inlineStr">
        <is>
          <t>0</t>
        </is>
      </c>
      <c r="I519" s="8" t="inlineStr">
        <is>
          <t>0</t>
        </is>
      </c>
      <c r="J519" s="8" t="inlineStr">
        <is>
          <t>0</t>
        </is>
      </c>
      <c r="K519" s="9" t="inlineStr">
        <is>
          <t>0</t>
        </is>
      </c>
      <c r="L519" s="9" t="inlineStr">
        <is>
          <t>0</t>
        </is>
      </c>
      <c r="M519" s="9" t="inlineStr">
        <is>
          <t>0</t>
        </is>
      </c>
      <c r="N519" s="9" t="inlineStr">
        <is>
          <t>0</t>
        </is>
      </c>
      <c r="O519" s="10" t="inlineStr">
        <is>
          <t>0</t>
        </is>
      </c>
      <c r="P519" s="10" t="inlineStr">
        <is>
          <t>0</t>
        </is>
      </c>
      <c r="Q519" s="10" t="inlineStr">
        <is>
          <t>0</t>
        </is>
      </c>
      <c r="R519" s="10" t="inlineStr">
        <is>
          <t>0</t>
        </is>
      </c>
      <c r="S519" s="10" t="inlineStr">
        <is>
          <t>0</t>
        </is>
      </c>
    </row>
    <row r="520" ht="157" customHeight="1">
      <c r="A520" s="6">
        <f>IFERROR(__xludf.DUMMYFUNCTION("""COMPUTED_VALUE"""),"Racism in modern society")</f>
        <v/>
      </c>
      <c r="B520" s="6">
        <f>IFERROR(__xludf.DUMMYFUNCTION("""COMPUTED_VALUE"""),"Space")</f>
        <v/>
      </c>
      <c r="C520" s="6">
        <f>IFERROR(__xludf.DUMMYFUNCTION("""COMPUTED_VALUE"""),"Conceptualisation")</f>
        <v/>
      </c>
      <c r="D520" s="7">
        <f>IFERROR(__xludf.DUMMYFUNCTION("""COMPUTED_VALUE"""),"&lt;p&gt;Work through the materials attached and watch the videos to be ready for discussion concerning our topic as well as to express your own thoughts and attitude to it.&lt;br&gt;&lt;/p&gt;")</f>
        <v/>
      </c>
      <c r="E520" s="7">
        <f>IFERROR(__xludf.DUMMYFUNCTION("""COMPUTED_VALUE"""),"No artifact embedded")</f>
        <v/>
      </c>
      <c r="F520" s="7" t="inlineStr">
        <is>
          <t>Students were given tasks with embedded images (jpeg) or no artifacts, with one task requiring review of materials and video watching for discussion.</t>
        </is>
      </c>
      <c r="G520" s="8" t="inlineStr">
        <is>
          <t>0</t>
        </is>
      </c>
      <c r="H520" s="8" t="inlineStr">
        <is>
          <t>0</t>
        </is>
      </c>
      <c r="I520" s="8" t="inlineStr">
        <is>
          <t>0</t>
        </is>
      </c>
      <c r="J520" s="8" t="inlineStr">
        <is>
          <t>0</t>
        </is>
      </c>
      <c r="K520" s="9" t="inlineStr">
        <is>
          <t>1</t>
        </is>
      </c>
      <c r="L520" s="9" t="inlineStr">
        <is>
          <t>0</t>
        </is>
      </c>
      <c r="M520" s="9" t="inlineStr">
        <is>
          <t>0</t>
        </is>
      </c>
      <c r="N520" s="9" t="inlineStr">
        <is>
          <t>0</t>
        </is>
      </c>
      <c r="O520" s="10" t="inlineStr">
        <is>
          <t>0</t>
        </is>
      </c>
      <c r="P520" s="10" t="inlineStr">
        <is>
          <t>0</t>
        </is>
      </c>
      <c r="Q520" s="10" t="inlineStr">
        <is>
          <t>0</t>
        </is>
      </c>
      <c r="R520" s="10" t="inlineStr">
        <is>
          <t>0</t>
        </is>
      </c>
      <c r="S520" s="10" t="inlineStr">
        <is>
          <t>1</t>
        </is>
      </c>
    </row>
    <row r="521" ht="109" customHeight="1">
      <c r="A521" s="6">
        <f>IFERROR(__xludf.DUMMYFUNCTION("""COMPUTED_VALUE"""),"Racism in modern society")</f>
        <v/>
      </c>
      <c r="B521" s="6">
        <f>IFERROR(__xludf.DUMMYFUNCTION("""COMPUTED_VALUE"""),"Resource")</f>
        <v/>
      </c>
      <c r="C521" s="6">
        <f>IFERROR(__xludf.DUMMYFUNCTION("""COMPUTED_VALUE"""),"Racism")</f>
        <v/>
      </c>
      <c r="D521" s="7">
        <f>IFERROR(__xludf.DUMMYFUNCTION("""COMPUTED_VALUE"""),"No task description")</f>
        <v/>
      </c>
      <c r="E521" s="7">
        <f>IFERROR(__xludf.DUMMYFUNCTION("""COMPUTED_VALUE"""),"internesque.com: This domain appears to host essays or articles on various topics, including discussions on racism.")</f>
        <v/>
      </c>
      <c r="F521" s="7" t="inlineStr">
        <is>
          <t>Students were given tasks with varying descriptions and embedded artifacts, including images and websites, to complete assignments.</t>
        </is>
      </c>
      <c r="G521" s="8" t="inlineStr">
        <is>
          <t>1</t>
        </is>
      </c>
      <c r="H521" s="8" t="inlineStr">
        <is>
          <t>0</t>
        </is>
      </c>
      <c r="I521" s="8" t="inlineStr">
        <is>
          <t>0</t>
        </is>
      </c>
      <c r="J521" s="8" t="inlineStr">
        <is>
          <t>0</t>
        </is>
      </c>
      <c r="K521" s="9" t="inlineStr">
        <is>
          <t>0</t>
        </is>
      </c>
      <c r="L521" s="9" t="inlineStr">
        <is>
          <t>0</t>
        </is>
      </c>
      <c r="M521" s="9" t="inlineStr">
        <is>
          <t>0</t>
        </is>
      </c>
      <c r="N521" s="9" t="inlineStr">
        <is>
          <t>0</t>
        </is>
      </c>
      <c r="O521" s="10" t="inlineStr">
        <is>
          <t>0</t>
        </is>
      </c>
      <c r="P521" s="10" t="inlineStr">
        <is>
          <t>0</t>
        </is>
      </c>
      <c r="Q521" s="10" t="inlineStr">
        <is>
          <t>0</t>
        </is>
      </c>
      <c r="R521" s="10" t="inlineStr">
        <is>
          <t>0</t>
        </is>
      </c>
      <c r="S521" s="10" t="inlineStr">
        <is>
          <t>1</t>
        </is>
      </c>
    </row>
    <row r="522" ht="97" customHeight="1">
      <c r="A522" s="6">
        <f>IFERROR(__xludf.DUMMYFUNCTION("""COMPUTED_VALUE"""),"Racism in modern society")</f>
        <v/>
      </c>
      <c r="B522" s="6">
        <f>IFERROR(__xludf.DUMMYFUNCTION("""COMPUTED_VALUE"""),"Resource")</f>
        <v/>
      </c>
      <c r="C522" s="6">
        <f>IFERROR(__xludf.DUMMYFUNCTION("""COMPUTED_VALUE"""),"MODERN RACISM: THE CAUSE, CULTURE, AND EFFECTS-THE RESULT OF SOCIAL LEARNING")</f>
        <v/>
      </c>
      <c r="D522" s="7">
        <f>IFERROR(__xludf.DUMMYFUNCTION("""COMPUTED_VALUE"""),"No task description")</f>
        <v/>
      </c>
      <c r="E522" s="7">
        <f>IFERROR(__xludf.DUMMYFUNCTION("""COMPUTED_VALUE"""),"psychsocialissues.com: Discusses psychological and social issues, including articles on modern racism.")</f>
        <v/>
      </c>
      <c r="F522" s="7" t="inlineStr">
        <is>
          <t>Students are instructed to review materials and watch videos for discussion. Embedded artifacts include websites on racism and social issues.</t>
        </is>
      </c>
      <c r="G522" s="8" t="inlineStr">
        <is>
          <t>1</t>
        </is>
      </c>
      <c r="H522" s="8" t="inlineStr">
        <is>
          <t>0</t>
        </is>
      </c>
      <c r="I522" s="8" t="inlineStr">
        <is>
          <t>0</t>
        </is>
      </c>
      <c r="J522" s="8" t="inlineStr">
        <is>
          <t>0</t>
        </is>
      </c>
      <c r="K522" s="9" t="inlineStr">
        <is>
          <t>0</t>
        </is>
      </c>
      <c r="L522" s="9" t="inlineStr">
        <is>
          <t>0</t>
        </is>
      </c>
      <c r="M522" s="9" t="inlineStr">
        <is>
          <t>0</t>
        </is>
      </c>
      <c r="N522" s="9" t="inlineStr">
        <is>
          <t>0</t>
        </is>
      </c>
      <c r="O522" s="10" t="inlineStr">
        <is>
          <t>0</t>
        </is>
      </c>
      <c r="P522" s="10" t="inlineStr">
        <is>
          <t>0</t>
        </is>
      </c>
      <c r="Q522" s="10" t="inlineStr">
        <is>
          <t>0</t>
        </is>
      </c>
      <c r="R522" s="10" t="inlineStr">
        <is>
          <t>0</t>
        </is>
      </c>
      <c r="S522" s="10" t="inlineStr">
        <is>
          <t>1</t>
        </is>
      </c>
    </row>
    <row r="523" ht="133" customHeight="1">
      <c r="A523" s="6">
        <f>IFERROR(__xludf.DUMMYFUNCTION("""COMPUTED_VALUE"""),"Racism in modern society")</f>
        <v/>
      </c>
      <c r="B523" s="6">
        <f>IFERROR(__xludf.DUMMYFUNCTION("""COMPUTED_VALUE"""),"Resource")</f>
        <v/>
      </c>
      <c r="C523" s="6">
        <f>IFERROR(__xludf.DUMMYFUNCTION("""COMPUTED_VALUE"""),"Racism and discrimination in Ukraine")</f>
        <v/>
      </c>
      <c r="D523" s="7">
        <f>IFERROR(__xludf.DUMMYFUNCTION("""COMPUTED_VALUE"""),"No task description")</f>
        <v/>
      </c>
      <c r="E523" s="7">
        <f>IFERROR(__xludf.DUMMYFUNCTION("""COMPUTED_VALUE"""),"en.wikipedia.org: The English version of Wikipedia, a free online encyclopedia, offering articles on topics like racism and discrimination in Ukraine.")</f>
        <v/>
      </c>
      <c r="F523" s="7" t="inlineStr">
        <is>
          <t>No instructions provided; artifacts include websites discussing racism and social issues.</t>
        </is>
      </c>
      <c r="G523" s="8" t="inlineStr">
        <is>
          <t>1</t>
        </is>
      </c>
      <c r="H523" s="8" t="inlineStr">
        <is>
          <t>0</t>
        </is>
      </c>
      <c r="I523" s="8" t="inlineStr">
        <is>
          <t>0</t>
        </is>
      </c>
      <c r="J523" s="8" t="inlineStr">
        <is>
          <t>0</t>
        </is>
      </c>
      <c r="K523" s="9" t="inlineStr">
        <is>
          <t>0</t>
        </is>
      </c>
      <c r="L523" s="9" t="inlineStr">
        <is>
          <t>0</t>
        </is>
      </c>
      <c r="M523" s="9" t="inlineStr">
        <is>
          <t>0</t>
        </is>
      </c>
      <c r="N523" s="9" t="inlineStr">
        <is>
          <t>0</t>
        </is>
      </c>
      <c r="O523" s="10" t="inlineStr">
        <is>
          <t>0</t>
        </is>
      </c>
      <c r="P523" s="10" t="inlineStr">
        <is>
          <t>0</t>
        </is>
      </c>
      <c r="Q523" s="10" t="inlineStr">
        <is>
          <t>0</t>
        </is>
      </c>
      <c r="R523" s="10" t="inlineStr">
        <is>
          <t>0</t>
        </is>
      </c>
      <c r="S523" s="10" t="inlineStr">
        <is>
          <t>0</t>
        </is>
      </c>
    </row>
    <row r="524" ht="121" customHeight="1">
      <c r="A524" s="6">
        <f>IFERROR(__xludf.DUMMYFUNCTION("""COMPUTED_VALUE"""),"Racism in modern society")</f>
        <v/>
      </c>
      <c r="B524" s="6">
        <f>IFERROR(__xludf.DUMMYFUNCTION("""COMPUTED_VALUE"""),"Resource")</f>
        <v/>
      </c>
      <c r="C524" s="6">
        <f>IFERROR(__xludf.DUMMYFUNCTION("""COMPUTED_VALUE"""),"The Science Of Racism")</f>
        <v/>
      </c>
      <c r="D524" s="7">
        <f>IFERROR(__xludf.DUMMYFUNCTION("""COMPUTED_VALUE"""),"&lt;p&gt;Why are some people racist, but others are not?&lt;/p&gt;")</f>
        <v/>
      </c>
      <c r="E524" s="7">
        <f>IFERROR(__xludf.DUMMYFUNCTION("""COMPUTED_VALUE"""),"youtube.com: A widely known video-sharing platform where users can watch videos on a vast array of topics, including educational content.")</f>
        <v/>
      </c>
      <c r="F524" s="7" t="inlineStr">
        <is>
          <t>Students were given no specific tasks, but provided with online resources on racism and social issues.</t>
        </is>
      </c>
      <c r="G524" s="8" t="inlineStr">
        <is>
          <t>1</t>
        </is>
      </c>
      <c r="H524" s="8" t="inlineStr">
        <is>
          <t>0</t>
        </is>
      </c>
      <c r="I524" s="8" t="inlineStr">
        <is>
          <t>0</t>
        </is>
      </c>
      <c r="J524" s="8" t="inlineStr">
        <is>
          <t>0</t>
        </is>
      </c>
      <c r="K524" s="9" t="inlineStr">
        <is>
          <t>1</t>
        </is>
      </c>
      <c r="L524" s="9" t="inlineStr">
        <is>
          <t>0</t>
        </is>
      </c>
      <c r="M524" s="9" t="inlineStr">
        <is>
          <t>0</t>
        </is>
      </c>
      <c r="N524" s="9" t="inlineStr">
        <is>
          <t>0</t>
        </is>
      </c>
      <c r="O524" s="10" t="inlineStr">
        <is>
          <t>1</t>
        </is>
      </c>
      <c r="P524" s="10" t="inlineStr">
        <is>
          <t>1</t>
        </is>
      </c>
      <c r="Q524" s="10" t="inlineStr">
        <is>
          <t>1</t>
        </is>
      </c>
      <c r="R524" s="10" t="inlineStr">
        <is>
          <t>0</t>
        </is>
      </c>
      <c r="S524" s="10" t="inlineStr">
        <is>
          <t>0</t>
        </is>
      </c>
    </row>
    <row r="525" ht="121" customHeight="1">
      <c r="A525" s="6">
        <f>IFERROR(__xludf.DUMMYFUNCTION("""COMPUTED_VALUE"""),"Racism in modern society")</f>
        <v/>
      </c>
      <c r="B525" s="6">
        <f>IFERROR(__xludf.DUMMYFUNCTION("""COMPUTED_VALUE"""),"Resource")</f>
        <v/>
      </c>
      <c r="C525" s="6">
        <f>IFERROR(__xludf.DUMMYFUNCTION("""COMPUTED_VALUE"""),"THE RACISM EXPERIMENT!")</f>
        <v/>
      </c>
      <c r="D525" s="7">
        <f>IFERROR(__xludf.DUMMYFUNCTION("""COMPUTED_VALUE"""),"No task description")</f>
        <v/>
      </c>
      <c r="E525" s="7">
        <f>IFERROR(__xludf.DUMMYFUNCTION("""COMPUTED_VALUE"""),"youtube.com: A widely known video-sharing platform where users can watch videos on a vast array of topics, including educational content.")</f>
        <v/>
      </c>
      <c r="F525" s="7" t="inlineStr">
        <is>
          <t>Students received tasks with embedded artifacts from Wikipedia and YouTube to explore racism and discrimination topics.</t>
        </is>
      </c>
      <c r="G525" s="8" t="inlineStr">
        <is>
          <t>1</t>
        </is>
      </c>
      <c r="H525" s="8" t="inlineStr">
        <is>
          <t>0</t>
        </is>
      </c>
      <c r="I525" s="8" t="inlineStr">
        <is>
          <t>0</t>
        </is>
      </c>
      <c r="J525" s="8" t="inlineStr">
        <is>
          <t>0</t>
        </is>
      </c>
      <c r="K525" s="9" t="inlineStr">
        <is>
          <t>0</t>
        </is>
      </c>
      <c r="L525" s="9" t="inlineStr">
        <is>
          <t>0</t>
        </is>
      </c>
      <c r="M525" s="9" t="inlineStr">
        <is>
          <t>0</t>
        </is>
      </c>
      <c r="N525" s="9" t="inlineStr">
        <is>
          <t>0</t>
        </is>
      </c>
      <c r="O525" s="10" t="inlineStr">
        <is>
          <t>0</t>
        </is>
      </c>
      <c r="P525" s="10" t="inlineStr">
        <is>
          <t>0</t>
        </is>
      </c>
      <c r="Q525" s="10" t="inlineStr">
        <is>
          <t>0</t>
        </is>
      </c>
      <c r="R525" s="10" t="inlineStr">
        <is>
          <t>0</t>
        </is>
      </c>
      <c r="S525" s="10" t="inlineStr">
        <is>
          <t>0</t>
        </is>
      </c>
    </row>
    <row r="526" ht="181" customHeight="1">
      <c r="A526" s="6">
        <f>IFERROR(__xludf.DUMMYFUNCTION("""COMPUTED_VALUE"""),"Racism in modern society")</f>
        <v/>
      </c>
      <c r="B526" s="6">
        <f>IFERROR(__xludf.DUMMYFUNCTION("""COMPUTED_VALUE"""),"Space")</f>
        <v/>
      </c>
      <c r="C526" s="6">
        <f>IFERROR(__xludf.DUMMYFUNCTION("""COMPUTED_VALUE"""),"Discussion")</f>
        <v/>
      </c>
      <c r="D526" s="7">
        <f>IFERROR(__xludf.DUMMYFUNCTION("""COMPUTED_VALUE"""),"&lt;p&gt;Here you can find the discussion concerning racism in modern society. You're welcome to express your opinion as well as comment opinions of your peers.&lt;/p&gt;&lt;p&gt;The questions are inside the discussion.&lt;/p&gt;")</f>
        <v/>
      </c>
      <c r="E526" s="7">
        <f>IFERROR(__xludf.DUMMYFUNCTION("""COMPUTED_VALUE"""),"No artifact embedded")</f>
        <v/>
      </c>
      <c r="F526" s="7" t="inlineStr">
        <is>
          <t>Students discuss racism, with tasks involving video content on youtube.com and a peer discussion forum.</t>
        </is>
      </c>
      <c r="G526" s="8" t="inlineStr">
        <is>
          <t>0</t>
        </is>
      </c>
      <c r="H526" s="8" t="inlineStr">
        <is>
          <t>0</t>
        </is>
      </c>
      <c r="I526" s="8" t="inlineStr">
        <is>
          <t>1</t>
        </is>
      </c>
      <c r="J526" s="8" t="inlineStr">
        <is>
          <t>1</t>
        </is>
      </c>
      <c r="K526" s="9" t="inlineStr">
        <is>
          <t>0</t>
        </is>
      </c>
      <c r="L526" s="9" t="inlineStr">
        <is>
          <t>0</t>
        </is>
      </c>
      <c r="M526" s="9" t="inlineStr">
        <is>
          <t>1</t>
        </is>
      </c>
      <c r="N526" s="9" t="inlineStr">
        <is>
          <t>1</t>
        </is>
      </c>
      <c r="O526" s="10" t="inlineStr">
        <is>
          <t>0</t>
        </is>
      </c>
      <c r="P526" s="10" t="inlineStr">
        <is>
          <t>0</t>
        </is>
      </c>
      <c r="Q526" s="10" t="inlineStr">
        <is>
          <t>0</t>
        </is>
      </c>
      <c r="R526" s="10" t="inlineStr">
        <is>
          <t>0</t>
        </is>
      </c>
      <c r="S526" s="10" t="inlineStr">
        <is>
          <t>1</t>
        </is>
      </c>
    </row>
    <row r="527" ht="285" customHeight="1">
      <c r="A527" s="6">
        <f>IFERROR(__xludf.DUMMYFUNCTION("""COMPUTED_VALUE"""),"Racism in modern society")</f>
        <v/>
      </c>
      <c r="B527" s="6">
        <f>IFERROR(__xludf.DUMMYFUNCTION("""COMPUTED_VALUE"""),"Topic")</f>
        <v/>
      </c>
      <c r="C527" s="6">
        <f>IFERROR(__xludf.DUMMYFUNCTION("""COMPUTED_VALUE"""),"Your attitude to racism")</f>
        <v/>
      </c>
      <c r="D527" s="7">
        <f>IFERROR(__xludf.DUMMYFUNCTION("""COMPUTED_VALUE"""),"&lt;p&gt;Please, share your opinion concerning the following questions: &lt;/p&gt;&lt;p&gt;1) What causes people to be racist?&lt;/p&gt;&lt;p&gt;2) Is there the way to teach people not to be racists?&lt;/p&gt;&lt;p&gt;3) How do you think racism will disappear over time? Aren’t older people more r"&amp;"acists and younger generations more progressive?&lt;/p&gt;")</f>
        <v/>
      </c>
      <c r="E527" s="7">
        <f>IFERROR(__xludf.DUMMYFUNCTION("""COMPUTED_VALUE"""),"text/html – A webpage or web document that contains structured text, images, and links, designed for display in a web browser.")</f>
        <v/>
      </c>
      <c r="F527" s="7" t="inlineStr">
        <is>
          <t>Students were given discussion tasks on racism with some items having embedded artifacts like YouTube and HTML webpages.</t>
        </is>
      </c>
      <c r="G527" s="8" t="inlineStr">
        <is>
          <t>0</t>
        </is>
      </c>
      <c r="H527" s="8" t="inlineStr">
        <is>
          <t>0</t>
        </is>
      </c>
      <c r="I527" s="8" t="inlineStr">
        <is>
          <t>1</t>
        </is>
      </c>
      <c r="J527" s="8" t="inlineStr">
        <is>
          <t>0</t>
        </is>
      </c>
      <c r="K527" s="9" t="inlineStr">
        <is>
          <t>1</t>
        </is>
      </c>
      <c r="L527" s="9" t="inlineStr">
        <is>
          <t>1</t>
        </is>
      </c>
      <c r="M527" s="9" t="inlineStr">
        <is>
          <t>1</t>
        </is>
      </c>
      <c r="N527" s="9" t="inlineStr">
        <is>
          <t>0</t>
        </is>
      </c>
      <c r="O527" s="10" t="inlineStr">
        <is>
          <t>1</t>
        </is>
      </c>
      <c r="P527" s="10" t="inlineStr">
        <is>
          <t>1</t>
        </is>
      </c>
      <c r="Q527" s="10" t="inlineStr">
        <is>
          <t>0</t>
        </is>
      </c>
      <c r="R527" s="10" t="inlineStr">
        <is>
          <t>0</t>
        </is>
      </c>
      <c r="S527" s="10" t="inlineStr">
        <is>
          <t>1</t>
        </is>
      </c>
    </row>
    <row r="528" ht="409.5" customHeight="1">
      <c r="A528" s="6">
        <f>IFERROR(__xludf.DUMMYFUNCTION("""COMPUTED_VALUE"""),"Racism in modern society")</f>
        <v/>
      </c>
      <c r="B528" s="6">
        <f>IFERROR(__xludf.DUMMYFUNCTION("""COMPUTED_VALUE"""),"Space")</f>
        <v/>
      </c>
      <c r="C528" s="6">
        <f>IFERROR(__xludf.DUMMYFUNCTION("""COMPUTED_VALUE"""),"Investigation")</f>
        <v/>
      </c>
      <c r="D528" s="7">
        <f>IFERROR(__xludf.DUMMYFUNCTION("""COMPUTED_VALUE"""),"&lt;p&gt;Your tasks:&lt;/p&gt;&lt;p&gt;1) Listen the audio about Sojourner Truth, who was an African American anti-slavery campaigner and lived during the American Civil war, when African Americans were seen as inferior to white people, and women were seen as inferior to m"&amp;"en. &lt;/p&gt;&lt;p&gt;You can find some new words with explanations below.&lt;/p&gt;&lt;p&gt;Glossary&lt;br&gt;abolition (n.): act or state of ending (an activity, custom, etc.) officially.&lt;br&gt;campaigner (n.): a person who takes part in organized activities which are intended to chan"&amp;"ge something in society.&lt;br&gt;compelling (adj.): forceful and able to persuade.&lt;br&gt;dislocate (v.): to force (a bone) suddenly out of its correct position.&lt;br&gt;odd jobs (n.): a variety of jobs, esp. in the house or garden.&lt;br&gt;preacher (n.): a person, usually "&amp;"a priest, who gives a religious speech.&lt;br&gt;predominant (adj.): being the most noticeable, important or largest in number.&lt;br&gt;streetcar (n.) (American – British English = tram): an electric vehicle that transports people, usually in cities, and goes along "&amp;"metal tracks in the road.&lt;/p&gt;&lt;p&gt;2) Write your summary in Ukrainian.&lt;/p&gt;&lt;p&gt;5) Answer the questions.&lt;/p&gt;")</f>
        <v/>
      </c>
      <c r="E528" s="7">
        <f>IFERROR(__xludf.DUMMYFUNCTION("""COMPUTED_VALUE"""),"No artifact embedded")</f>
        <v/>
      </c>
      <c r="F528" s="7" t="inlineStr">
        <is>
          <t>Students discuss racism, share opinions, and complete tasks with audio and vocabulary exercises, with some items having embedded HTML artifacts or no artifacts.</t>
        </is>
      </c>
      <c r="G528" s="8" t="inlineStr">
        <is>
          <t>1</t>
        </is>
      </c>
      <c r="H528" s="8" t="inlineStr">
        <is>
          <t>0</t>
        </is>
      </c>
      <c r="I528" s="8" t="inlineStr">
        <is>
          <t>1</t>
        </is>
      </c>
      <c r="J528" s="8" t="inlineStr">
        <is>
          <t>0</t>
        </is>
      </c>
      <c r="K528" s="9" t="inlineStr">
        <is>
          <t>1</t>
        </is>
      </c>
      <c r="L528" s="9" t="inlineStr">
        <is>
          <t>1</t>
        </is>
      </c>
      <c r="M528" s="9" t="inlineStr">
        <is>
          <t>0</t>
        </is>
      </c>
      <c r="N528" s="9" t="inlineStr">
        <is>
          <t>0</t>
        </is>
      </c>
      <c r="O528" s="10" t="inlineStr">
        <is>
          <t>0</t>
        </is>
      </c>
      <c r="P528" s="10" t="inlineStr">
        <is>
          <t>0</t>
        </is>
      </c>
      <c r="Q528" s="10" t="inlineStr">
        <is>
          <t>0</t>
        </is>
      </c>
      <c r="R528" s="10" t="inlineStr">
        <is>
          <t>0</t>
        </is>
      </c>
      <c r="S528" s="10" t="inlineStr">
        <is>
          <t>0</t>
        </is>
      </c>
    </row>
    <row r="529" ht="241" customHeight="1">
      <c r="A529" s="6">
        <f>IFERROR(__xludf.DUMMYFUNCTION("""COMPUTED_VALUE"""),"Racism in modern society")</f>
        <v/>
      </c>
      <c r="B529" s="6">
        <f>IFERROR(__xludf.DUMMYFUNCTION("""COMPUTED_VALUE"""),"Application")</f>
        <v/>
      </c>
      <c r="C529" s="6">
        <f>IFERROR(__xludf.DUMMYFUNCTION("""COMPUTED_VALUE"""),"Summary")</f>
        <v/>
      </c>
      <c r="D529" s="7">
        <f>IFERROR(__xludf.DUMMYFUNCTION("""COMPUTED_VALUE"""),"No task description")</f>
        <v/>
      </c>
      <c r="E52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29" s="7" t="inlineStr">
        <is>
          <t>Students are asked to share opinions on racism, listen to audio about Sojourner Truth, and complete tasks with embedded artifacts like webpages and apps.</t>
        </is>
      </c>
      <c r="G529" s="8" t="inlineStr">
        <is>
          <t>0</t>
        </is>
      </c>
      <c r="H529" s="8" t="inlineStr">
        <is>
          <t>0</t>
        </is>
      </c>
      <c r="I529" s="8" t="inlineStr">
        <is>
          <t>0</t>
        </is>
      </c>
      <c r="J529" s="8" t="inlineStr">
        <is>
          <t>1</t>
        </is>
      </c>
      <c r="K529" s="9" t="inlineStr">
        <is>
          <t>0</t>
        </is>
      </c>
      <c r="L529" s="9" t="inlineStr">
        <is>
          <t>0</t>
        </is>
      </c>
      <c r="M529" s="9" t="inlineStr">
        <is>
          <t>0</t>
        </is>
      </c>
      <c r="N529" s="9" t="inlineStr">
        <is>
          <t>0</t>
        </is>
      </c>
      <c r="O529" s="10" t="inlineStr">
        <is>
          <t>0</t>
        </is>
      </c>
      <c r="P529" s="10" t="inlineStr">
        <is>
          <t>0</t>
        </is>
      </c>
      <c r="Q529" s="10" t="inlineStr">
        <is>
          <t>0</t>
        </is>
      </c>
      <c r="R529" s="10" t="inlineStr">
        <is>
          <t>0</t>
        </is>
      </c>
      <c r="S529" s="10" t="inlineStr">
        <is>
          <t>0</t>
        </is>
      </c>
    </row>
    <row r="530" ht="241" customHeight="1">
      <c r="A530" s="6">
        <f>IFERROR(__xludf.DUMMYFUNCTION("""COMPUTED_VALUE"""),"Racism in modern society")</f>
        <v/>
      </c>
      <c r="B530" s="6">
        <f>IFERROR(__xludf.DUMMYFUNCTION("""COMPUTED_VALUE"""),"Application")</f>
        <v/>
      </c>
      <c r="C530" s="6">
        <f>IFERROR(__xludf.DUMMYFUNCTION("""COMPUTED_VALUE"""),"Questions")</f>
        <v/>
      </c>
      <c r="D530" s="7">
        <f>IFERROR(__xludf.DUMMYFUNCTION("""COMPUTED_VALUE"""),"No task description")</f>
        <v/>
      </c>
      <c r="E530"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30" s="7" t="inlineStr">
        <is>
          <t>Listen to audio about Sojourner Truth, write a summary in Ukrainian, and answer questions using Golabz app/lab with embedded questionnaire features.</t>
        </is>
      </c>
      <c r="G530" s="8" t="inlineStr">
        <is>
          <t>0</t>
        </is>
      </c>
      <c r="H530" s="8" t="inlineStr">
        <is>
          <t>0</t>
        </is>
      </c>
      <c r="I530" s="8" t="inlineStr">
        <is>
          <t>0</t>
        </is>
      </c>
      <c r="J530" s="8" t="inlineStr">
        <is>
          <t>1</t>
        </is>
      </c>
      <c r="K530" s="9" t="inlineStr">
        <is>
          <t>0</t>
        </is>
      </c>
      <c r="L530" s="9" t="inlineStr">
        <is>
          <t>0</t>
        </is>
      </c>
      <c r="M530" s="9" t="inlineStr">
        <is>
          <t>0</t>
        </is>
      </c>
      <c r="N530" s="9" t="inlineStr">
        <is>
          <t>0</t>
        </is>
      </c>
      <c r="O530" s="10" t="inlineStr">
        <is>
          <t>0</t>
        </is>
      </c>
      <c r="P530" s="10" t="inlineStr">
        <is>
          <t>0</t>
        </is>
      </c>
      <c r="Q530" s="10" t="inlineStr">
        <is>
          <t>0</t>
        </is>
      </c>
      <c r="R530" s="10" t="inlineStr">
        <is>
          <t>0</t>
        </is>
      </c>
      <c r="S530" s="10" t="inlineStr">
        <is>
          <t>0</t>
        </is>
      </c>
    </row>
    <row r="531" ht="73" customHeight="1">
      <c r="A531" s="6">
        <f>IFERROR(__xludf.DUMMYFUNCTION("""COMPUTED_VALUE"""),"Racism in modern society")</f>
        <v/>
      </c>
      <c r="B531" s="6">
        <f>IFERROR(__xludf.DUMMYFUNCTION("""COMPUTED_VALUE"""),"Application")</f>
        <v/>
      </c>
      <c r="C531" s="6">
        <f>IFERROR(__xludf.DUMMYFUNCTION("""COMPUTED_VALUE"""),"Teacher Feedback")</f>
        <v/>
      </c>
      <c r="D531" s="7">
        <f>IFERROR(__xludf.DUMMYFUNCTION("""COMPUTED_VALUE"""),"No task description")</f>
        <v/>
      </c>
      <c r="E531" s="7">
        <f>IFERROR(__xludf.DUMMYFUNCTION("""COMPUTED_VALUE"""),"Golabz app/lab: ""&lt;p&gt;A tool where teachers can provide feedback to students&lt;/p&gt;\r\n""")</f>
        <v/>
      </c>
      <c r="F531" s="7" t="inlineStr">
        <is>
          <t>No task descriptions; embedded artifacts describe Golabz app/lab features for surveys and teacher feedback.</t>
        </is>
      </c>
      <c r="G531" s="8" t="inlineStr">
        <is>
          <t>0</t>
        </is>
      </c>
      <c r="H531" s="8" t="inlineStr">
        <is>
          <t>0</t>
        </is>
      </c>
      <c r="I531" s="8" t="inlineStr">
        <is>
          <t>0</t>
        </is>
      </c>
      <c r="J531" s="8" t="inlineStr">
        <is>
          <t>1</t>
        </is>
      </c>
      <c r="K531" s="9" t="inlineStr">
        <is>
          <t>0</t>
        </is>
      </c>
      <c r="L531" s="9" t="inlineStr">
        <is>
          <t>0</t>
        </is>
      </c>
      <c r="M531" s="9" t="inlineStr">
        <is>
          <t>0</t>
        </is>
      </c>
      <c r="N531" s="9" t="inlineStr">
        <is>
          <t>0</t>
        </is>
      </c>
      <c r="O531" s="10" t="inlineStr">
        <is>
          <t>0</t>
        </is>
      </c>
      <c r="P531" s="10" t="inlineStr">
        <is>
          <t>0</t>
        </is>
      </c>
      <c r="Q531" s="10" t="inlineStr">
        <is>
          <t>0</t>
        </is>
      </c>
      <c r="R531" s="10" t="inlineStr">
        <is>
          <t>0</t>
        </is>
      </c>
      <c r="S531" s="10" t="inlineStr">
        <is>
          <t>1</t>
        </is>
      </c>
    </row>
    <row r="532" ht="307" customHeight="1">
      <c r="A532" s="6">
        <f>IFERROR(__xludf.DUMMYFUNCTION("""COMPUTED_VALUE"""),"Racism in modern society")</f>
        <v/>
      </c>
      <c r="B532" s="6">
        <f>IFERROR(__xludf.DUMMYFUNCTION("""COMPUTED_VALUE"""),"Space")</f>
        <v/>
      </c>
      <c r="C532" s="6">
        <f>IFERROR(__xludf.DUMMYFUNCTION("""COMPUTED_VALUE"""),"Conclusion")</f>
        <v/>
      </c>
      <c r="D532" s="7">
        <f>IFERROR(__xludf.DUMMYFUNCTION("""COMPUTED_VALUE"""),"&lt;p&gt;Dear students, &lt;/p&gt;&lt;p&gt;Have you ever thought about the act of racism? Do you ever wonder if you are a racist? This quiz will make you think about this topic more in depth and hopefully you will realize something new about your self that never occurred t"&amp;"o you before you took this quiz. The main thing to remember while completing this quiz, is to be as honest as possible!&lt;/p&gt;")</f>
        <v/>
      </c>
      <c r="E532" s="7">
        <f>IFERROR(__xludf.DUMMYFUNCTION("""COMPUTED_VALUE"""),"No artifact embedded")</f>
        <v/>
      </c>
      <c r="F532" s="7" t="inlineStr">
        <is>
          <t>Students received no task descriptions for Items 1 and 2, but Item 3 had a quiz on racism with honesty encouraged. Embedded artifacts included Golabz app/lab for surveys and feedback tools.</t>
        </is>
      </c>
      <c r="G532" s="8" t="inlineStr">
        <is>
          <t>0</t>
        </is>
      </c>
      <c r="H532" s="8" t="inlineStr">
        <is>
          <t>0</t>
        </is>
      </c>
      <c r="I532" s="8" t="inlineStr">
        <is>
          <t>0</t>
        </is>
      </c>
      <c r="J532" s="8" t="inlineStr">
        <is>
          <t>1</t>
        </is>
      </c>
      <c r="K532" s="9" t="inlineStr">
        <is>
          <t>1</t>
        </is>
      </c>
      <c r="L532" s="9" t="inlineStr">
        <is>
          <t>1</t>
        </is>
      </c>
      <c r="M532" s="9" t="inlineStr">
        <is>
          <t>0</t>
        </is>
      </c>
      <c r="N532" s="9" t="inlineStr">
        <is>
          <t>0</t>
        </is>
      </c>
      <c r="O532" s="10" t="inlineStr">
        <is>
          <t>1</t>
        </is>
      </c>
      <c r="P532" s="10" t="inlineStr">
        <is>
          <t>1</t>
        </is>
      </c>
      <c r="Q532" s="10" t="inlineStr">
        <is>
          <t>0</t>
        </is>
      </c>
      <c r="R532" s="10" t="inlineStr">
        <is>
          <t>0</t>
        </is>
      </c>
      <c r="S532" s="10" t="inlineStr">
        <is>
          <t>0</t>
        </is>
      </c>
    </row>
    <row r="533" ht="133" customHeight="1">
      <c r="A533" s="6">
        <f>IFERROR(__xludf.DUMMYFUNCTION("""COMPUTED_VALUE"""),"Racism in modern society")</f>
        <v/>
      </c>
      <c r="B533" s="6">
        <f>IFERROR(__xludf.DUMMYFUNCTION("""COMPUTED_VALUE"""),"Resource")</f>
        <v/>
      </c>
      <c r="C533" s="6">
        <f>IFERROR(__xludf.DUMMYFUNCTION("""COMPUTED_VALUE"""),"Are You Racist? Quiz - ProProfs Quiz")</f>
        <v/>
      </c>
      <c r="D533" s="7">
        <f>IFERROR(__xludf.DUMMYFUNCTION("""COMPUTED_VALUE"""),"Have you ever thought about the act of racism? Do you ever wonder if you are a racist? This quiz will make you think about this topic more in depth and hopefull...")</f>
        <v/>
      </c>
      <c r="E533" s="7">
        <f>IFERROR(__xludf.DUMMYFUNCTION("""COMPUTED_VALUE"""),"proprofs.com: Provides quizzes and educational tools, including personality quizzes on topics like racism.")</f>
        <v/>
      </c>
      <c r="F533" s="7" t="inlineStr">
        <is>
          <t>Students received tasks on racism with instructions to be honest. Embedded artifacts included Golabz app and ProProfs quizzes.</t>
        </is>
      </c>
      <c r="G533" s="8" t="inlineStr">
        <is>
          <t>0</t>
        </is>
      </c>
      <c r="H533" s="8" t="inlineStr">
        <is>
          <t>0</t>
        </is>
      </c>
      <c r="I533" s="8" t="inlineStr">
        <is>
          <t>0</t>
        </is>
      </c>
      <c r="J533" s="8" t="inlineStr">
        <is>
          <t>1</t>
        </is>
      </c>
      <c r="K533" s="9" t="inlineStr">
        <is>
          <t>1</t>
        </is>
      </c>
      <c r="L533" s="9" t="inlineStr">
        <is>
          <t>1</t>
        </is>
      </c>
      <c r="M533" s="9" t="inlineStr">
        <is>
          <t>0</t>
        </is>
      </c>
      <c r="N533" s="9" t="inlineStr">
        <is>
          <t>0</t>
        </is>
      </c>
      <c r="O533" s="10" t="inlineStr">
        <is>
          <t>1</t>
        </is>
      </c>
      <c r="P533" s="10" t="inlineStr">
        <is>
          <t>1</t>
        </is>
      </c>
      <c r="Q533" s="10" t="inlineStr">
        <is>
          <t>0</t>
        </is>
      </c>
      <c r="R533" s="10" t="inlineStr">
        <is>
          <t>0</t>
        </is>
      </c>
      <c r="S533" s="10" t="inlineStr">
        <is>
          <t>0</t>
        </is>
      </c>
    </row>
    <row r="534" ht="25" customHeight="1">
      <c r="A534" s="6">
        <f>IFERROR(__xludf.DUMMYFUNCTION("""COMPUTED_VALUE"""),"Bending of Light")</f>
        <v/>
      </c>
      <c r="B534" s="6">
        <f>IFERROR(__xludf.DUMMYFUNCTION("""COMPUTED_VALUE"""),"Space")</f>
        <v/>
      </c>
      <c r="C534" s="6">
        <f>IFERROR(__xludf.DUMMYFUNCTION("""COMPUTED_VALUE"""),"Orientation")</f>
        <v/>
      </c>
      <c r="D534" s="7">
        <f>IFERROR(__xludf.DUMMYFUNCTION("""COMPUTED_VALUE"""),"&lt;p&gt;Background&lt;/p&gt;")</f>
        <v/>
      </c>
      <c r="E534" s="7">
        <f>IFERROR(__xludf.DUMMYFUNCTION("""COMPUTED_VALUE"""),"No artifact embedded")</f>
        <v/>
      </c>
      <c r="F534" s="7" t="inlineStr">
        <is>
          <t>Students are asked to honestly complete a quiz about racism, with some items linking to external resources like ProProfs for educational tools.</t>
        </is>
      </c>
      <c r="G534" s="8" t="inlineStr">
        <is>
          <t>1</t>
        </is>
      </c>
      <c r="H534" s="8" t="inlineStr">
        <is>
          <t>0</t>
        </is>
      </c>
      <c r="I534" s="8" t="inlineStr">
        <is>
          <t>0</t>
        </is>
      </c>
      <c r="J534" s="8" t="inlineStr">
        <is>
          <t>0</t>
        </is>
      </c>
      <c r="K534" s="9" t="inlineStr">
        <is>
          <t>1</t>
        </is>
      </c>
      <c r="L534" s="9" t="inlineStr">
        <is>
          <t>0</t>
        </is>
      </c>
      <c r="M534" s="9" t="inlineStr">
        <is>
          <t>0</t>
        </is>
      </c>
      <c r="N534" s="9" t="inlineStr">
        <is>
          <t>0</t>
        </is>
      </c>
      <c r="O534" s="10" t="inlineStr">
        <is>
          <t>0</t>
        </is>
      </c>
      <c r="P534" s="10" t="inlineStr">
        <is>
          <t>0</t>
        </is>
      </c>
      <c r="Q534" s="10" t="inlineStr">
        <is>
          <t>0</t>
        </is>
      </c>
      <c r="R534" s="10" t="inlineStr">
        <is>
          <t>0</t>
        </is>
      </c>
      <c r="S534" s="10" t="inlineStr">
        <is>
          <t>0</t>
        </is>
      </c>
    </row>
    <row r="535" ht="409.5" customHeight="1">
      <c r="A535" s="6">
        <f>IFERROR(__xludf.DUMMYFUNCTION("""COMPUTED_VALUE"""),"Bending of Light")</f>
        <v/>
      </c>
      <c r="B535" s="6">
        <f>IFERROR(__xludf.DUMMYFUNCTION("""COMPUTED_VALUE"""),"Resource")</f>
        <v/>
      </c>
      <c r="C535" s="6">
        <f>IFERROR(__xludf.DUMMYFUNCTION("""COMPUTED_VALUE"""),"Hello Scientists.docx")</f>
        <v/>
      </c>
      <c r="D535" s="7">
        <f>IFERROR(__xludf.DUMMYFUNCTION("""COMPUTED_VALUE"""),"Hello Scientists!! We already know about the property of rectilinear propagation of light, that is, light travels in a straight line. Formation of shadows and eclipses are direct consequences of rectilinear propagation of light. Similarly, formation of da"&amp;"y and night suggests that light travels in a straight line (see the figure below). If it was not so, the light would have curved around the earth and there would have been sunlight during night. When a beam of sunlight enters a dark room through a small h"&amp;"ole, we can see a beam of light travelling in a straight line. Watch the demonstration of the rectilinear propagation of light below. Here, three cardboards are taken (A,B and C) with fine holes at their centres. A lighted candle is placed on one side and"&amp;" boards are arranged such that the holes are in the straight line. Viewing from the other side, it is found that light from the candle is seen only if all the three holes are in the straight line. If one of the cardboard is displaced sideways, light is no"&amp;" longer seen. This clearly shows that light travels in a straight line.")</f>
        <v/>
      </c>
      <c r="E535" s="7">
        <f>IFERROR(__xludf.DUMMYFUNCTION("""COMPUTED_VALUE"""),"application/vnd.openxmlformats-officedocument.wordprocessingml.document – A Microsoft Word document (DOCX), typically containing formatted text, images, and tables.")</f>
        <v/>
      </c>
      <c r="F535" s="7" t="inlineStr">
        <is>
          <t>Students are given tasks with embedded artifacts, including quizzes on racism and educational tools, as well as a Word document demonstrating rectilinear light propagation.</t>
        </is>
      </c>
      <c r="G535" s="8" t="inlineStr">
        <is>
          <t>1</t>
        </is>
      </c>
      <c r="H535" s="8" t="inlineStr">
        <is>
          <t>0</t>
        </is>
      </c>
      <c r="I535" s="8" t="inlineStr">
        <is>
          <t>0</t>
        </is>
      </c>
      <c r="J535" s="8" t="inlineStr">
        <is>
          <t>0</t>
        </is>
      </c>
      <c r="K535" s="9" t="inlineStr">
        <is>
          <t>0</t>
        </is>
      </c>
      <c r="L535" s="9" t="inlineStr">
        <is>
          <t>0</t>
        </is>
      </c>
      <c r="M535" s="9" t="inlineStr">
        <is>
          <t>0</t>
        </is>
      </c>
      <c r="N535" s="9" t="inlineStr">
        <is>
          <t>0</t>
        </is>
      </c>
      <c r="O535" s="10" t="inlineStr">
        <is>
          <t>0</t>
        </is>
      </c>
      <c r="P535" s="10" t="inlineStr">
        <is>
          <t>0</t>
        </is>
      </c>
      <c r="Q535" s="10" t="inlineStr">
        <is>
          <t>0</t>
        </is>
      </c>
      <c r="R535" s="10" t="inlineStr">
        <is>
          <t>0</t>
        </is>
      </c>
      <c r="S535" s="10" t="inlineStr">
        <is>
          <t>0</t>
        </is>
      </c>
    </row>
    <row r="536" ht="121" customHeight="1">
      <c r="A536" s="6">
        <f>IFERROR(__xludf.DUMMYFUNCTION("""COMPUTED_VALUE"""),"Bending of Light")</f>
        <v/>
      </c>
      <c r="B536" s="6">
        <f>IFERROR(__xludf.DUMMYFUNCTION("""COMPUTED_VALUE"""),"Resource")</f>
        <v/>
      </c>
      <c r="C536" s="6">
        <f>IFERROR(__xludf.DUMMYFUNCTION("""COMPUTED_VALUE"""),"straight line.mp4")</f>
        <v/>
      </c>
      <c r="D536" s="7">
        <f>IFERROR(__xludf.DUMMYFUNCTION("""COMPUTED_VALUE"""),"No task description")</f>
        <v/>
      </c>
      <c r="E536" s="7">
        <f>IFERROR(__xludf.DUMMYFUNCTION("""COMPUTED_VALUE"""),"video/mp4 – A video file containing moving images and possibly audio, suitable for playback on most modern devices and platforms.")</f>
        <v/>
      </c>
      <c r="F536" s="7" t="inlineStr">
        <is>
          <t>Students are instructed about light's rectilinear propagation with demonstrations and embedded artifacts include a Word document and a video.</t>
        </is>
      </c>
      <c r="G536" s="8" t="inlineStr">
        <is>
          <t>1</t>
        </is>
      </c>
      <c r="H536" s="8" t="inlineStr">
        <is>
          <t>0</t>
        </is>
      </c>
      <c r="I536" s="8" t="inlineStr">
        <is>
          <t>0</t>
        </is>
      </c>
      <c r="J536" s="8" t="inlineStr">
        <is>
          <t>0</t>
        </is>
      </c>
      <c r="K536" s="9" t="inlineStr">
        <is>
          <t>0</t>
        </is>
      </c>
      <c r="L536" s="9" t="inlineStr">
        <is>
          <t>0</t>
        </is>
      </c>
      <c r="M536" s="9" t="inlineStr">
        <is>
          <t>0</t>
        </is>
      </c>
      <c r="N536" s="9" t="inlineStr">
        <is>
          <t>0</t>
        </is>
      </c>
      <c r="O536" s="10" t="inlineStr">
        <is>
          <t>0</t>
        </is>
      </c>
      <c r="P536" s="10" t="inlineStr">
        <is>
          <t>0</t>
        </is>
      </c>
      <c r="Q536" s="10" t="inlineStr">
        <is>
          <t>0</t>
        </is>
      </c>
      <c r="R536" s="10" t="inlineStr">
        <is>
          <t>0</t>
        </is>
      </c>
      <c r="S536" s="10" t="inlineStr">
        <is>
          <t>0</t>
        </is>
      </c>
    </row>
    <row r="537" ht="121" customHeight="1">
      <c r="A537" s="6">
        <f>IFERROR(__xludf.DUMMYFUNCTION("""COMPUTED_VALUE"""),"Bending of Light")</f>
        <v/>
      </c>
      <c r="B537" s="6">
        <f>IFERROR(__xludf.DUMMYFUNCTION("""COMPUTED_VALUE"""),"Resource")</f>
        <v/>
      </c>
      <c r="C537" s="6">
        <f>IFERROR(__xludf.DUMMYFUNCTION("""COMPUTED_VALUE"""),"Bending of Light.mp4")</f>
        <v/>
      </c>
      <c r="D537" s="7">
        <f>IFERROR(__xludf.DUMMYFUNCTION("""COMPUTED_VALUE"""),"&lt;p&gt;Now, watch this video very carefully.&lt;/p&gt;")</f>
        <v/>
      </c>
      <c r="E537" s="7">
        <f>IFERROR(__xludf.DUMMYFUNCTION("""COMPUTED_VALUE"""),"video/mp4 – A video file containing moving images and possibly audio, suitable for playback on most modern devices and platforms.")</f>
        <v/>
      </c>
      <c r="F537" s="7" t="inlineStr">
        <is>
          <t>Students are instructed to observe light's rectilinear propagation through demonstrations and videos. Embedded artifacts include Word documents, MP4 videos, and figures.</t>
        </is>
      </c>
      <c r="G537" s="8" t="inlineStr">
        <is>
          <t>1</t>
        </is>
      </c>
      <c r="H537" s="8" t="inlineStr">
        <is>
          <t>0</t>
        </is>
      </c>
      <c r="I537" s="8" t="inlineStr">
        <is>
          <t>0</t>
        </is>
      </c>
      <c r="J537" s="8" t="inlineStr">
        <is>
          <t>0</t>
        </is>
      </c>
      <c r="K537" s="9" t="inlineStr">
        <is>
          <t>1</t>
        </is>
      </c>
      <c r="L537" s="9" t="inlineStr">
        <is>
          <t>0</t>
        </is>
      </c>
      <c r="M537" s="9" t="inlineStr">
        <is>
          <t>0</t>
        </is>
      </c>
      <c r="N537" s="9" t="inlineStr">
        <is>
          <t>0</t>
        </is>
      </c>
      <c r="O537" s="10" t="inlineStr">
        <is>
          <t>0</t>
        </is>
      </c>
      <c r="P537" s="10" t="inlineStr">
        <is>
          <t>0</t>
        </is>
      </c>
      <c r="Q537" s="10" t="inlineStr">
        <is>
          <t>0</t>
        </is>
      </c>
      <c r="R537" s="10" t="inlineStr">
        <is>
          <t>0</t>
        </is>
      </c>
      <c r="S537" s="10" t="inlineStr">
        <is>
          <t>0</t>
        </is>
      </c>
    </row>
    <row r="538" ht="329" customHeight="1">
      <c r="A538" s="6">
        <f>IFERROR(__xludf.DUMMYFUNCTION("""COMPUTED_VALUE"""),"Bending of Light")</f>
        <v/>
      </c>
      <c r="B538" s="6">
        <f>IFERROR(__xludf.DUMMYFUNCTION("""COMPUTED_VALUE"""),"Application")</f>
        <v/>
      </c>
      <c r="C538" s="6">
        <f>IFERROR(__xludf.DUMMYFUNCTION("""COMPUTED_VALUE"""),"Input Box")</f>
        <v/>
      </c>
      <c r="D538" s="7">
        <f>IFERROR(__xludf.DUMMYFUNCTION("""COMPUTED_VALUE"""),"&lt;p&gt;&lt;br&gt;&lt;/p&gt;&lt;p&gt;What did you observe? Did you see anything that contradicts the fact that you know about light?&lt;/p&gt;&lt;p&gt; Think for a minute, write your answer in the space provided below and share your answers with your peers and teacher.&lt;/p&gt;")</f>
        <v/>
      </c>
      <c r="E5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38" s="7" t="inlineStr">
        <is>
          <t>Students are instructed to watch a video and then write their observations, sharing with peers and teacher. Embedded artifacts include videos and an input box app for note-taking.</t>
        </is>
      </c>
      <c r="G538" s="8" t="inlineStr">
        <is>
          <t>0</t>
        </is>
      </c>
      <c r="H538" s="8" t="inlineStr">
        <is>
          <t>0</t>
        </is>
      </c>
      <c r="I538" s="8" t="inlineStr">
        <is>
          <t>1</t>
        </is>
      </c>
      <c r="J538" s="8" t="inlineStr">
        <is>
          <t>1</t>
        </is>
      </c>
      <c r="K538" s="9" t="inlineStr">
        <is>
          <t>1</t>
        </is>
      </c>
      <c r="L538" s="9" t="inlineStr">
        <is>
          <t>1</t>
        </is>
      </c>
      <c r="M538" s="9" t="inlineStr">
        <is>
          <t>1</t>
        </is>
      </c>
      <c r="N538" s="9" t="inlineStr">
        <is>
          <t>1</t>
        </is>
      </c>
      <c r="O538" s="10" t="inlineStr">
        <is>
          <t>1</t>
        </is>
      </c>
      <c r="P538" s="10" t="inlineStr">
        <is>
          <t>1</t>
        </is>
      </c>
      <c r="Q538" s="10" t="inlineStr">
        <is>
          <t>1</t>
        </is>
      </c>
      <c r="R538" s="10" t="inlineStr">
        <is>
          <t>1</t>
        </is>
      </c>
      <c r="S538" s="10" t="inlineStr">
        <is>
          <t>1</t>
        </is>
      </c>
    </row>
    <row r="539" ht="409.5" customHeight="1">
      <c r="A539" s="6">
        <f>IFERROR(__xludf.DUMMYFUNCTION("""COMPUTED_VALUE"""),"Bending of Light")</f>
        <v/>
      </c>
      <c r="B539" s="6">
        <f>IFERROR(__xludf.DUMMYFUNCTION("""COMPUTED_VALUE"""),"Space")</f>
        <v/>
      </c>
      <c r="C539" s="6">
        <f>IFERROR(__xludf.DUMMYFUNCTION("""COMPUTED_VALUE"""),"Conceptualisation")</f>
        <v/>
      </c>
      <c r="D539" s="7">
        <f>IFERROR(__xludf.DUMMYFUNCTION("""COMPUTED_VALUE"""),"&lt;p&gt;&lt;br&gt;&lt;/p&gt;&lt;p&gt;Now that you have had discussion with your friends and your teacher, do the following Padlet activity. &lt;/p&gt;&lt;p&gt;On the space provided you on the Padlet wall for each category, rrite about what already know, questions you have in your mind, obs"&amp;"ervations from the video and list the setups you observed in the video. You can comment on each other's posts, ask doubts or pose queries.&lt;/p&gt;&lt;p&gt;Copy this URL, ""https://padlet.com/navigr892/sjp6n4fof8en"" in the space provided below to open the Padlet Wa"&amp;"ll.&lt;/p&gt;&lt;p&gt;&lt;br&gt;&lt;/p&gt;")</f>
        <v/>
      </c>
      <c r="E539" s="7">
        <f>IFERROR(__xludf.DUMMYFUNCTION("""COMPUTED_VALUE"""),"No artifact embedded")</f>
        <v/>
      </c>
      <c r="F539" s="7" t="inlineStr">
        <is>
          <t>Watch a video, observe and answer questions, then discuss with peers and teacher using note-taking apps (Golabz, Padlet).</t>
        </is>
      </c>
      <c r="G539" s="8" t="inlineStr">
        <is>
          <t>0</t>
        </is>
      </c>
      <c r="H539" s="8" t="inlineStr">
        <is>
          <t>1</t>
        </is>
      </c>
      <c r="I539" s="8" t="inlineStr">
        <is>
          <t>1</t>
        </is>
      </c>
      <c r="J539" s="8" t="inlineStr">
        <is>
          <t>1</t>
        </is>
      </c>
      <c r="K539" s="9" t="inlineStr">
        <is>
          <t>0</t>
        </is>
      </c>
      <c r="L539" s="9" t="inlineStr">
        <is>
          <t>1</t>
        </is>
      </c>
      <c r="M539" s="9" t="inlineStr">
        <is>
          <t>1</t>
        </is>
      </c>
      <c r="N539" s="9" t="inlineStr">
        <is>
          <t>1</t>
        </is>
      </c>
      <c r="O539" s="10" t="inlineStr">
        <is>
          <t>0</t>
        </is>
      </c>
      <c r="P539" s="10" t="inlineStr">
        <is>
          <t>1</t>
        </is>
      </c>
      <c r="Q539" s="10" t="inlineStr">
        <is>
          <t>1</t>
        </is>
      </c>
      <c r="R539" s="10" t="inlineStr">
        <is>
          <t>0</t>
        </is>
      </c>
      <c r="S539" s="10" t="inlineStr">
        <is>
          <t>1</t>
        </is>
      </c>
    </row>
    <row r="540" ht="49" customHeight="1">
      <c r="A540" s="6">
        <f>IFERROR(__xludf.DUMMYFUNCTION("""COMPUTED_VALUE"""),"Bending of Light")</f>
        <v/>
      </c>
      <c r="B540" s="6">
        <f>IFERROR(__xludf.DUMMYFUNCTION("""COMPUTED_VALUE"""),"Application")</f>
        <v/>
      </c>
      <c r="C540" s="6">
        <f>IFERROR(__xludf.DUMMYFUNCTION("""COMPUTED_VALUE"""),"Padlet")</f>
        <v/>
      </c>
      <c r="D540" s="7">
        <f>IFERROR(__xludf.DUMMYFUNCTION("""COMPUTED_VALUE"""),"No task description")</f>
        <v/>
      </c>
      <c r="E540" s="7">
        <f>IFERROR(__xludf.DUMMYFUNCTION("""COMPUTED_VALUE"""),"Golabz app/lab: Wrong URL. Impossible to access it")</f>
        <v/>
      </c>
      <c r="F540" s="7" t="inlineStr">
        <is>
          <t>Students observe, write answers, and share with peers/teacher; use apps like Golabz and Padlet for note-taking and discussion.</t>
        </is>
      </c>
      <c r="G540" s="8" t="inlineStr">
        <is>
          <t>0</t>
        </is>
      </c>
      <c r="H540" s="8" t="inlineStr">
        <is>
          <t>0</t>
        </is>
      </c>
      <c r="I540" s="8" t="inlineStr">
        <is>
          <t>0</t>
        </is>
      </c>
      <c r="J540" s="8" t="inlineStr">
        <is>
          <t>0</t>
        </is>
      </c>
      <c r="K540" s="9" t="inlineStr">
        <is>
          <t>0</t>
        </is>
      </c>
      <c r="L540" s="9" t="inlineStr">
        <is>
          <t>0</t>
        </is>
      </c>
      <c r="M540" s="9" t="inlineStr">
        <is>
          <t>0</t>
        </is>
      </c>
      <c r="N540" s="9" t="inlineStr">
        <is>
          <t>0</t>
        </is>
      </c>
      <c r="O540" s="10" t="inlineStr">
        <is>
          <t>0</t>
        </is>
      </c>
      <c r="P540" s="10" t="inlineStr">
        <is>
          <t>0</t>
        </is>
      </c>
      <c r="Q540" s="10" t="inlineStr">
        <is>
          <t>0</t>
        </is>
      </c>
      <c r="R540" s="10" t="inlineStr">
        <is>
          <t>0</t>
        </is>
      </c>
      <c r="S540" s="10" t="inlineStr">
        <is>
          <t>0</t>
        </is>
      </c>
    </row>
    <row r="541" ht="409.5" customHeight="1">
      <c r="A541" s="6">
        <f>IFERROR(__xludf.DUMMYFUNCTION("""COMPUTED_VALUE"""),"Bending of Light")</f>
        <v/>
      </c>
      <c r="B541" s="6">
        <f>IFERROR(__xludf.DUMMYFUNCTION("""COMPUTED_VALUE"""),"Application")</f>
        <v/>
      </c>
      <c r="C541" s="6">
        <f>IFERROR(__xludf.DUMMYFUNCTION("""COMPUTED_VALUE"""),"Concept Mapper")</f>
        <v/>
      </c>
      <c r="D541" s="7">
        <f>IFERROR(__xludf.DUMMYFUNCTION("""COMPUTED_VALUE"""),"&lt;p&gt;Now, make a concept map keeping your driving question in the mind, based on your understanding till now.&lt;/p&gt;&lt;p&gt;Remember, a concept map is a visual representation of your thoughts, information and knowledge. It contains concepts and relationships betwee"&amp;"n these concepts that are visually represented by means of arrows and colors. This helps you organize information and provides a structure that makes you come up with new ideas more easily. &lt;/p&gt;&lt;p&gt;&lt;br&gt;&lt;/p&gt;&lt;p&gt;So get going !!!&lt;/p&gt;")</f>
        <v/>
      </c>
      <c r="E54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541" s="7" t="inlineStr">
        <is>
          <t>Students: complete Padlet activity and create concept map. Artifacts: Padlet wall, Concept Mapper tool in Golabz app/lab.</t>
        </is>
      </c>
      <c r="G541" s="8" t="inlineStr">
        <is>
          <t>0</t>
        </is>
      </c>
      <c r="H541" s="8" t="inlineStr">
        <is>
          <t>1</t>
        </is>
      </c>
      <c r="I541" s="8" t="inlineStr">
        <is>
          <t>1</t>
        </is>
      </c>
      <c r="J541" s="8" t="inlineStr">
        <is>
          <t>1</t>
        </is>
      </c>
      <c r="K541" s="9" t="inlineStr">
        <is>
          <t>0</t>
        </is>
      </c>
      <c r="L541" s="9" t="inlineStr">
        <is>
          <t>1</t>
        </is>
      </c>
      <c r="M541" s="9" t="inlineStr">
        <is>
          <t>0</t>
        </is>
      </c>
      <c r="N541" s="9" t="inlineStr">
        <is>
          <t>0</t>
        </is>
      </c>
      <c r="O541" s="10" t="inlineStr">
        <is>
          <t>0</t>
        </is>
      </c>
      <c r="P541" s="10" t="inlineStr">
        <is>
          <t>1</t>
        </is>
      </c>
      <c r="Q541" s="10" t="inlineStr">
        <is>
          <t>0</t>
        </is>
      </c>
      <c r="R541" s="10" t="inlineStr">
        <is>
          <t>0</t>
        </is>
      </c>
      <c r="S541" s="10" t="inlineStr">
        <is>
          <t>0</t>
        </is>
      </c>
    </row>
    <row r="542" ht="409.5" customHeight="1">
      <c r="A542" s="6">
        <f>IFERROR(__xludf.DUMMYFUNCTION("""COMPUTED_VALUE"""),"Bending of Light")</f>
        <v/>
      </c>
      <c r="B542" s="6">
        <f>IFERROR(__xludf.DUMMYFUNCTION("""COMPUTED_VALUE"""),"Application")</f>
        <v/>
      </c>
      <c r="C542" s="6">
        <f>IFERROR(__xludf.DUMMYFUNCTION("""COMPUTED_VALUE"""),"Hypothesis Scratchpad")</f>
        <v/>
      </c>
      <c r="D542" s="7">
        <f>IFERROR(__xludf.DUMMYFUNCTION("""COMPUTED_VALUE"""),"&lt;p&gt;Now its time to write your hypothesis . By the concept map activity, you must have come up with you reasons for the phenomenon you observed. Hypothesis is a proposition made on the basis of your reasoning.&lt;/p&gt;&lt;p&gt;Your hypothesis may look like,  ""IF ___"&amp;"__ happens, THEN lights bends"", ""Pencil will appear displaced  IF ____"" .  ""Change(Increase/Decrease) in _____ causes bending of light""&lt;/p&gt;&lt;p&gt;  A good hypothesis can be formulated in the form of ""IF.. THEN.."" statement, which will involve one depen"&amp;"dent variable with at least one independent. For example: IF the independent variable increases THEN the dependent variable decreases.&lt;br&gt;• Use only one dependent variable at a time when you formulate a hypothesis.&lt;br&gt;• Remember that a hypothesis might no"&amp;"t be confirmed after the experimentation. This is not a problem. Many scientific experiments have led to valuable knowledge because they resulted in the rejection of a hypothesis.&lt;br&gt;• Don't forget to save your hypotheses because you will need them later."&amp;" Give a proper name to help you retrieve them easily. For example, you can label a hypothesis using the name of the independent and dependent variable.&lt;/p&gt;&lt;p&gt;&lt;br&gt;&lt;/p&gt;&lt;p&gt;&lt;br&gt;&lt;/p&gt;")</f>
        <v/>
      </c>
      <c r="E5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542" s="7" t="inlineStr">
        <is>
          <t>Students are instructed to create concept maps and formulate hypotheses using Golabz apps: Concept Mapper and Hypothesis Scratchpad tools.</t>
        </is>
      </c>
      <c r="G542" s="8" t="inlineStr">
        <is>
          <t>0</t>
        </is>
      </c>
      <c r="H542" s="8" t="inlineStr">
        <is>
          <t>1</t>
        </is>
      </c>
      <c r="I542" s="8" t="inlineStr">
        <is>
          <t>1</t>
        </is>
      </c>
      <c r="J542" s="8" t="inlineStr">
        <is>
          <t>1</t>
        </is>
      </c>
      <c r="K542" s="9" t="inlineStr">
        <is>
          <t>1</t>
        </is>
      </c>
      <c r="L542" s="9" t="inlineStr">
        <is>
          <t>1</t>
        </is>
      </c>
      <c r="M542" s="9" t="inlineStr">
        <is>
          <t>0</t>
        </is>
      </c>
      <c r="N542" s="9" t="inlineStr">
        <is>
          <t>1</t>
        </is>
      </c>
      <c r="O542" s="10" t="inlineStr">
        <is>
          <t>0</t>
        </is>
      </c>
      <c r="P542" s="10" t="inlineStr">
        <is>
          <t>1</t>
        </is>
      </c>
      <c r="Q542" s="10" t="inlineStr">
        <is>
          <t>1</t>
        </is>
      </c>
      <c r="R542" s="10" t="inlineStr">
        <is>
          <t>0</t>
        </is>
      </c>
      <c r="S542" s="10" t="inlineStr">
        <is>
          <t>0</t>
        </is>
      </c>
    </row>
    <row r="543" ht="73" customHeight="1">
      <c r="A543" s="6">
        <f>IFERROR(__xludf.DUMMYFUNCTION("""COMPUTED_VALUE"""),"Bending of Light")</f>
        <v/>
      </c>
      <c r="B543" s="6">
        <f>IFERROR(__xludf.DUMMYFUNCTION("""COMPUTED_VALUE"""),"Application")</f>
        <v/>
      </c>
      <c r="C543" s="6">
        <f>IFERROR(__xludf.DUMMYFUNCTION("""COMPUTED_VALUE"""),"Padlet (1)")</f>
        <v/>
      </c>
      <c r="D543" s="7">
        <f>IFERROR(__xludf.DUMMYFUNCTION("""COMPUTED_VALUE"""),"&lt;p&gt;Share your hypothesis on padlet wall below.  After discussion, you can &lt;/p&gt;")</f>
        <v/>
      </c>
      <c r="E543" s="7">
        <f>IFERROR(__xludf.DUMMYFUNCTION("""COMPUTED_VALUE"""),"Golabz app/lab: Wrong URL. Impossible to access it")</f>
        <v/>
      </c>
      <c r="F543" s="7" t="inlineStr">
        <is>
          <t>Students create concept maps and formulate hypotheses using tools like Concept Mapper and Hypothesis Scratchpad.</t>
        </is>
      </c>
      <c r="G543" s="8" t="inlineStr">
        <is>
          <t>0</t>
        </is>
      </c>
      <c r="H543" s="8" t="inlineStr">
        <is>
          <t>0</t>
        </is>
      </c>
      <c r="I543" s="8" t="inlineStr">
        <is>
          <t>1</t>
        </is>
      </c>
      <c r="J543" s="8" t="inlineStr">
        <is>
          <t>1</t>
        </is>
      </c>
      <c r="K543" s="9" t="inlineStr">
        <is>
          <t>0</t>
        </is>
      </c>
      <c r="L543" s="9" t="inlineStr">
        <is>
          <t>1</t>
        </is>
      </c>
      <c r="M543" s="9" t="inlineStr">
        <is>
          <t>1</t>
        </is>
      </c>
      <c r="N543" s="9" t="inlineStr">
        <is>
          <t>1</t>
        </is>
      </c>
      <c r="O543" s="10" t="inlineStr">
        <is>
          <t>0</t>
        </is>
      </c>
      <c r="P543" s="10" t="inlineStr">
        <is>
          <t>1</t>
        </is>
      </c>
      <c r="Q543" s="10" t="inlineStr">
        <is>
          <t>1</t>
        </is>
      </c>
      <c r="R543" s="10" t="inlineStr">
        <is>
          <t>0</t>
        </is>
      </c>
      <c r="S543" s="10" t="inlineStr">
        <is>
          <t>1</t>
        </is>
      </c>
    </row>
    <row r="544" ht="263" customHeight="1">
      <c r="A544" s="6">
        <f>IFERROR(__xludf.DUMMYFUNCTION("""COMPUTED_VALUE"""),"Bending of Light")</f>
        <v/>
      </c>
      <c r="B544" s="6">
        <f>IFERROR(__xludf.DUMMYFUNCTION("""COMPUTED_VALUE"""),"Space")</f>
        <v/>
      </c>
      <c r="C544" s="6">
        <f>IFERROR(__xludf.DUMMYFUNCTION("""COMPUTED_VALUE"""),"Investigation")</f>
        <v/>
      </c>
      <c r="D544" s="7">
        <f>IFERROR(__xludf.DUMMYFUNCTION("""COMPUTED_VALUE"""),"&lt;p&gt;In the Investigation phase you will  design and then perform your experiments. &lt;/p&gt;&lt;p&gt;First design your experiments and share on padlet. Then engage in an the in class discussion with your friends and your teacher to finally write your experiment desig"&amp;"n in the experiment design tool.&lt;/p&gt;&lt;p&gt;&lt;br&gt;&lt;/p&gt;")</f>
        <v/>
      </c>
      <c r="E544" s="7">
        <f>IFERROR(__xludf.DUMMYFUNCTION("""COMPUTED_VALUE"""),"No artifact embedded")</f>
        <v/>
      </c>
      <c r="F544" s="7" t="inlineStr">
        <is>
          <t>Students are instructed to write hypotheses and share them, using tools like Hypothesis Scratchpad and Padlet. Embedded artifacts include the Hypothesis Scratchpad app.</t>
        </is>
      </c>
      <c r="G544" s="8" t="inlineStr">
        <is>
          <t>0</t>
        </is>
      </c>
      <c r="H544" s="8" t="inlineStr">
        <is>
          <t>1</t>
        </is>
      </c>
      <c r="I544" s="8" t="inlineStr">
        <is>
          <t>1</t>
        </is>
      </c>
      <c r="J544" s="8" t="inlineStr">
        <is>
          <t>1</t>
        </is>
      </c>
      <c r="K544" s="9" t="inlineStr">
        <is>
          <t>0</t>
        </is>
      </c>
      <c r="L544" s="9" t="inlineStr">
        <is>
          <t>1</t>
        </is>
      </c>
      <c r="M544" s="9" t="inlineStr">
        <is>
          <t>1</t>
        </is>
      </c>
      <c r="N544" s="9" t="inlineStr">
        <is>
          <t>1</t>
        </is>
      </c>
      <c r="O544" s="10" t="inlineStr">
        <is>
          <t>0</t>
        </is>
      </c>
      <c r="P544" s="10" t="inlineStr">
        <is>
          <t>1</t>
        </is>
      </c>
      <c r="Q544" s="10" t="inlineStr">
        <is>
          <t>1</t>
        </is>
      </c>
      <c r="R544" s="10" t="inlineStr">
        <is>
          <t>0</t>
        </is>
      </c>
      <c r="S544" s="10" t="inlineStr">
        <is>
          <t>1</t>
        </is>
      </c>
    </row>
    <row r="545" ht="49" customHeight="1">
      <c r="A545" s="6">
        <f>IFERROR(__xludf.DUMMYFUNCTION("""COMPUTED_VALUE"""),"Bending of Light")</f>
        <v/>
      </c>
      <c r="B545" s="6">
        <f>IFERROR(__xludf.DUMMYFUNCTION("""COMPUTED_VALUE"""),"Application")</f>
        <v/>
      </c>
      <c r="C545" s="6">
        <f>IFERROR(__xludf.DUMMYFUNCTION("""COMPUTED_VALUE"""),"Padlet")</f>
        <v/>
      </c>
      <c r="D545" s="7">
        <f>IFERROR(__xludf.DUMMYFUNCTION("""COMPUTED_VALUE"""),"No task description")</f>
        <v/>
      </c>
      <c r="E545" s="7">
        <f>IFERROR(__xludf.DUMMYFUNCTION("""COMPUTED_VALUE"""),"Golabz app/lab: Wrong URL. Impossible to access it")</f>
        <v/>
      </c>
      <c r="F545" s="7" t="inlineStr">
        <is>
          <t>Students share hypotheses and experiment designs on Padlet, then discuss in class. Embedded artifacts include inaccessible Golabz app/labs with wrong URLs.</t>
        </is>
      </c>
      <c r="G545" s="8" t="inlineStr">
        <is>
          <t>1</t>
        </is>
      </c>
      <c r="H545" s="8" t="inlineStr">
        <is>
          <t>0</t>
        </is>
      </c>
      <c r="I545" s="8" t="inlineStr">
        <is>
          <t>0</t>
        </is>
      </c>
      <c r="J545" s="8" t="inlineStr">
        <is>
          <t>0</t>
        </is>
      </c>
      <c r="K545" s="9" t="inlineStr">
        <is>
          <t>0</t>
        </is>
      </c>
      <c r="L545" s="9" t="inlineStr">
        <is>
          <t>0</t>
        </is>
      </c>
      <c r="M545" s="9" t="inlineStr">
        <is>
          <t>0</t>
        </is>
      </c>
      <c r="N545" s="9" t="inlineStr">
        <is>
          <t>0</t>
        </is>
      </c>
      <c r="O545" s="10" t="inlineStr">
        <is>
          <t>0</t>
        </is>
      </c>
      <c r="P545" s="10" t="inlineStr">
        <is>
          <t>0</t>
        </is>
      </c>
      <c r="Q545" s="10" t="inlineStr">
        <is>
          <t>0</t>
        </is>
      </c>
      <c r="R545" s="10" t="inlineStr">
        <is>
          <t>0</t>
        </is>
      </c>
      <c r="S545" s="10" t="inlineStr">
        <is>
          <t>0</t>
        </is>
      </c>
    </row>
    <row r="546" ht="409.5" customHeight="1">
      <c r="A546" s="6">
        <f>IFERROR(__xludf.DUMMYFUNCTION("""COMPUTED_VALUE"""),"Bending of Light")</f>
        <v/>
      </c>
      <c r="B546" s="6">
        <f>IFERROR(__xludf.DUMMYFUNCTION("""COMPUTED_VALUE"""),"Application")</f>
        <v/>
      </c>
      <c r="C546" s="6">
        <f>IFERROR(__xludf.DUMMYFUNCTION("""COMPUTED_VALUE"""),"Experiment Design Tool")</f>
        <v/>
      </c>
      <c r="D546" s="7">
        <f>IFERROR(__xludf.DUMMYFUNCTION("""COMPUTED_VALUE"""),"&lt;p&gt;Now, you will use the Experiment Design tool to plan and design your experiments. Follow the step by step instructions in order to complete your experiment&lt;/p&gt;&lt;p&gt;&lt;br&gt;&lt;/p&gt;")</f>
        <v/>
      </c>
      <c r="E546"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546" s="7" t="inlineStr">
        <is>
          <t>Students design experiments, share and discuss them, then plan using the Experiment Design Tool with step-by-step instructions. Embedded artifact: Golabz app/lab, specifically the Experiment Design Tool (EDT).</t>
        </is>
      </c>
      <c r="G546" s="8" t="inlineStr">
        <is>
          <t>0</t>
        </is>
      </c>
      <c r="H546" s="8" t="inlineStr">
        <is>
          <t>1</t>
        </is>
      </c>
      <c r="I546" s="8" t="inlineStr">
        <is>
          <t>1</t>
        </is>
      </c>
      <c r="J546" s="8" t="inlineStr">
        <is>
          <t>1</t>
        </is>
      </c>
      <c r="K546" s="9" t="inlineStr">
        <is>
          <t>1</t>
        </is>
      </c>
      <c r="L546" s="9" t="inlineStr">
        <is>
          <t>1</t>
        </is>
      </c>
      <c r="M546" s="9" t="inlineStr">
        <is>
          <t>0</t>
        </is>
      </c>
      <c r="N546" s="9" t="inlineStr">
        <is>
          <t>0</t>
        </is>
      </c>
      <c r="O546" s="10" t="inlineStr">
        <is>
          <t>0</t>
        </is>
      </c>
      <c r="P546" s="10" t="inlineStr">
        <is>
          <t>1</t>
        </is>
      </c>
      <c r="Q546" s="10" t="inlineStr">
        <is>
          <t>1</t>
        </is>
      </c>
      <c r="R546" s="10" t="inlineStr">
        <is>
          <t>0</t>
        </is>
      </c>
      <c r="S546" s="10" t="inlineStr">
        <is>
          <t>0</t>
        </is>
      </c>
    </row>
    <row r="547" ht="145" customHeight="1">
      <c r="A547" s="6">
        <f>IFERROR(__xludf.DUMMYFUNCTION("""COMPUTED_VALUE"""),"Bending of Light")</f>
        <v/>
      </c>
      <c r="B547" s="6">
        <f>IFERROR(__xludf.DUMMYFUNCTION("""COMPUTED_VALUE"""),"Resource")</f>
        <v/>
      </c>
      <c r="C547" s="6">
        <f>IFERROR(__xludf.DUMMYFUNCTION("""COMPUTED_VALUE"""),"Recording #1.mp4")</f>
        <v/>
      </c>
      <c r="D547" s="7">
        <f>IFERROR(__xludf.DUMMYFUNCTION("""COMPUTED_VALUE"""),"&lt;p&gt;Watch the video below in order to familiarize yourself with the Experiment Lab .In this video you will see how to use the lab equipment to perform your experiments.&lt;/p&gt;")</f>
        <v/>
      </c>
      <c r="E547" s="7">
        <f>IFERROR(__xludf.DUMMYFUNCTION("""COMPUTED_VALUE"""),"video/mp4 – A video file containing moving images and possibly audio, suitable for playback on most modern devices and platforms.")</f>
        <v/>
      </c>
      <c r="F547" s="7" t="inlineStr">
        <is>
          <t>Students are given tasks with step-by-step instructions and access to tools like the Experiment Design Tool and a video on lab equipment.</t>
        </is>
      </c>
      <c r="G547" s="8" t="inlineStr">
        <is>
          <t>1</t>
        </is>
      </c>
      <c r="H547" s="8" t="inlineStr">
        <is>
          <t>0</t>
        </is>
      </c>
      <c r="I547" s="8" t="inlineStr">
        <is>
          <t>0</t>
        </is>
      </c>
      <c r="J547" s="8" t="inlineStr">
        <is>
          <t>0</t>
        </is>
      </c>
      <c r="K547" s="9" t="inlineStr">
        <is>
          <t>1</t>
        </is>
      </c>
      <c r="L547" s="9" t="inlineStr">
        <is>
          <t>0</t>
        </is>
      </c>
      <c r="M547" s="9" t="inlineStr">
        <is>
          <t>0</t>
        </is>
      </c>
      <c r="N547" s="9" t="inlineStr">
        <is>
          <t>0</t>
        </is>
      </c>
      <c r="O547" s="10" t="inlineStr">
        <is>
          <t>0</t>
        </is>
      </c>
      <c r="P547" s="10" t="inlineStr">
        <is>
          <t>0</t>
        </is>
      </c>
      <c r="Q547" s="10" t="inlineStr">
        <is>
          <t>0</t>
        </is>
      </c>
      <c r="R547" s="10" t="inlineStr">
        <is>
          <t>0</t>
        </is>
      </c>
      <c r="S547" s="10" t="inlineStr">
        <is>
          <t>0</t>
        </is>
      </c>
    </row>
    <row r="548" ht="205" customHeight="1">
      <c r="A548" s="6">
        <f>IFERROR(__xludf.DUMMYFUNCTION("""COMPUTED_VALUE"""),"Bending of Light")</f>
        <v/>
      </c>
      <c r="B548" s="6">
        <f>IFERROR(__xludf.DUMMYFUNCTION("""COMPUTED_VALUE"""),"Application")</f>
        <v/>
      </c>
      <c r="C548" s="6">
        <f>IFERROR(__xludf.DUMMYFUNCTION("""COMPUTED_VALUE"""),"Bending Light")</f>
        <v/>
      </c>
      <c r="D548" s="7">
        <f>IFERROR(__xludf.DUMMYFUNCTION("""COMPUTED_VALUE"""),"&lt;p&gt;This is your Bending Light Lab. You can now perform the experiments you just designed.&lt;/p&gt;")</f>
        <v/>
      </c>
      <c r="E548"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548" s="7" t="inlineStr">
        <is>
          <t>Students follow instructions to design experiments, watch a video on lab equipment, and perform "Bending Light Lab" experiments using embedded tools like Experiment Design Tool and interactive labs.</t>
        </is>
      </c>
      <c r="G548" s="8" t="inlineStr">
        <is>
          <t>0</t>
        </is>
      </c>
      <c r="H548" s="8" t="inlineStr">
        <is>
          <t>1</t>
        </is>
      </c>
      <c r="I548" s="8" t="inlineStr">
        <is>
          <t>1</t>
        </is>
      </c>
      <c r="J548" s="8" t="inlineStr">
        <is>
          <t>1</t>
        </is>
      </c>
      <c r="K548" s="9" t="inlineStr">
        <is>
          <t>1</t>
        </is>
      </c>
      <c r="L548" s="9" t="inlineStr">
        <is>
          <t>0</t>
        </is>
      </c>
      <c r="M548" s="9" t="inlineStr">
        <is>
          <t>0</t>
        </is>
      </c>
      <c r="N548" s="9" t="inlineStr">
        <is>
          <t>0</t>
        </is>
      </c>
      <c r="O548" s="10" t="inlineStr">
        <is>
          <t>0</t>
        </is>
      </c>
      <c r="P548" s="10" t="inlineStr">
        <is>
          <t>0</t>
        </is>
      </c>
      <c r="Q548" s="10" t="inlineStr">
        <is>
          <t>1</t>
        </is>
      </c>
      <c r="R548" s="10" t="inlineStr">
        <is>
          <t>0</t>
        </is>
      </c>
      <c r="S548" s="10" t="inlineStr">
        <is>
          <t>0</t>
        </is>
      </c>
    </row>
    <row r="549" ht="329" customHeight="1">
      <c r="A549" s="6">
        <f>IFERROR(__xludf.DUMMYFUNCTION("""COMPUTED_VALUE"""),"Bending of Light")</f>
        <v/>
      </c>
      <c r="B549" s="6">
        <f>IFERROR(__xludf.DUMMYFUNCTION("""COMPUTED_VALUE"""),"Application")</f>
        <v/>
      </c>
      <c r="C549" s="6">
        <f>IFERROR(__xludf.DUMMYFUNCTION("""COMPUTED_VALUE"""),"Input Box")</f>
        <v/>
      </c>
      <c r="D549" s="7">
        <f>IFERROR(__xludf.DUMMYFUNCTION("""COMPUTED_VALUE"""),"&lt;p&gt;If any of their experimental design was not supported by the Phet simulation, Please write your requirements in the space provided below and inform your teacher.&lt;/p&gt;")</f>
        <v/>
      </c>
      <c r="E5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49" s="7" t="inlineStr">
        <is>
          <t>Students watch a video, perform experiments, and provide feedback using embedded artifacts like videos, Golabz apps, and input boxes.</t>
        </is>
      </c>
      <c r="G549" s="8" t="inlineStr">
        <is>
          <t>0</t>
        </is>
      </c>
      <c r="H549" s="8" t="inlineStr">
        <is>
          <t>0</t>
        </is>
      </c>
      <c r="I549" s="8" t="inlineStr">
        <is>
          <t>1</t>
        </is>
      </c>
      <c r="J549" s="8" t="inlineStr">
        <is>
          <t>1</t>
        </is>
      </c>
      <c r="K549" s="9" t="inlineStr">
        <is>
          <t>1</t>
        </is>
      </c>
      <c r="L549" s="9" t="inlineStr">
        <is>
          <t>1</t>
        </is>
      </c>
      <c r="M549" s="9" t="inlineStr">
        <is>
          <t>1</t>
        </is>
      </c>
      <c r="N549" s="9" t="inlineStr">
        <is>
          <t>1</t>
        </is>
      </c>
      <c r="O549" s="10" t="inlineStr">
        <is>
          <t>0</t>
        </is>
      </c>
      <c r="P549" s="10" t="inlineStr">
        <is>
          <t>0</t>
        </is>
      </c>
      <c r="Q549" s="10" t="inlineStr">
        <is>
          <t>1</t>
        </is>
      </c>
      <c r="R549" s="10" t="inlineStr">
        <is>
          <t>0</t>
        </is>
      </c>
      <c r="S549" s="10" t="inlineStr">
        <is>
          <t>1</t>
        </is>
      </c>
    </row>
    <row r="550" ht="395" customHeight="1">
      <c r="A550" s="6">
        <f>IFERROR(__xludf.DUMMYFUNCTION("""COMPUTED_VALUE"""),"Bending of Light")</f>
        <v/>
      </c>
      <c r="B550" s="6">
        <f>IFERROR(__xludf.DUMMYFUNCTION("""COMPUTED_VALUE"""),"Application")</f>
        <v/>
      </c>
      <c r="C550" s="6">
        <f>IFERROR(__xludf.DUMMYFUNCTION("""COMPUTED_VALUE"""),"Observation Tool")</f>
        <v/>
      </c>
      <c r="D550" s="7">
        <f>IFERROR(__xludf.DUMMYFUNCTION("""COMPUTED_VALUE"""),"&lt;p&gt;&lt;br&gt;&lt;/p&gt;&lt;p&gt;Write your Observations using the Observation tool below. Click on ""?"" to know how to use the tool.&lt;/p&gt;")</f>
        <v/>
      </c>
      <c r="E55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550" s="7" t="inlineStr">
        <is>
          <t>Students perform light-bending experiments and record observations using Golabz apps, with options for collaboration and note-taking.</t>
        </is>
      </c>
      <c r="G550" s="8" t="inlineStr">
        <is>
          <t>0</t>
        </is>
      </c>
      <c r="H550" s="8" t="inlineStr">
        <is>
          <t>1</t>
        </is>
      </c>
      <c r="I550" s="8" t="inlineStr">
        <is>
          <t>1</t>
        </is>
      </c>
      <c r="J550" s="8" t="inlineStr">
        <is>
          <t>1</t>
        </is>
      </c>
      <c r="K550" s="9" t="inlineStr">
        <is>
          <t>1</t>
        </is>
      </c>
      <c r="L550" s="9" t="inlineStr">
        <is>
          <t>1</t>
        </is>
      </c>
      <c r="M550" s="9" t="inlineStr">
        <is>
          <t>0</t>
        </is>
      </c>
      <c r="N550" s="9" t="inlineStr">
        <is>
          <t>1</t>
        </is>
      </c>
      <c r="O550" s="10" t="inlineStr">
        <is>
          <t>0</t>
        </is>
      </c>
      <c r="P550" s="10" t="inlineStr">
        <is>
          <t>1</t>
        </is>
      </c>
      <c r="Q550" s="10" t="inlineStr">
        <is>
          <t>1</t>
        </is>
      </c>
      <c r="R550" s="10" t="inlineStr">
        <is>
          <t>1</t>
        </is>
      </c>
      <c r="S550" s="10" t="inlineStr">
        <is>
          <t>0</t>
        </is>
      </c>
    </row>
    <row r="551" ht="296" customHeight="1">
      <c r="A551" s="6">
        <f>IFERROR(__xludf.DUMMYFUNCTION("""COMPUTED_VALUE"""),"Bending of Light")</f>
        <v/>
      </c>
      <c r="B551" s="6">
        <f>IFERROR(__xludf.DUMMYFUNCTION("""COMPUTED_VALUE"""),"Space")</f>
        <v/>
      </c>
      <c r="C551" s="6">
        <f>IFERROR(__xludf.DUMMYFUNCTION("""COMPUTED_VALUE"""),"Data Interpretation")</f>
        <v/>
      </c>
      <c r="D551" s="7">
        <f>IFERROR(__xludf.DUMMYFUNCTION("""COMPUTED_VALUE"""),"&lt;p&gt;In this phase you will use the Data Viewer to graph your data and examine the relation among the different variables.&lt;/p&gt;&lt;p&gt;The Data Viewer tool will help you to create data graphs and/or tables for all the measurements you recorded for the independent"&amp;" and dependent variables of each of your hypotheses.&lt;br&gt;Press the help button (?) to learn how to use the tool.&lt;/p&gt;")</f>
        <v/>
      </c>
      <c r="E551" s="7">
        <f>IFERROR(__xludf.DUMMYFUNCTION("""COMPUTED_VALUE"""),"No artifact embedded")</f>
        <v/>
      </c>
      <c r="F551" s="7" t="inlineStr">
        <is>
          <t>Students write requirements, observations, or graph data using various tools with optional collaboration mode.</t>
        </is>
      </c>
      <c r="G551" s="8" t="inlineStr">
        <is>
          <t>0</t>
        </is>
      </c>
      <c r="H551" s="8" t="inlineStr">
        <is>
          <t>1</t>
        </is>
      </c>
      <c r="I551" s="8" t="inlineStr">
        <is>
          <t>1</t>
        </is>
      </c>
      <c r="J551" s="8" t="inlineStr">
        <is>
          <t>1</t>
        </is>
      </c>
      <c r="K551" s="9" t="inlineStr">
        <is>
          <t>1</t>
        </is>
      </c>
      <c r="L551" s="9" t="inlineStr">
        <is>
          <t>1</t>
        </is>
      </c>
      <c r="M551" s="9" t="inlineStr">
        <is>
          <t>0</t>
        </is>
      </c>
      <c r="N551" s="9" t="inlineStr">
        <is>
          <t>0</t>
        </is>
      </c>
      <c r="O551" s="10" t="inlineStr">
        <is>
          <t>0</t>
        </is>
      </c>
      <c r="P551" s="10" t="inlineStr">
        <is>
          <t>1</t>
        </is>
      </c>
      <c r="Q551" s="10" t="inlineStr">
        <is>
          <t>1</t>
        </is>
      </c>
      <c r="R551" s="10" t="inlineStr">
        <is>
          <t>1</t>
        </is>
      </c>
      <c r="S551" s="10" t="inlineStr">
        <is>
          <t>0</t>
        </is>
      </c>
    </row>
    <row r="552" ht="409.5" customHeight="1">
      <c r="A552" s="6">
        <f>IFERROR(__xludf.DUMMYFUNCTION("""COMPUTED_VALUE"""),"Bending of Light")</f>
        <v/>
      </c>
      <c r="B552" s="6">
        <f>IFERROR(__xludf.DUMMYFUNCTION("""COMPUTED_VALUE"""),"Application")</f>
        <v/>
      </c>
      <c r="C552" s="6">
        <f>IFERROR(__xludf.DUMMYFUNCTION("""COMPUTED_VALUE"""),"Data Viewer")</f>
        <v/>
      </c>
      <c r="D552" s="7">
        <f>IFERROR(__xludf.DUMMYFUNCTION("""COMPUTED_VALUE"""),"No task description")</f>
        <v/>
      </c>
      <c r="E552"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552" s="7" t="inlineStr">
        <is>
          <t>Students are instructed to write observations and analyze data using tools like Observation and Data Viewer. Embedded artifacts include Golabz app/lab with Observation and Data Viewer tools.</t>
        </is>
      </c>
      <c r="G552" s="8" t="inlineStr">
        <is>
          <t>0</t>
        </is>
      </c>
      <c r="H552" s="8" t="inlineStr">
        <is>
          <t>1</t>
        </is>
      </c>
      <c r="I552" s="8" t="inlineStr">
        <is>
          <t>0</t>
        </is>
      </c>
      <c r="J552" s="8" t="inlineStr">
        <is>
          <t>1</t>
        </is>
      </c>
      <c r="K552" s="9" t="inlineStr">
        <is>
          <t>0</t>
        </is>
      </c>
      <c r="L552" s="9" t="inlineStr">
        <is>
          <t>0</t>
        </is>
      </c>
      <c r="M552" s="9" t="inlineStr">
        <is>
          <t>1</t>
        </is>
      </c>
      <c r="N552" s="9" t="inlineStr">
        <is>
          <t>1</t>
        </is>
      </c>
      <c r="O552" s="10" t="inlineStr">
        <is>
          <t>0</t>
        </is>
      </c>
      <c r="P552" s="10" t="inlineStr">
        <is>
          <t>0</t>
        </is>
      </c>
      <c r="Q552" s="10" t="inlineStr">
        <is>
          <t>1</t>
        </is>
      </c>
      <c r="R552" s="10" t="inlineStr">
        <is>
          <t>0</t>
        </is>
      </c>
      <c r="S552" s="10" t="inlineStr">
        <is>
          <t>0</t>
        </is>
      </c>
    </row>
    <row r="553" ht="329" customHeight="1">
      <c r="A553" s="6">
        <f>IFERROR(__xludf.DUMMYFUNCTION("""COMPUTED_VALUE"""),"Bending of Light")</f>
        <v/>
      </c>
      <c r="B553" s="6">
        <f>IFERROR(__xludf.DUMMYFUNCTION("""COMPUTED_VALUE"""),"Application")</f>
        <v/>
      </c>
      <c r="C553" s="6">
        <f>IFERROR(__xludf.DUMMYFUNCTION("""COMPUTED_VALUE"""),"Input Box")</f>
        <v/>
      </c>
      <c r="D553" s="7">
        <f>IFERROR(__xludf.DUMMYFUNCTION("""COMPUTED_VALUE"""),"&lt;p&gt;Interpret your data trying to find relations among variables. If you don't have enough data, return to the Experimentation phase and collect more data. Write your interpretation in the text box below.&lt;/p&gt;")</f>
        <v/>
      </c>
      <c r="E5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53" s="7" t="inlineStr">
        <is>
          <t>Students use Data Viewer to graph data and examine variable relations. Embedded artifacts include Golabz apps for data visualization and note-taking.</t>
        </is>
      </c>
      <c r="G553" s="8" t="inlineStr">
        <is>
          <t>0</t>
        </is>
      </c>
      <c r="H553" s="8" t="inlineStr">
        <is>
          <t>0</t>
        </is>
      </c>
      <c r="I553" s="8" t="inlineStr">
        <is>
          <t>1</t>
        </is>
      </c>
      <c r="J553" s="8" t="inlineStr">
        <is>
          <t>1</t>
        </is>
      </c>
      <c r="K553" s="9" t="inlineStr">
        <is>
          <t>1</t>
        </is>
      </c>
      <c r="L553" s="9" t="inlineStr">
        <is>
          <t>1</t>
        </is>
      </c>
      <c r="M553" s="9" t="inlineStr">
        <is>
          <t>0</t>
        </is>
      </c>
      <c r="N553" s="9" t="inlineStr">
        <is>
          <t>1</t>
        </is>
      </c>
      <c r="O553" s="10" t="inlineStr">
        <is>
          <t>0</t>
        </is>
      </c>
      <c r="P553" s="10" t="inlineStr">
        <is>
          <t>1</t>
        </is>
      </c>
      <c r="Q553" s="10" t="inlineStr">
        <is>
          <t>1</t>
        </is>
      </c>
      <c r="R553" s="10" t="inlineStr">
        <is>
          <t>1</t>
        </is>
      </c>
      <c r="S553" s="10" t="inlineStr">
        <is>
          <t>0</t>
        </is>
      </c>
    </row>
    <row r="554" ht="340" customHeight="1">
      <c r="A554" s="6">
        <f>IFERROR(__xludf.DUMMYFUNCTION("""COMPUTED_VALUE"""),"Bending of Light")</f>
        <v/>
      </c>
      <c r="B554" s="6">
        <f>IFERROR(__xludf.DUMMYFUNCTION("""COMPUTED_VALUE"""),"Space")</f>
        <v/>
      </c>
      <c r="C554" s="6">
        <f>IFERROR(__xludf.DUMMYFUNCTION("""COMPUTED_VALUE"""),"Conclusion")</f>
        <v/>
      </c>
      <c r="D554" s="7">
        <f>IFERROR(__xludf.DUMMYFUNCTION("""COMPUTED_VALUE"""),"&lt;p&gt;In this phase you will use the Conclusion tool to retrieve your previous work (hypothesis, data, graphs, etc.) and form your conclusions. Your conclusions should be justified based on the evidence collected during the Investigation phase, This evidence"&amp;" will help you provide an answer whether your hypothesis has to be supported or rejected.&lt;/p&gt;&lt;p&gt;&lt;br&gt;Press the help button (?) to learn how to use the Conclusion tool.&lt;/p&gt;")</f>
        <v/>
      </c>
      <c r="E554" s="7">
        <f>IFERROR(__xludf.DUMMYFUNCTION("""COMPUTED_VALUE"""),"No artifact embedded")</f>
        <v/>
      </c>
      <c r="F554" s="7" t="inlineStr">
        <is>
          <t>Students are given tasks with descriptions and access to Golabz apps for data visualization, note-taking, and forming conclusions.</t>
        </is>
      </c>
      <c r="G554" s="8" t="inlineStr">
        <is>
          <t>0</t>
        </is>
      </c>
      <c r="H554" s="8" t="inlineStr">
        <is>
          <t>1</t>
        </is>
      </c>
      <c r="I554" s="8" t="inlineStr">
        <is>
          <t>1</t>
        </is>
      </c>
      <c r="J554" s="8" t="inlineStr">
        <is>
          <t>0</t>
        </is>
      </c>
      <c r="K554" s="9" t="inlineStr">
        <is>
          <t>1</t>
        </is>
      </c>
      <c r="L554" s="9" t="inlineStr">
        <is>
          <t>1</t>
        </is>
      </c>
      <c r="M554" s="9" t="inlineStr">
        <is>
          <t>0</t>
        </is>
      </c>
      <c r="N554" s="9" t="inlineStr">
        <is>
          <t>0</t>
        </is>
      </c>
      <c r="O554" s="10" t="inlineStr">
        <is>
          <t>0</t>
        </is>
      </c>
      <c r="P554" s="10" t="inlineStr">
        <is>
          <t>0</t>
        </is>
      </c>
      <c r="Q554" s="10" t="inlineStr">
        <is>
          <t>0</t>
        </is>
      </c>
      <c r="R554" s="10" t="inlineStr">
        <is>
          <t>1</t>
        </is>
      </c>
      <c r="S554" s="10" t="inlineStr">
        <is>
          <t>0</t>
        </is>
      </c>
    </row>
    <row r="555" ht="409.5" customHeight="1">
      <c r="A555" s="6">
        <f>IFERROR(__xludf.DUMMYFUNCTION("""COMPUTED_VALUE"""),"Bending of Light")</f>
        <v/>
      </c>
      <c r="B555" s="6">
        <f>IFERROR(__xludf.DUMMYFUNCTION("""COMPUTED_VALUE"""),"Application")</f>
        <v/>
      </c>
      <c r="C555" s="6">
        <f>IFERROR(__xludf.DUMMYFUNCTION("""COMPUTED_VALUE"""),"Conclusion Tool")</f>
        <v/>
      </c>
      <c r="D555" s="7">
        <f>IFERROR(__xludf.DUMMYFUNCTION("""COMPUTED_VALUE"""),"No task description")</f>
        <v/>
      </c>
      <c r="E555"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555" s="7" t="inlineStr">
        <is>
          <t>Students are instructed to interpret data, collect more if needed, and write conclusions based on evidence. Embedded artifacts include Golabz apps for note-taking and conclusion tools with collaboration features.</t>
        </is>
      </c>
      <c r="G555" s="8" t="inlineStr">
        <is>
          <t>0</t>
        </is>
      </c>
      <c r="H555" s="8" t="inlineStr">
        <is>
          <t>1</t>
        </is>
      </c>
      <c r="I555" s="8" t="inlineStr">
        <is>
          <t>1</t>
        </is>
      </c>
      <c r="J555" s="8" t="inlineStr">
        <is>
          <t>1</t>
        </is>
      </c>
      <c r="K555" s="9" t="inlineStr">
        <is>
          <t>1</t>
        </is>
      </c>
      <c r="L555" s="9" t="inlineStr">
        <is>
          <t>0</t>
        </is>
      </c>
      <c r="M555" s="9" t="inlineStr">
        <is>
          <t>0</t>
        </is>
      </c>
      <c r="N555" s="9" t="inlineStr">
        <is>
          <t>0</t>
        </is>
      </c>
      <c r="O555" s="10" t="inlineStr">
        <is>
          <t>0</t>
        </is>
      </c>
      <c r="P555" s="10" t="inlineStr">
        <is>
          <t>1</t>
        </is>
      </c>
      <c r="Q555" s="10" t="inlineStr">
        <is>
          <t>1</t>
        </is>
      </c>
      <c r="R555" s="10" t="inlineStr">
        <is>
          <t>1</t>
        </is>
      </c>
      <c r="S555" s="10" t="inlineStr">
        <is>
          <t>0</t>
        </is>
      </c>
    </row>
    <row r="556" ht="409.5" customHeight="1">
      <c r="A556" s="6">
        <f>IFERROR(__xludf.DUMMYFUNCTION("""COMPUTED_VALUE"""),"Bending of Light")</f>
        <v/>
      </c>
      <c r="B556" s="6">
        <f>IFERROR(__xludf.DUMMYFUNCTION("""COMPUTED_VALUE"""),"Application")</f>
        <v/>
      </c>
      <c r="C556" s="6">
        <f>IFERROR(__xludf.DUMMYFUNCTION("""COMPUTED_VALUE"""),"File Drop")</f>
        <v/>
      </c>
      <c r="D556" s="7">
        <f>IFERROR(__xludf.DUMMYFUNCTION("""COMPUTED_VALUE"""),"&lt;p&gt;Now,  prepare a 5 minute presentation (Power point) about your  conclusions. Try to give enough evidence from your experimentation in order to reject or confirm your hypotheses. Don't forget to save your presentation and give it a label with name. Then"&amp;", upload the presentation in the File Drop.&lt;/p&gt;&lt;p&gt;&lt;br&gt;&lt;/p&gt;&lt;p&gt;REMEMBER : A good  presentation should contain information about the problem studied, the hypothesis/es examined, the investigation conducted, the data collected and the conclusion extracted.&lt;/p"&amp;"&gt;")</f>
        <v/>
      </c>
      <c r="E556" s="7">
        <f>IFERROR(__xludf.DUMMYFUNCTION("""COMPUTED_VALUE"""),"Golabz app/lab: ""&lt;p&gt;This app allows students to upload files, e.g., assignment and reports, to the Inquiry learning Space. The app also allows teachers to download the uploaded files.&lt;/p&gt;\r\n""")</f>
        <v/>
      </c>
      <c r="F556" s="7" t="inlineStr">
        <is>
          <t>Students use Conclusion tool to form conclusions based on evidence collected, then create a 5-minute presentation to present findings. Embedded artifacts include Golabz apps for conclusion and file upload tools.</t>
        </is>
      </c>
      <c r="G556" s="8" t="inlineStr">
        <is>
          <t>0</t>
        </is>
      </c>
      <c r="H556" s="8" t="inlineStr">
        <is>
          <t>0</t>
        </is>
      </c>
      <c r="I556" s="8" t="inlineStr">
        <is>
          <t>1</t>
        </is>
      </c>
      <c r="J556" s="8" t="inlineStr">
        <is>
          <t>0</t>
        </is>
      </c>
      <c r="K556" s="9" t="inlineStr">
        <is>
          <t>0</t>
        </is>
      </c>
      <c r="L556" s="9" t="inlineStr">
        <is>
          <t>1</t>
        </is>
      </c>
      <c r="M556" s="9" t="inlineStr">
        <is>
          <t>0</t>
        </is>
      </c>
      <c r="N556" s="9" t="inlineStr">
        <is>
          <t>0</t>
        </is>
      </c>
      <c r="O556" s="10" t="inlineStr">
        <is>
          <t>0</t>
        </is>
      </c>
      <c r="P556" s="10" t="inlineStr">
        <is>
          <t>0</t>
        </is>
      </c>
      <c r="Q556" s="10" t="inlineStr">
        <is>
          <t>1</t>
        </is>
      </c>
      <c r="R556" s="10" t="inlineStr">
        <is>
          <t>1</t>
        </is>
      </c>
      <c r="S556" s="10" t="inlineStr">
        <is>
          <t>1</t>
        </is>
      </c>
    </row>
    <row r="557" ht="97" customHeight="1">
      <c r="A557" s="6">
        <f>IFERROR(__xludf.DUMMYFUNCTION("""COMPUTED_VALUE"""),"Bending of Light")</f>
        <v/>
      </c>
      <c r="B557" s="6">
        <f>IFERROR(__xludf.DUMMYFUNCTION("""COMPUTED_VALUE"""),"Space")</f>
        <v/>
      </c>
      <c r="C557" s="6">
        <f>IFERROR(__xludf.DUMMYFUNCTION("""COMPUTED_VALUE"""),"Discussion")</f>
        <v/>
      </c>
      <c r="D557" s="7">
        <f>IFERROR(__xludf.DUMMYFUNCTION("""COMPUTED_VALUE"""),"&lt;p&gt;Please share your conclusions with you class teacher and your friends and find out what are their conclusions !!!&lt;/p&gt;")</f>
        <v/>
      </c>
      <c r="E557" s="7">
        <f>IFERROR(__xludf.DUMMYFUNCTION("""COMPUTED_VALUE"""),"No artifact embedded")</f>
        <v/>
      </c>
      <c r="F557" s="7" t="inlineStr">
        <is>
          <t>Students were instructed to analyze data, create a presentation, and share conclusions. Embedded artifacts included Golabz apps for conclusion tools and file uploads.</t>
        </is>
      </c>
      <c r="G557" s="8" t="inlineStr">
        <is>
          <t>0</t>
        </is>
      </c>
      <c r="H557" s="8" t="inlineStr">
        <is>
          <t>0</t>
        </is>
      </c>
      <c r="I557" s="8" t="inlineStr">
        <is>
          <t>1</t>
        </is>
      </c>
      <c r="J557" s="8" t="inlineStr">
        <is>
          <t>0</t>
        </is>
      </c>
      <c r="K557" s="9" t="inlineStr">
        <is>
          <t>0</t>
        </is>
      </c>
      <c r="L557" s="9" t="inlineStr">
        <is>
          <t>0</t>
        </is>
      </c>
      <c r="M557" s="9" t="inlineStr">
        <is>
          <t>1</t>
        </is>
      </c>
      <c r="N557" s="9" t="inlineStr">
        <is>
          <t>1</t>
        </is>
      </c>
      <c r="O557" s="10" t="inlineStr">
        <is>
          <t>0</t>
        </is>
      </c>
      <c r="P557" s="10" t="inlineStr">
        <is>
          <t>0</t>
        </is>
      </c>
      <c r="Q557" s="10" t="inlineStr">
        <is>
          <t>0</t>
        </is>
      </c>
      <c r="R557" s="10" t="inlineStr">
        <is>
          <t>1</t>
        </is>
      </c>
      <c r="S557" s="10" t="inlineStr">
        <is>
          <t>1</t>
        </is>
      </c>
    </row>
    <row r="558" ht="109" customHeight="1">
      <c r="A558" s="6">
        <f>IFERROR(__xludf.DUMMYFUNCTION("""COMPUTED_VALUE"""),"Bending of Light")</f>
        <v/>
      </c>
      <c r="B558" s="6">
        <f>IFERROR(__xludf.DUMMYFUNCTION("""COMPUTED_VALUE"""),"Topic")</f>
        <v/>
      </c>
      <c r="C558" s="6">
        <f>IFERROR(__xludf.DUMMYFUNCTION("""COMPUTED_VALUE"""),"Conclusions on Bending of Light")</f>
        <v/>
      </c>
      <c r="D558" s="7">
        <f>IFERROR(__xludf.DUMMYFUNCTION("""COMPUTED_VALUE"""),"Time to Discuss")</f>
        <v/>
      </c>
      <c r="E558" s="7">
        <f>IFERROR(__xludf.DUMMYFUNCTION("""COMPUTED_VALUE"""),"text/html – A webpage or web document that contains structured text, images, and links, designed for display in a web browser.")</f>
        <v/>
      </c>
      <c r="F558" s="7" t="inlineStr">
        <is>
          <t>Students prepare 5-minute presentations with evidence to support conclusions, then upload to Golabz app.</t>
        </is>
      </c>
      <c r="G558" s="8" t="inlineStr">
        <is>
          <t>0</t>
        </is>
      </c>
      <c r="H558" s="8" t="inlineStr">
        <is>
          <t>0</t>
        </is>
      </c>
      <c r="I558" s="8" t="inlineStr">
        <is>
          <t>0</t>
        </is>
      </c>
      <c r="J558" s="8" t="inlineStr">
        <is>
          <t>0</t>
        </is>
      </c>
      <c r="K558" s="9" t="inlineStr">
        <is>
          <t>0</t>
        </is>
      </c>
      <c r="L558" s="9" t="inlineStr">
        <is>
          <t>0</t>
        </is>
      </c>
      <c r="M558" s="9" t="inlineStr">
        <is>
          <t>1</t>
        </is>
      </c>
      <c r="N558" s="9" t="inlineStr">
        <is>
          <t>0</t>
        </is>
      </c>
      <c r="O558" s="10" t="inlineStr">
        <is>
          <t>0</t>
        </is>
      </c>
      <c r="P558" s="10" t="inlineStr">
        <is>
          <t>0</t>
        </is>
      </c>
      <c r="Q558" s="10" t="inlineStr">
        <is>
          <t>0</t>
        </is>
      </c>
      <c r="R558" s="10" t="inlineStr">
        <is>
          <t>0</t>
        </is>
      </c>
      <c r="S558" s="10" t="inlineStr">
        <is>
          <t>1</t>
        </is>
      </c>
    </row>
    <row r="559" ht="229" customHeight="1">
      <c r="A559" s="6">
        <f>IFERROR(__xludf.DUMMYFUNCTION("""COMPUTED_VALUE"""),"Bending of Light")</f>
        <v/>
      </c>
      <c r="B559" s="6">
        <f>IFERROR(__xludf.DUMMYFUNCTION("""COMPUTED_VALUE"""),"Application")</f>
        <v/>
      </c>
      <c r="C559" s="6">
        <f>IFERROR(__xludf.DUMMYFUNCTION("""COMPUTED_VALUE"""),"Reflection Tool")</f>
        <v/>
      </c>
      <c r="D559" s="7">
        <f>IFERROR(__xludf.DUMMYFUNCTION("""COMPUTED_VALUE"""),"&lt;p&gt;In the Reflection phase you will engage in reflection activities which will help you to think critically about your learning process. In order to do so, you will use the Reflection Tool below.&lt;/p&gt;")</f>
        <v/>
      </c>
      <c r="E559"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559" s="7" t="inlineStr">
        <is>
          <t>Students share conclusions, discuss, and reflect on learning using tools like webpages and the Golabz "Time Spent" app.</t>
        </is>
      </c>
      <c r="G559" s="8" t="inlineStr">
        <is>
          <t>0</t>
        </is>
      </c>
      <c r="H559" s="8" t="inlineStr">
        <is>
          <t>0</t>
        </is>
      </c>
      <c r="I559" s="8" t="inlineStr">
        <is>
          <t>0</t>
        </is>
      </c>
      <c r="J559" s="8" t="inlineStr">
        <is>
          <t>1</t>
        </is>
      </c>
      <c r="K559" s="9" t="inlineStr">
        <is>
          <t>1</t>
        </is>
      </c>
      <c r="L559" s="9" t="inlineStr">
        <is>
          <t>1</t>
        </is>
      </c>
      <c r="M559" s="9" t="inlineStr">
        <is>
          <t>0</t>
        </is>
      </c>
      <c r="N559" s="9" t="inlineStr">
        <is>
          <t>0</t>
        </is>
      </c>
      <c r="O559" s="10" t="inlineStr">
        <is>
          <t>0</t>
        </is>
      </c>
      <c r="P559" s="10" t="inlineStr">
        <is>
          <t>0</t>
        </is>
      </c>
      <c r="Q559" s="10" t="inlineStr">
        <is>
          <t>0</t>
        </is>
      </c>
      <c r="R559" s="10" t="inlineStr">
        <is>
          <t>1</t>
        </is>
      </c>
      <c r="S559" s="10" t="inlineStr">
        <is>
          <t>1</t>
        </is>
      </c>
    </row>
    <row r="560" ht="25" customHeight="1">
      <c r="A560" s="6">
        <f>IFERROR(__xludf.DUMMYFUNCTION("""COMPUTED_VALUE"""),"Bending of Light")</f>
        <v/>
      </c>
      <c r="B560" s="6">
        <f>IFERROR(__xludf.DUMMYFUNCTION("""COMPUTED_VALUE"""),"Space")</f>
        <v/>
      </c>
      <c r="C560" s="6">
        <f>IFERROR(__xludf.DUMMYFUNCTION("""COMPUTED_VALUE"""),"QUIZ")</f>
        <v/>
      </c>
      <c r="D560" s="7">
        <f>IFERROR(__xludf.DUMMYFUNCTION("""COMPUTED_VALUE"""),"No task description")</f>
        <v/>
      </c>
      <c r="E560" s="7">
        <f>IFERROR(__xludf.DUMMYFUNCTION("""COMPUTED_VALUE"""),"No artifact embedded")</f>
        <v/>
      </c>
      <c r="F560" s="7" t="inlineStr">
        <is>
          <t>Students discuss, reflect on learning using tools: webpage, Reflection Tool, and Golabz app.</t>
        </is>
      </c>
      <c r="G560" s="8" t="inlineStr">
        <is>
          <t>1</t>
        </is>
      </c>
      <c r="H560" s="8" t="inlineStr">
        <is>
          <t>0</t>
        </is>
      </c>
      <c r="I560" s="8" t="inlineStr">
        <is>
          <t>0</t>
        </is>
      </c>
      <c r="J560" s="8" t="inlineStr">
        <is>
          <t>0</t>
        </is>
      </c>
      <c r="K560" s="9" t="inlineStr">
        <is>
          <t>0</t>
        </is>
      </c>
      <c r="L560" s="9" t="inlineStr">
        <is>
          <t>0</t>
        </is>
      </c>
      <c r="M560" s="9" t="inlineStr">
        <is>
          <t>0</t>
        </is>
      </c>
      <c r="N560" s="9" t="inlineStr">
        <is>
          <t>0</t>
        </is>
      </c>
      <c r="O560" s="10" t="inlineStr">
        <is>
          <t>0</t>
        </is>
      </c>
      <c r="P560" s="10" t="inlineStr">
        <is>
          <t>0</t>
        </is>
      </c>
      <c r="Q560" s="10" t="inlineStr">
        <is>
          <t>0</t>
        </is>
      </c>
      <c r="R560" s="10" t="inlineStr">
        <is>
          <t>0</t>
        </is>
      </c>
      <c r="S560" s="10" t="inlineStr">
        <is>
          <t>0</t>
        </is>
      </c>
    </row>
    <row r="561" ht="296" customHeight="1">
      <c r="A561" s="6">
        <f>IFERROR(__xludf.DUMMYFUNCTION("""COMPUTED_VALUE"""),"Bending of Light")</f>
        <v/>
      </c>
      <c r="B561" s="6">
        <f>IFERROR(__xludf.DUMMYFUNCTION("""COMPUTED_VALUE"""),"Application")</f>
        <v/>
      </c>
      <c r="C561" s="6">
        <f>IFERROR(__xludf.DUMMYFUNCTION("""COMPUTED_VALUE"""),"Quiz Tool")</f>
        <v/>
      </c>
      <c r="D561" s="7">
        <f>IFERROR(__xludf.DUMMYFUNCTION("""COMPUTED_VALUE"""),"No task description")</f>
        <v/>
      </c>
      <c r="E56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61" s="7" t="inlineStr">
        <is>
          <t>Students reflect on learning using the Reflection Tool, with embedded Golabz apps: "Time spent" for time management and a quiz app for assessment.</t>
        </is>
      </c>
      <c r="G561" s="8" t="inlineStr">
        <is>
          <t>1</t>
        </is>
      </c>
      <c r="H561" s="8" t="inlineStr">
        <is>
          <t>0</t>
        </is>
      </c>
      <c r="I561" s="8" t="inlineStr">
        <is>
          <t>0</t>
        </is>
      </c>
      <c r="J561" s="8" t="inlineStr">
        <is>
          <t>1</t>
        </is>
      </c>
      <c r="K561" s="9" t="inlineStr">
        <is>
          <t>1</t>
        </is>
      </c>
      <c r="L561" s="9" t="inlineStr">
        <is>
          <t>0</t>
        </is>
      </c>
      <c r="M561" s="9" t="inlineStr">
        <is>
          <t>0</t>
        </is>
      </c>
      <c r="N561" s="9" t="inlineStr">
        <is>
          <t>0</t>
        </is>
      </c>
      <c r="O561" s="10" t="inlineStr">
        <is>
          <t>0</t>
        </is>
      </c>
      <c r="P561" s="10" t="inlineStr">
        <is>
          <t>0</t>
        </is>
      </c>
      <c r="Q561" s="10" t="inlineStr">
        <is>
          <t>0</t>
        </is>
      </c>
      <c r="R561" s="10" t="inlineStr">
        <is>
          <t>0</t>
        </is>
      </c>
      <c r="S561" s="10" t="inlineStr">
        <is>
          <t>0</t>
        </is>
      </c>
    </row>
    <row r="562" ht="25" customHeight="1">
      <c r="A562" s="6">
        <f>IFERROR(__xludf.DUMMYFUNCTION("""COMPUTED_VALUE"""),"MATHS GROUP 3")</f>
        <v/>
      </c>
      <c r="B562" s="6">
        <f>IFERROR(__xludf.DUMMYFUNCTION("""COMPUTED_VALUE"""),"Space")</f>
        <v/>
      </c>
      <c r="C562" s="6">
        <f>IFERROR(__xludf.DUMMYFUNCTION("""COMPUTED_VALUE"""),"Orientation")</f>
        <v/>
      </c>
      <c r="D562" s="7">
        <f>IFERROR(__xludf.DUMMYFUNCTION("""COMPUTED_VALUE"""),"No task description")</f>
        <v/>
      </c>
      <c r="E562" s="7">
        <f>IFERROR(__xludf.DUMMYFUNCTION("""COMPUTED_VALUE"""),"No artifact embedded")</f>
        <v/>
      </c>
      <c r="F562" s="7" t="inlineStr">
        <is>
          <t>Students were given no task descriptions, but Item2 included a Golabz app/lab for creating interactive quizzes.</t>
        </is>
      </c>
      <c r="G562" s="8" t="inlineStr">
        <is>
          <t>1</t>
        </is>
      </c>
      <c r="H562" s="8" t="inlineStr">
        <is>
          <t>0</t>
        </is>
      </c>
      <c r="I562" s="8" t="inlineStr">
        <is>
          <t>0</t>
        </is>
      </c>
      <c r="J562" s="8" t="inlineStr">
        <is>
          <t>0</t>
        </is>
      </c>
      <c r="K562" s="9" t="inlineStr">
        <is>
          <t>0</t>
        </is>
      </c>
      <c r="L562" s="9" t="inlineStr">
        <is>
          <t>0</t>
        </is>
      </c>
      <c r="M562" s="9" t="inlineStr">
        <is>
          <t>0</t>
        </is>
      </c>
      <c r="N562" s="9" t="inlineStr">
        <is>
          <t>0</t>
        </is>
      </c>
      <c r="O562" s="10" t="inlineStr">
        <is>
          <t>0</t>
        </is>
      </c>
      <c r="P562" s="10" t="inlineStr">
        <is>
          <t>0</t>
        </is>
      </c>
      <c r="Q562" s="10" t="inlineStr">
        <is>
          <t>0</t>
        </is>
      </c>
      <c r="R562" s="10" t="inlineStr">
        <is>
          <t>0</t>
        </is>
      </c>
      <c r="S562" s="10" t="inlineStr">
        <is>
          <t>0</t>
        </is>
      </c>
    </row>
    <row r="563" ht="85" customHeight="1">
      <c r="A563" s="6">
        <f>IFERROR(__xludf.DUMMYFUNCTION("""COMPUTED_VALUE"""),"MATHS GROUP 3")</f>
        <v/>
      </c>
      <c r="B563" s="6">
        <f>IFERROR(__xludf.DUMMYFUNCTION("""COMPUTED_VALUE"""),"Resource")</f>
        <v/>
      </c>
      <c r="C563" s="6">
        <f>IFERROR(__xludf.DUMMYFUNCTION("""COMPUTED_VALUE"""),"Algebra.graasp")</f>
        <v/>
      </c>
      <c r="D563" s="7">
        <f>IFERROR(__xludf.DUMMYFUNCTION("""COMPUTED_VALUE"""),"&lt;p&gt;Today we will be learning Quadratic Equation &lt;/p&gt;&lt;p&gt;using the quadratic  formula.&lt;/p&gt;")</f>
        <v/>
      </c>
      <c r="E563" s="7">
        <f>IFERROR(__xludf.DUMMYFUNCTION("""COMPUTED_VALUE"""),"No artifact embedded")</f>
        <v/>
      </c>
      <c r="F563" s="7" t="inlineStr">
        <is>
          <t>Students received no task descriptions for Items 1 and 2, but Item 3 involves learning Quadratic Equations. Only Item 1 has an embedded Golabz app/lab artifact.</t>
        </is>
      </c>
      <c r="G563" s="8" t="inlineStr">
        <is>
          <t>1</t>
        </is>
      </c>
      <c r="H563" s="8" t="inlineStr">
        <is>
          <t>0</t>
        </is>
      </c>
      <c r="I563" s="8" t="inlineStr">
        <is>
          <t>0</t>
        </is>
      </c>
      <c r="J563" s="8" t="inlineStr">
        <is>
          <t>0</t>
        </is>
      </c>
      <c r="K563" s="9" t="inlineStr">
        <is>
          <t>1</t>
        </is>
      </c>
      <c r="L563" s="9" t="inlineStr">
        <is>
          <t>0</t>
        </is>
      </c>
      <c r="M563" s="9" t="inlineStr">
        <is>
          <t>0</t>
        </is>
      </c>
      <c r="N563" s="9" t="inlineStr">
        <is>
          <t>0</t>
        </is>
      </c>
      <c r="O563" s="10" t="inlineStr">
        <is>
          <t>0</t>
        </is>
      </c>
      <c r="P563" s="10" t="inlineStr">
        <is>
          <t>0</t>
        </is>
      </c>
      <c r="Q563" s="10" t="inlineStr">
        <is>
          <t>0</t>
        </is>
      </c>
      <c r="R563" s="10" t="inlineStr">
        <is>
          <t>0</t>
        </is>
      </c>
      <c r="S563" s="10" t="inlineStr">
        <is>
          <t>0</t>
        </is>
      </c>
    </row>
    <row r="564" ht="97" customHeight="1">
      <c r="A564" s="6">
        <f>IFERROR(__xludf.DUMMYFUNCTION("""COMPUTED_VALUE"""),"MATHS GROUP 3")</f>
        <v/>
      </c>
      <c r="B564" s="6">
        <f>IFERROR(__xludf.DUMMYFUNCTION("""COMPUTED_VALUE"""),"Resource")</f>
        <v/>
      </c>
      <c r="C564" s="6">
        <f>IFERROR(__xludf.DUMMYFUNCTION("""COMPUTED_VALUE"""),"Quadratic_formula.png")</f>
        <v/>
      </c>
      <c r="D564" s="7">
        <f>IFERROR(__xludf.DUMMYFUNCTION("""COMPUTED_VALUE"""),"—b:"":\/ ()2 —4ac 2a")</f>
        <v/>
      </c>
      <c r="E564" s="7">
        <f>IFERROR(__xludf.DUMMYFUNCTION("""COMPUTED_VALUE"""),"image/png – A high-quality image with support for transparency, often used in design and web applications.")</f>
        <v/>
      </c>
      <c r="F564" s="7" t="inlineStr">
        <is>
          <t>Students learn quadratic equations using formulas. Embedded artifacts include an image in Item 3.</t>
        </is>
      </c>
      <c r="G564" s="8" t="inlineStr">
        <is>
          <t>1</t>
        </is>
      </c>
      <c r="H564" s="8" t="inlineStr">
        <is>
          <t>0</t>
        </is>
      </c>
      <c r="I564" s="8" t="inlineStr">
        <is>
          <t>0</t>
        </is>
      </c>
      <c r="J564" s="8" t="inlineStr">
        <is>
          <t>0</t>
        </is>
      </c>
      <c r="K564" s="9" t="inlineStr">
        <is>
          <t>0</t>
        </is>
      </c>
      <c r="L564" s="9" t="inlineStr">
        <is>
          <t>0</t>
        </is>
      </c>
      <c r="M564" s="9" t="inlineStr">
        <is>
          <t>0</t>
        </is>
      </c>
      <c r="N564" s="9" t="inlineStr">
        <is>
          <t>0</t>
        </is>
      </c>
      <c r="O564" s="10" t="inlineStr">
        <is>
          <t>0</t>
        </is>
      </c>
      <c r="P564" s="10" t="inlineStr">
        <is>
          <t>0</t>
        </is>
      </c>
      <c r="Q564" s="10" t="inlineStr">
        <is>
          <t>0</t>
        </is>
      </c>
      <c r="R564" s="10" t="inlineStr">
        <is>
          <t>0</t>
        </is>
      </c>
      <c r="S564" s="10" t="inlineStr">
        <is>
          <t>0</t>
        </is>
      </c>
    </row>
    <row r="565" ht="97" customHeight="1">
      <c r="A565" s="6">
        <f>IFERROR(__xludf.DUMMYFUNCTION("""COMPUTED_VALUE"""),"MATHS GROUP 3")</f>
        <v/>
      </c>
      <c r="B565" s="6">
        <f>IFERROR(__xludf.DUMMYFUNCTION("""COMPUTED_VALUE"""),"Resource")</f>
        <v/>
      </c>
      <c r="C565" s="6">
        <f>IFERROR(__xludf.DUMMYFUNCTION("""COMPUTED_VALUE"""),"Solve Quadratic Equations using Quadratic Formula")</f>
        <v/>
      </c>
      <c r="D565" s="7">
        <f>IFERROR(__xludf.DUMMYFUNCTION("""COMPUTED_VALUE"""),"Visit http://MathMeeting.com for Free videos on the quadratic formula and all other topics in algebra.")</f>
        <v/>
      </c>
      <c r="E565" s="7">
        <f>IFERROR(__xludf.DUMMYFUNCTION("""COMPUTED_VALUE"""),"youtu.be: A shortened URL service for YouTube, leading to various videos on the platform.")</f>
        <v/>
      </c>
      <c r="F565" s="7" t="inlineStr">
        <is>
          <t>Students learn Quadratic Equation using the formula. Embedded artifacts include an image and YouTube video links.</t>
        </is>
      </c>
      <c r="G565" s="8" t="inlineStr">
        <is>
          <t>1</t>
        </is>
      </c>
      <c r="H565" s="8" t="inlineStr">
        <is>
          <t>0</t>
        </is>
      </c>
      <c r="I565" s="8" t="inlineStr">
        <is>
          <t>0</t>
        </is>
      </c>
      <c r="J565" s="8" t="inlineStr">
        <is>
          <t>0</t>
        </is>
      </c>
      <c r="K565" s="9" t="inlineStr">
        <is>
          <t>1</t>
        </is>
      </c>
      <c r="L565" s="9" t="inlineStr">
        <is>
          <t>0</t>
        </is>
      </c>
      <c r="M565" s="9" t="inlineStr">
        <is>
          <t>0</t>
        </is>
      </c>
      <c r="N565" s="9" t="inlineStr">
        <is>
          <t>0</t>
        </is>
      </c>
      <c r="O565" s="10" t="inlineStr">
        <is>
          <t>0</t>
        </is>
      </c>
      <c r="P565" s="10" t="inlineStr">
        <is>
          <t>0</t>
        </is>
      </c>
      <c r="Q565" s="10" t="inlineStr">
        <is>
          <t>0</t>
        </is>
      </c>
      <c r="R565" s="10" t="inlineStr">
        <is>
          <t>0</t>
        </is>
      </c>
      <c r="S565" s="10" t="inlineStr">
        <is>
          <t>0</t>
        </is>
      </c>
    </row>
    <row r="566" ht="169" customHeight="1">
      <c r="A566" s="6">
        <f>IFERROR(__xludf.DUMMYFUNCTION("""COMPUTED_VALUE"""),"MATHS GROUP 3")</f>
        <v/>
      </c>
      <c r="B566" s="6">
        <f>IFERROR(__xludf.DUMMYFUNCTION("""COMPUTED_VALUE"""),"Resource")</f>
        <v/>
      </c>
      <c r="C566" s="6">
        <f>IFERROR(__xludf.DUMMYFUNCTION("""COMPUTED_VALUE"""),"Ex 1:  Solving Quadratic Equations Graphically Using x-Intercepts")</f>
        <v/>
      </c>
      <c r="D566" s="7">
        <f>IFERROR(__xludf.DUMMYFUNCTION("""COMPUTED_VALUE"""),"This video provides several examples of how to use the graph of a quadratic function to solve a quadratic equation.   Library:  http://mathispower4u.com Search:  http://mathispoweru4.wordpress.com")</f>
        <v/>
      </c>
      <c r="E566" s="7">
        <f>IFERROR(__xludf.DUMMYFUNCTION("""COMPUTED_VALUE"""),"youtu.be: A shortened URL service for YouTube, leading to various videos on the platform.")</f>
        <v/>
      </c>
      <c r="F566" s="7" t="inlineStr">
        <is>
          <t>Students are given tasks with descriptions and embedded artifacts, including images and YouTube video links, to support learning of quadratic formulas and algebra topics.</t>
        </is>
      </c>
      <c r="G566" s="8" t="inlineStr">
        <is>
          <t>1</t>
        </is>
      </c>
      <c r="H566" s="8" t="inlineStr">
        <is>
          <t>0</t>
        </is>
      </c>
      <c r="I566" s="8" t="inlineStr">
        <is>
          <t>0</t>
        </is>
      </c>
      <c r="J566" s="8" t="inlineStr">
        <is>
          <t>0</t>
        </is>
      </c>
      <c r="K566" s="9" t="inlineStr">
        <is>
          <t>1</t>
        </is>
      </c>
      <c r="L566" s="9" t="inlineStr">
        <is>
          <t>0</t>
        </is>
      </c>
      <c r="M566" s="9" t="inlineStr">
        <is>
          <t>0</t>
        </is>
      </c>
      <c r="N566" s="9" t="inlineStr">
        <is>
          <t>0</t>
        </is>
      </c>
      <c r="O566" s="10" t="inlineStr">
        <is>
          <t>0</t>
        </is>
      </c>
      <c r="P566" s="10" t="inlineStr">
        <is>
          <t>0</t>
        </is>
      </c>
      <c r="Q566" s="10" t="inlineStr">
        <is>
          <t>0</t>
        </is>
      </c>
      <c r="R566" s="10" t="inlineStr">
        <is>
          <t>0</t>
        </is>
      </c>
      <c r="S566" s="10" t="inlineStr">
        <is>
          <t>0</t>
        </is>
      </c>
    </row>
    <row r="567" ht="409.5" customHeight="1">
      <c r="A567" s="6">
        <f>IFERROR(__xludf.DUMMYFUNCTION("""COMPUTED_VALUE"""),"MATHS GROUP 3")</f>
        <v/>
      </c>
      <c r="B567" s="6">
        <f>IFERROR(__xludf.DUMMYFUNCTION("""COMPUTED_VALUE"""),"Application")</f>
        <v/>
      </c>
      <c r="C567" s="6">
        <f>IFERROR(__xludf.DUMMYFUNCTION("""COMPUTED_VALUE"""),"Graphing Lines")</f>
        <v/>
      </c>
      <c r="D567" s="7">
        <f>IFERROR(__xludf.DUMMYFUNCTION("""COMPUTED_VALUE"""),"No task description")</f>
        <v/>
      </c>
      <c r="E567"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67" s="7" t="inlineStr">
        <is>
          <t>Students visit websites and watch videos on algebra topics, including quadratic formulas and graphing lines, with embedded YouTube links and interactive apps like Golabz.</t>
        </is>
      </c>
      <c r="G567" s="8" t="inlineStr">
        <is>
          <t>0</t>
        </is>
      </c>
      <c r="H567" s="8" t="inlineStr">
        <is>
          <t>1</t>
        </is>
      </c>
      <c r="I567" s="8" t="inlineStr">
        <is>
          <t>1</t>
        </is>
      </c>
      <c r="J567" s="8" t="inlineStr">
        <is>
          <t>1</t>
        </is>
      </c>
      <c r="K567" s="9" t="inlineStr">
        <is>
          <t>1</t>
        </is>
      </c>
      <c r="L567" s="9" t="inlineStr">
        <is>
          <t>0</t>
        </is>
      </c>
      <c r="M567" s="9" t="inlineStr">
        <is>
          <t>0</t>
        </is>
      </c>
      <c r="N567" s="9" t="inlineStr">
        <is>
          <t>0</t>
        </is>
      </c>
      <c r="O567" s="10" t="inlineStr">
        <is>
          <t>1</t>
        </is>
      </c>
      <c r="P567" s="10" t="inlineStr">
        <is>
          <t>1</t>
        </is>
      </c>
      <c r="Q567" s="10" t="inlineStr">
        <is>
          <t>1</t>
        </is>
      </c>
      <c r="R567" s="10" t="inlineStr">
        <is>
          <t>0</t>
        </is>
      </c>
      <c r="S567" s="10" t="inlineStr">
        <is>
          <t>0</t>
        </is>
      </c>
    </row>
    <row r="568" ht="25" customHeight="1">
      <c r="A568" s="6">
        <f>IFERROR(__xludf.DUMMYFUNCTION("""COMPUTED_VALUE"""),"MATHS GROUP 3")</f>
        <v/>
      </c>
      <c r="B568" s="6">
        <f>IFERROR(__xludf.DUMMYFUNCTION("""COMPUTED_VALUE"""),"Space")</f>
        <v/>
      </c>
      <c r="C568" s="6">
        <f>IFERROR(__xludf.DUMMYFUNCTION("""COMPUTED_VALUE"""),"Conceptualisation")</f>
        <v/>
      </c>
      <c r="D568" s="7">
        <f>IFERROR(__xludf.DUMMYFUNCTION("""COMPUTED_VALUE"""),"No task description")</f>
        <v/>
      </c>
      <c r="E568" s="7">
        <f>IFERROR(__xludf.DUMMYFUNCTION("""COMPUTED_VALUE"""),"No artifact embedded")</f>
        <v/>
      </c>
      <c r="F568" s="7" t="inlineStr">
        <is>
          <t>Students were provided with tasks and resources, including videos and apps, to learn about quadratic functions and linear equations, with specific learning goals and activities outlined.</t>
        </is>
      </c>
      <c r="G568" s="8" t="inlineStr">
        <is>
          <t>1</t>
        </is>
      </c>
      <c r="H568" s="8" t="inlineStr">
        <is>
          <t>0</t>
        </is>
      </c>
      <c r="I568" s="8" t="inlineStr">
        <is>
          <t>0</t>
        </is>
      </c>
      <c r="J568" s="8" t="inlineStr">
        <is>
          <t>0</t>
        </is>
      </c>
      <c r="K568" s="9" t="inlineStr">
        <is>
          <t>0</t>
        </is>
      </c>
      <c r="L568" s="9" t="inlineStr">
        <is>
          <t>0</t>
        </is>
      </c>
      <c r="M568" s="9" t="inlineStr">
        <is>
          <t>0</t>
        </is>
      </c>
      <c r="N568" s="9" t="inlineStr">
        <is>
          <t>0</t>
        </is>
      </c>
      <c r="O568" s="10" t="inlineStr">
        <is>
          <t>0</t>
        </is>
      </c>
      <c r="P568" s="10" t="inlineStr">
        <is>
          <t>0</t>
        </is>
      </c>
      <c r="Q568" s="10" t="inlineStr">
        <is>
          <t>0</t>
        </is>
      </c>
      <c r="R568" s="10" t="inlineStr">
        <is>
          <t>0</t>
        </is>
      </c>
      <c r="S568" s="10" t="inlineStr">
        <is>
          <t>0</t>
        </is>
      </c>
    </row>
    <row r="569" ht="73" customHeight="1">
      <c r="A569" s="6">
        <f>IFERROR(__xludf.DUMMYFUNCTION("""COMPUTED_VALUE"""),"MATHS GROUP 3")</f>
        <v/>
      </c>
      <c r="B569" s="6">
        <f>IFERROR(__xludf.DUMMYFUNCTION("""COMPUTED_VALUE"""),"Resource")</f>
        <v/>
      </c>
      <c r="C569" s="6">
        <f>IFERROR(__xludf.DUMMYFUNCTION("""COMPUTED_VALUE"""),"Hypothesis.graasp")</f>
        <v/>
      </c>
      <c r="D569" s="7">
        <f>IFERROR(__xludf.DUMMYFUNCTION("""COMPUTED_VALUE"""),"&lt;p&gt;ALl quadratic equations could be solved using graphical formular method.&lt;/p&gt;")</f>
        <v/>
      </c>
      <c r="E569" s="7">
        <f>IFERROR(__xludf.DUMMYFUNCTION("""COMPUTED_VALUE"""),"No artifact embedded")</f>
        <v/>
      </c>
      <c r="F569" s="7" t="inlineStr">
        <is>
          <t>Students explore linear equations and graphs using Golabz app, with learning goals including computing slope and graphing lines. Items 2 and 3 lack task descriptions and embedded artifacts.</t>
        </is>
      </c>
      <c r="G569" s="8" t="inlineStr">
        <is>
          <t>1</t>
        </is>
      </c>
      <c r="H569" s="8" t="inlineStr">
        <is>
          <t>0</t>
        </is>
      </c>
      <c r="I569" s="8" t="inlineStr">
        <is>
          <t>0</t>
        </is>
      </c>
      <c r="J569" s="8" t="inlineStr">
        <is>
          <t>0</t>
        </is>
      </c>
      <c r="K569" s="9" t="inlineStr">
        <is>
          <t>1</t>
        </is>
      </c>
      <c r="L569" s="9" t="inlineStr">
        <is>
          <t>0</t>
        </is>
      </c>
      <c r="M569" s="9" t="inlineStr">
        <is>
          <t>0</t>
        </is>
      </c>
      <c r="N569" s="9" t="inlineStr">
        <is>
          <t>0</t>
        </is>
      </c>
      <c r="O569" s="10" t="inlineStr">
        <is>
          <t>0</t>
        </is>
      </c>
      <c r="P569" s="10" t="inlineStr">
        <is>
          <t>0</t>
        </is>
      </c>
      <c r="Q569" s="10" t="inlineStr">
        <is>
          <t>0</t>
        </is>
      </c>
      <c r="R569" s="10" t="inlineStr">
        <is>
          <t>0</t>
        </is>
      </c>
      <c r="S569" s="10" t="inlineStr">
        <is>
          <t>0</t>
        </is>
      </c>
    </row>
    <row r="570" ht="409.5" customHeight="1">
      <c r="A570" s="6">
        <f>IFERROR(__xludf.DUMMYFUNCTION("""COMPUTED_VALUE"""),"MATHS GROUP 3")</f>
        <v/>
      </c>
      <c r="B570" s="6">
        <f>IFERROR(__xludf.DUMMYFUNCTION("""COMPUTED_VALUE"""),"Application")</f>
        <v/>
      </c>
      <c r="C570" s="6">
        <f>IFERROR(__xludf.DUMMYFUNCTION("""COMPUTED_VALUE"""),"Graphing Lines Source")</f>
        <v/>
      </c>
      <c r="D570" s="7">
        <f>IFERROR(__xludf.DUMMYFUNCTION("""COMPUTED_VALUE"""),"No task description")</f>
        <v/>
      </c>
      <c r="E570"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70" s="7" t="inlineStr">
        <is>
          <t>Students were instructed to solve quadratic equations and explore linear equations, with Item3 embedding a Golabz app/lab artifact for interactive learning.</t>
        </is>
      </c>
      <c r="G570" s="8" t="inlineStr">
        <is>
          <t>0</t>
        </is>
      </c>
      <c r="H570" s="8" t="inlineStr">
        <is>
          <t>1</t>
        </is>
      </c>
      <c r="I570" s="8" t="inlineStr">
        <is>
          <t>1</t>
        </is>
      </c>
      <c r="J570" s="8" t="inlineStr">
        <is>
          <t>1</t>
        </is>
      </c>
      <c r="K570" s="9" t="inlineStr">
        <is>
          <t>1</t>
        </is>
      </c>
      <c r="L570" s="9" t="inlineStr">
        <is>
          <t>0</t>
        </is>
      </c>
      <c r="M570" s="9" t="inlineStr">
        <is>
          <t>0</t>
        </is>
      </c>
      <c r="N570" s="9" t="inlineStr">
        <is>
          <t>0</t>
        </is>
      </c>
      <c r="O570" s="10" t="inlineStr">
        <is>
          <t>1</t>
        </is>
      </c>
      <c r="P570" s="10" t="inlineStr">
        <is>
          <t>1</t>
        </is>
      </c>
      <c r="Q570" s="10" t="inlineStr">
        <is>
          <t>1</t>
        </is>
      </c>
      <c r="R570" s="10" t="inlineStr">
        <is>
          <t>0</t>
        </is>
      </c>
      <c r="S570" s="10" t="inlineStr">
        <is>
          <t>0</t>
        </is>
      </c>
    </row>
    <row r="571" ht="25" customHeight="1">
      <c r="A571" s="6">
        <f>IFERROR(__xludf.DUMMYFUNCTION("""COMPUTED_VALUE"""),"MATHS GROUP 3")</f>
        <v/>
      </c>
      <c r="B571" s="6">
        <f>IFERROR(__xludf.DUMMYFUNCTION("""COMPUTED_VALUE"""),"Space")</f>
        <v/>
      </c>
      <c r="C571" s="6">
        <f>IFERROR(__xludf.DUMMYFUNCTION("""COMPUTED_VALUE"""),"Investigation")</f>
        <v/>
      </c>
      <c r="D571" s="7">
        <f>IFERROR(__xludf.DUMMYFUNCTION("""COMPUTED_VALUE"""),"No task description")</f>
        <v/>
      </c>
      <c r="E571" s="7">
        <f>IFERROR(__xludf.DUMMYFUNCTION("""COMPUTED_VALUE"""),"No artifact embedded")</f>
        <v/>
      </c>
      <c r="F571" s="7" t="inlineStr">
        <is>
          <t>Students were instructed to solve quadratic equations and explore linear equations using the Golabz app, with learning goals including graphing lines and predicting variable changes.</t>
        </is>
      </c>
      <c r="G571" s="8" t="inlineStr">
        <is>
          <t>1</t>
        </is>
      </c>
      <c r="H571" s="8" t="inlineStr">
        <is>
          <t>0</t>
        </is>
      </c>
      <c r="I571" s="8" t="inlineStr">
        <is>
          <t>0</t>
        </is>
      </c>
      <c r="J571" s="8" t="inlineStr">
        <is>
          <t>0</t>
        </is>
      </c>
      <c r="K571" s="9" t="inlineStr">
        <is>
          <t>0</t>
        </is>
      </c>
      <c r="L571" s="9" t="inlineStr">
        <is>
          <t>0</t>
        </is>
      </c>
      <c r="M571" s="9" t="inlineStr">
        <is>
          <t>0</t>
        </is>
      </c>
      <c r="N571" s="9" t="inlineStr">
        <is>
          <t>0</t>
        </is>
      </c>
      <c r="O571" s="10" t="inlineStr">
        <is>
          <t>0</t>
        </is>
      </c>
      <c r="P571" s="10" t="inlineStr">
        <is>
          <t>0</t>
        </is>
      </c>
      <c r="Q571" s="10" t="inlineStr">
        <is>
          <t>0</t>
        </is>
      </c>
      <c r="R571" s="10" t="inlineStr">
        <is>
          <t>0</t>
        </is>
      </c>
      <c r="S571" s="10" t="inlineStr">
        <is>
          <t>0</t>
        </is>
      </c>
    </row>
    <row r="572" ht="49" customHeight="1">
      <c r="A572" s="6">
        <f>IFERROR(__xludf.DUMMYFUNCTION("""COMPUTED_VALUE"""),"MATHS GROUP 3")</f>
        <v/>
      </c>
      <c r="B572" s="6">
        <f>IFERROR(__xludf.DUMMYFUNCTION("""COMPUTED_VALUE"""),"Resource")</f>
        <v/>
      </c>
      <c r="C572" s="6">
        <f>IFERROR(__xludf.DUMMYFUNCTION("""COMPUTED_VALUE"""),"Word Problem.graasp")</f>
        <v/>
      </c>
      <c r="D572" s="7">
        <f>IFERROR(__xludf.DUMMYFUNCTION("""COMPUTED_VALUE"""),"&lt;p&gt;if y=0 and a,b,c are known then we can get values for x.&lt;/p&gt;")</f>
        <v/>
      </c>
      <c r="E572" s="7">
        <f>IFERROR(__xludf.DUMMYFUNCTION("""COMPUTED_VALUE"""),"No artifact embedded")</f>
        <v/>
      </c>
      <c r="F572" s="7" t="inlineStr">
        <is>
          <t>Students explore linear equations, slope, and graphs using Golabz app/lab, with learning goals including computing slope, graphing lines, and predicting variable changes.</t>
        </is>
      </c>
      <c r="G572" s="8" t="inlineStr">
        <is>
          <t>1</t>
        </is>
      </c>
      <c r="H572" s="8" t="inlineStr">
        <is>
          <t>0</t>
        </is>
      </c>
      <c r="I572" s="8" t="inlineStr">
        <is>
          <t>0</t>
        </is>
      </c>
      <c r="J572" s="8" t="inlineStr">
        <is>
          <t>0</t>
        </is>
      </c>
      <c r="K572" s="9" t="inlineStr">
        <is>
          <t>1</t>
        </is>
      </c>
      <c r="L572" s="9" t="inlineStr">
        <is>
          <t>0</t>
        </is>
      </c>
      <c r="M572" s="9" t="inlineStr">
        <is>
          <t>0</t>
        </is>
      </c>
      <c r="N572" s="9" t="inlineStr">
        <is>
          <t>0</t>
        </is>
      </c>
      <c r="O572" s="10" t="inlineStr">
        <is>
          <t>0</t>
        </is>
      </c>
      <c r="P572" s="10" t="inlineStr">
        <is>
          <t>1</t>
        </is>
      </c>
      <c r="Q572" s="10" t="inlineStr">
        <is>
          <t>0</t>
        </is>
      </c>
      <c r="R572" s="10" t="inlineStr">
        <is>
          <t>0</t>
        </is>
      </c>
      <c r="S572" s="10" t="inlineStr">
        <is>
          <t>0</t>
        </is>
      </c>
    </row>
    <row r="573" ht="25" customHeight="1">
      <c r="A573" s="6">
        <f>IFERROR(__xludf.DUMMYFUNCTION("""COMPUTED_VALUE"""),"MATHS GROUP 3")</f>
        <v/>
      </c>
      <c r="B573" s="6">
        <f>IFERROR(__xludf.DUMMYFUNCTION("""COMPUTED_VALUE"""),"Space")</f>
        <v/>
      </c>
      <c r="C573" s="6">
        <f>IFERROR(__xludf.DUMMYFUNCTION("""COMPUTED_VALUE"""),"Conclusion")</f>
        <v/>
      </c>
      <c r="D573" s="7">
        <f>IFERROR(__xludf.DUMMYFUNCTION("""COMPUTED_VALUE"""),"No task description")</f>
        <v/>
      </c>
      <c r="E573" s="7">
        <f>IFERROR(__xludf.DUMMYFUNCTION("""COMPUTED_VALUE"""),"No artifact embedded")</f>
        <v/>
      </c>
      <c r="F573" s="7" t="inlineStr">
        <is>
          <t>Students were given tasks with minimal descriptions and no embedded artifacts. Only Item2 had a brief math-related instruction.</t>
        </is>
      </c>
      <c r="G573" s="8" t="inlineStr">
        <is>
          <t>1</t>
        </is>
      </c>
      <c r="H573" s="8" t="inlineStr">
        <is>
          <t>0</t>
        </is>
      </c>
      <c r="I573" s="8" t="inlineStr">
        <is>
          <t>0</t>
        </is>
      </c>
      <c r="J573" s="8" t="inlineStr">
        <is>
          <t>0</t>
        </is>
      </c>
      <c r="K573" s="9" t="inlineStr">
        <is>
          <t>0</t>
        </is>
      </c>
      <c r="L573" s="9" t="inlineStr">
        <is>
          <t>0</t>
        </is>
      </c>
      <c r="M573" s="9" t="inlineStr">
        <is>
          <t>0</t>
        </is>
      </c>
      <c r="N573" s="9" t="inlineStr">
        <is>
          <t>0</t>
        </is>
      </c>
      <c r="O573" s="10" t="inlineStr">
        <is>
          <t>0</t>
        </is>
      </c>
      <c r="P573" s="10" t="inlineStr">
        <is>
          <t>0</t>
        </is>
      </c>
      <c r="Q573" s="10" t="inlineStr">
        <is>
          <t>0</t>
        </is>
      </c>
      <c r="R573" s="10" t="inlineStr">
        <is>
          <t>0</t>
        </is>
      </c>
      <c r="S573" s="10" t="inlineStr">
        <is>
          <t>0</t>
        </is>
      </c>
    </row>
    <row r="574" ht="49" customHeight="1">
      <c r="A574" s="6">
        <f>IFERROR(__xludf.DUMMYFUNCTION("""COMPUTED_VALUE"""),"MATHS GROUP 3")</f>
        <v/>
      </c>
      <c r="B574" s="6">
        <f>IFERROR(__xludf.DUMMYFUNCTION("""COMPUTED_VALUE"""),"Resource")</f>
        <v/>
      </c>
      <c r="C574" s="6">
        <f>IFERROR(__xludf.DUMMYFUNCTION("""COMPUTED_VALUE"""),"Results.graasp")</f>
        <v/>
      </c>
      <c r="D574" s="7">
        <f>IFERROR(__xludf.DUMMYFUNCTION("""COMPUTED_VALUE"""),"&lt;p&gt;Both methods give the same values for x.&lt;/p&gt;")</f>
        <v/>
      </c>
      <c r="E574" s="7">
        <f>IFERROR(__xludf.DUMMYFUNCTION("""COMPUTED_VALUE"""),"No artifact embedded")</f>
        <v/>
      </c>
      <c r="F574" s="7" t="inlineStr">
        <is>
          <t>Students were given tasks with no artifacts, including solving for x when y=0 and comparing two methods.</t>
        </is>
      </c>
      <c r="G574" s="8" t="inlineStr">
        <is>
          <t>1</t>
        </is>
      </c>
      <c r="H574" s="8" t="inlineStr">
        <is>
          <t>0</t>
        </is>
      </c>
      <c r="I574" s="8" t="inlineStr">
        <is>
          <t>0</t>
        </is>
      </c>
      <c r="J574" s="8" t="inlineStr">
        <is>
          <t>0</t>
        </is>
      </c>
      <c r="K574" s="9" t="inlineStr">
        <is>
          <t>0</t>
        </is>
      </c>
      <c r="L574" s="9" t="inlineStr">
        <is>
          <t>0</t>
        </is>
      </c>
      <c r="M574" s="9" t="inlineStr">
        <is>
          <t>0</t>
        </is>
      </c>
      <c r="N574" s="9" t="inlineStr">
        <is>
          <t>0</t>
        </is>
      </c>
      <c r="O574" s="10" t="inlineStr">
        <is>
          <t>0</t>
        </is>
      </c>
      <c r="P574" s="10" t="inlineStr">
        <is>
          <t>0</t>
        </is>
      </c>
      <c r="Q574" s="10" t="inlineStr">
        <is>
          <t>0</t>
        </is>
      </c>
      <c r="R574" s="10" t="inlineStr">
        <is>
          <t>1</t>
        </is>
      </c>
      <c r="S574" s="10" t="inlineStr">
        <is>
          <t>0</t>
        </is>
      </c>
    </row>
    <row r="575" ht="25" customHeight="1">
      <c r="A575" s="6">
        <f>IFERROR(__xludf.DUMMYFUNCTION("""COMPUTED_VALUE"""),"MATHS GROUP 3")</f>
        <v/>
      </c>
      <c r="B575" s="6">
        <f>IFERROR(__xludf.DUMMYFUNCTION("""COMPUTED_VALUE"""),"Space")</f>
        <v/>
      </c>
      <c r="C575" s="6">
        <f>IFERROR(__xludf.DUMMYFUNCTION("""COMPUTED_VALUE"""),"Discussion")</f>
        <v/>
      </c>
      <c r="D575" s="7">
        <f>IFERROR(__xludf.DUMMYFUNCTION("""COMPUTED_VALUE"""),"No task description")</f>
        <v/>
      </c>
      <c r="E575" s="7">
        <f>IFERROR(__xludf.DUMMYFUNCTION("""COMPUTED_VALUE"""),"No artifact embedded")</f>
        <v/>
      </c>
      <c r="F575" s="7" t="inlineStr">
        <is>
          <t>Students were given no task descriptions or embedded artifacts in most items, except Item2 which stated that two methods give the same values for x.</t>
        </is>
      </c>
      <c r="G575" s="8" t="inlineStr">
        <is>
          <t>1</t>
        </is>
      </c>
      <c r="H575" s="8" t="inlineStr">
        <is>
          <t>0</t>
        </is>
      </c>
      <c r="I575" s="8" t="inlineStr">
        <is>
          <t>0</t>
        </is>
      </c>
      <c r="J575" s="8" t="inlineStr">
        <is>
          <t>0</t>
        </is>
      </c>
      <c r="K575" s="9" t="inlineStr">
        <is>
          <t>0</t>
        </is>
      </c>
      <c r="L575" s="9" t="inlineStr">
        <is>
          <t>0</t>
        </is>
      </c>
      <c r="M575" s="9" t="inlineStr">
        <is>
          <t>0</t>
        </is>
      </c>
      <c r="N575" s="9" t="inlineStr">
        <is>
          <t>0</t>
        </is>
      </c>
      <c r="O575" s="10" t="inlineStr">
        <is>
          <t>0</t>
        </is>
      </c>
      <c r="P575" s="10" t="inlineStr">
        <is>
          <t>0</t>
        </is>
      </c>
      <c r="Q575" s="10" t="inlineStr">
        <is>
          <t>0</t>
        </is>
      </c>
      <c r="R575" s="10" t="inlineStr">
        <is>
          <t>0</t>
        </is>
      </c>
      <c r="S575" s="10" t="inlineStr">
        <is>
          <t>0</t>
        </is>
      </c>
    </row>
    <row r="576" ht="109" customHeight="1">
      <c r="A576" s="6">
        <f>IFERROR(__xludf.DUMMYFUNCTION("""COMPUTED_VALUE"""),"MATHS GROUP 3")</f>
        <v/>
      </c>
      <c r="B576" s="6">
        <f>IFERROR(__xludf.DUMMYFUNCTION("""COMPUTED_VALUE"""),"Topic")</f>
        <v/>
      </c>
      <c r="C576" s="6">
        <f>IFERROR(__xludf.DUMMYFUNCTION("""COMPUTED_VALUE"""),"Quadratic equations")</f>
        <v/>
      </c>
      <c r="D576" s="7">
        <f>IFERROR(__xludf.DUMMYFUNCTION("""COMPUTED_VALUE"""),"Try both methods for solving quadratic equations and discuss your findings")</f>
        <v/>
      </c>
      <c r="E576" s="7">
        <f>IFERROR(__xludf.DUMMYFUNCTION("""COMPUTED_VALUE"""),"text/html – A webpage or web document that contains structured text, images, and links, designed for display in a web browser.")</f>
        <v/>
      </c>
      <c r="F576" s="7" t="inlineStr">
        <is>
          <t>Students were instructed to solve quadratic equations and discuss findings. Embedded artifacts include no items in Items 1 and 2, but a webpage in Item 3.</t>
        </is>
      </c>
      <c r="G576" s="8" t="inlineStr">
        <is>
          <t>0</t>
        </is>
      </c>
      <c r="H576" s="8" t="inlineStr">
        <is>
          <t>1</t>
        </is>
      </c>
      <c r="I576" s="8" t="inlineStr">
        <is>
          <t>1</t>
        </is>
      </c>
      <c r="J576" s="8" t="inlineStr">
        <is>
          <t>0</t>
        </is>
      </c>
      <c r="K576" s="9" t="inlineStr">
        <is>
          <t>1</t>
        </is>
      </c>
      <c r="L576" s="9" t="inlineStr">
        <is>
          <t>0</t>
        </is>
      </c>
      <c r="M576" s="9" t="inlineStr">
        <is>
          <t>1</t>
        </is>
      </c>
      <c r="N576" s="9" t="inlineStr">
        <is>
          <t>0</t>
        </is>
      </c>
      <c r="O576" s="10" t="inlineStr">
        <is>
          <t>1</t>
        </is>
      </c>
      <c r="P576" s="10" t="inlineStr">
        <is>
          <t>0</t>
        </is>
      </c>
      <c r="Q576" s="10" t="inlineStr">
        <is>
          <t>1</t>
        </is>
      </c>
      <c r="R576" s="10" t="inlineStr">
        <is>
          <t>0</t>
        </is>
      </c>
      <c r="S576" s="10" t="inlineStr">
        <is>
          <t>1</t>
        </is>
      </c>
    </row>
    <row r="577" ht="409.5" customHeight="1">
      <c r="A577" s="6">
        <f>IFERROR(__xludf.DUMMYFUNCTION("""COMPUTED_VALUE"""),"Leadership in your life")</f>
        <v/>
      </c>
      <c r="B577" s="6">
        <f>IFERROR(__xludf.DUMMYFUNCTION("""COMPUTED_VALUE"""),"Space")</f>
        <v/>
      </c>
      <c r="C577" s="6">
        <f>IFERROR(__xludf.DUMMYFUNCTION("""COMPUTED_VALUE"""),"Orientation")</f>
        <v/>
      </c>
      <c r="D577" s="7">
        <f>IFERROR(__xludf.DUMMYFUNCTION("""COMPUTED_VALUE"""),"&lt;p&gt;Hello, dear students! I hope that each of you has already decided on the purpose in life and knows exactly what he or she will do after getting a Master's degree. Perhaps, some of you are already working in the profession or have found yourself in some"&amp;"thing completely different. But in the conditions of the stress and bustle of everyday life, only the strongest achieve success: people with leadership qualities, endurance and constant self-motivation. &lt;/p&gt;&lt;p&gt;Do you wonder how exactly our features of cha"&amp;"racter influence the achievement of certain goals in life? Have you always thought that leadership has no variations and is exclusively an inherent feature? Then let's analyze this topic and find out the truth within our lesson.&lt;/p&gt;&lt;p&gt;Before you start rev"&amp;"iewing some theoretical material, watch this entertaining video that displays a childish vision on who actually is the leader in their lives.&lt;/p&gt;")</f>
        <v/>
      </c>
      <c r="E577" s="7">
        <f>IFERROR(__xludf.DUMMYFUNCTION("""COMPUTED_VALUE"""),"No artifact embedded")</f>
        <v/>
      </c>
      <c r="F577" s="7" t="inlineStr">
        <is>
          <t>Students are given tasks with varying descriptions and embedded artifacts, including text/html and videos, to complete assignments.</t>
        </is>
      </c>
      <c r="G577" s="8" t="inlineStr">
        <is>
          <t>1</t>
        </is>
      </c>
      <c r="H577" s="8" t="inlineStr">
        <is>
          <t>0</t>
        </is>
      </c>
      <c r="I577" s="8" t="inlineStr">
        <is>
          <t>0</t>
        </is>
      </c>
      <c r="J577" s="8" t="inlineStr">
        <is>
          <t>0</t>
        </is>
      </c>
      <c r="K577" s="9" t="inlineStr">
        <is>
          <t>1</t>
        </is>
      </c>
      <c r="L577" s="9" t="inlineStr">
        <is>
          <t>0</t>
        </is>
      </c>
      <c r="M577" s="9" t="inlineStr">
        <is>
          <t>0</t>
        </is>
      </c>
      <c r="N577" s="9" t="inlineStr">
        <is>
          <t>0</t>
        </is>
      </c>
      <c r="O577" s="10" t="inlineStr">
        <is>
          <t>1</t>
        </is>
      </c>
      <c r="P577" s="10" t="inlineStr">
        <is>
          <t>1</t>
        </is>
      </c>
      <c r="Q577" s="10" t="inlineStr">
        <is>
          <t>0</t>
        </is>
      </c>
      <c r="R577" s="10" t="inlineStr">
        <is>
          <t>0</t>
        </is>
      </c>
      <c r="S577" s="10" t="inlineStr">
        <is>
          <t>0</t>
        </is>
      </c>
    </row>
    <row r="578" ht="121" customHeight="1">
      <c r="A578" s="6">
        <f>IFERROR(__xludf.DUMMYFUNCTION("""COMPUTED_VALUE"""),"Leadership in your life")</f>
        <v/>
      </c>
      <c r="B578" s="6">
        <f>IFERROR(__xludf.DUMMYFUNCTION("""COMPUTED_VALUE"""),"Resource")</f>
        <v/>
      </c>
      <c r="C578" s="6">
        <f>IFERROR(__xludf.DUMMYFUNCTION("""COMPUTED_VALUE"""),"What is a Leader.mp4")</f>
        <v/>
      </c>
      <c r="D578" s="7">
        <f>IFERROR(__xludf.DUMMYFUNCTION("""COMPUTED_VALUE"""),"No task description")</f>
        <v/>
      </c>
      <c r="E578" s="7">
        <f>IFERROR(__xludf.DUMMYFUNCTION("""COMPUTED_VALUE"""),"video/mp4 – A video file containing moving images and possibly audio, suitable for playback on most modern devices and platforms.")</f>
        <v/>
      </c>
      <c r="F578" s="7" t="inlineStr">
        <is>
          <t>Students are given tasks to solve quadratic equations and discuss leadership qualities. Embedded artifacts include text/html and video/mp4 files.</t>
        </is>
      </c>
      <c r="G578" s="8" t="inlineStr">
        <is>
          <t>1</t>
        </is>
      </c>
      <c r="H578" s="8" t="inlineStr">
        <is>
          <t>0</t>
        </is>
      </c>
      <c r="I578" s="8" t="inlineStr">
        <is>
          <t>0</t>
        </is>
      </c>
      <c r="J578" s="8" t="inlineStr">
        <is>
          <t>0</t>
        </is>
      </c>
      <c r="K578" s="9" t="inlineStr">
        <is>
          <t>0</t>
        </is>
      </c>
      <c r="L578" s="9" t="inlineStr">
        <is>
          <t>0</t>
        </is>
      </c>
      <c r="M578" s="9" t="inlineStr">
        <is>
          <t>0</t>
        </is>
      </c>
      <c r="N578" s="9" t="inlineStr">
        <is>
          <t>0</t>
        </is>
      </c>
      <c r="O578" s="10" t="inlineStr">
        <is>
          <t>0</t>
        </is>
      </c>
      <c r="P578" s="10" t="inlineStr">
        <is>
          <t>0</t>
        </is>
      </c>
      <c r="Q578" s="10" t="inlineStr">
        <is>
          <t>0</t>
        </is>
      </c>
      <c r="R578" s="10" t="inlineStr">
        <is>
          <t>0</t>
        </is>
      </c>
      <c r="S578" s="10" t="inlineStr">
        <is>
          <t>0</t>
        </is>
      </c>
    </row>
    <row r="579" ht="409.5" customHeight="1">
      <c r="A579" s="6">
        <f>IFERROR(__xludf.DUMMYFUNCTION("""COMPUTED_VALUE"""),"Leadership in your life")</f>
        <v/>
      </c>
      <c r="B579" s="6">
        <f>IFERROR(__xludf.DUMMYFUNCTION("""COMPUTED_VALUE"""),"Space")</f>
        <v/>
      </c>
      <c r="C579" s="6">
        <f>IFERROR(__xludf.DUMMYFUNCTION("""COMPUTED_VALUE"""),"Conceptualisation")</f>
        <v/>
      </c>
      <c r="D579" s="7">
        <f>IFERROR(__xludf.DUMMYFUNCTION("""COMPUTED_VALUE"""),"&lt;p&gt;To be or not to be… born a leader? Are leaders born or made? These are the questions.&lt;/p&gt;&lt;p&gt;There are some theories that put the innate factor first and others that postulate our ability to become leaders. Reality has shown us tough, that there are in "&amp;"fact three categories: those who are indeed born leaders, those who simply aren’t ever going to be very good leaders and then there’s the middle category — where the vast majority of us lies. And this is precisely where the real potential for becoming a l"&amp;"eader can be found.&lt;/p&gt;&lt;p&gt;For better understanding of this question, study two thematic articles which are presented below. Try to make some notes, because the practical part of the lesson will be based on information from these sources. Pay particular at"&amp;"tention to the types of leadership.&lt;/p&gt;")</f>
        <v/>
      </c>
      <c r="E579" s="7">
        <f>IFERROR(__xludf.DUMMYFUNCTION("""COMPUTED_VALUE"""),"No artifact embedded")</f>
        <v/>
      </c>
      <c r="F579" s="7" t="inlineStr">
        <is>
          <t>Students analyze leadership and motivation through videos and articles, with tasks to watch a video and study articles on leadership types.</t>
        </is>
      </c>
      <c r="G579" s="8" t="inlineStr">
        <is>
          <t>0</t>
        </is>
      </c>
      <c r="H579" s="8" t="inlineStr">
        <is>
          <t>0</t>
        </is>
      </c>
      <c r="I579" s="8" t="inlineStr">
        <is>
          <t>0</t>
        </is>
      </c>
      <c r="J579" s="8" t="inlineStr">
        <is>
          <t>0</t>
        </is>
      </c>
      <c r="K579" s="9" t="inlineStr">
        <is>
          <t>1</t>
        </is>
      </c>
      <c r="L579" s="9" t="inlineStr">
        <is>
          <t>0</t>
        </is>
      </c>
      <c r="M579" s="9" t="inlineStr">
        <is>
          <t>0</t>
        </is>
      </c>
      <c r="N579" s="9" t="inlineStr">
        <is>
          <t>0</t>
        </is>
      </c>
      <c r="O579" s="10" t="inlineStr">
        <is>
          <t>1</t>
        </is>
      </c>
      <c r="P579" s="10" t="inlineStr">
        <is>
          <t>1</t>
        </is>
      </c>
      <c r="Q579" s="10" t="inlineStr">
        <is>
          <t>0</t>
        </is>
      </c>
      <c r="R579" s="10" t="inlineStr">
        <is>
          <t>0</t>
        </is>
      </c>
      <c r="S579" s="10" t="inlineStr">
        <is>
          <t>0</t>
        </is>
      </c>
    </row>
    <row r="580" ht="85" customHeight="1">
      <c r="A580" s="6">
        <f>IFERROR(__xludf.DUMMYFUNCTION("""COMPUTED_VALUE"""),"Leadership in your life")</f>
        <v/>
      </c>
      <c r="B580" s="6">
        <f>IFERROR(__xludf.DUMMYFUNCTION("""COMPUTED_VALUE"""),"Resource")</f>
        <v/>
      </c>
      <c r="C580" s="6">
        <f>IFERROR(__xludf.DUMMYFUNCTION("""COMPUTED_VALUE"""),"Is Everyone a Leader?")</f>
        <v/>
      </c>
      <c r="D580" s="7">
        <f>IFERROR(__xludf.DUMMYFUNCTION("""COMPUTED_VALUE"""),"A question I get almost everywhere I go: “Is everyone a leader?”")</f>
        <v/>
      </c>
      <c r="E580" s="7">
        <f>IFERROR(__xludf.DUMMYFUNCTION("""COMPUTED_VALUE"""),"psychologytoday.com: Features articles on psychological topics, such as discussions on leadership.")</f>
        <v/>
      </c>
      <c r="F580" s="7" t="inlineStr">
        <is>
          <t>Students were given tasks and resources, including videos and articles, to explore leadership theories and types.</t>
        </is>
      </c>
      <c r="G580" s="8" t="inlineStr">
        <is>
          <t>1</t>
        </is>
      </c>
      <c r="H580" s="8" t="inlineStr">
        <is>
          <t>0</t>
        </is>
      </c>
      <c r="I580" s="8" t="inlineStr">
        <is>
          <t>0</t>
        </is>
      </c>
      <c r="J580" s="8" t="inlineStr">
        <is>
          <t>0</t>
        </is>
      </c>
      <c r="K580" s="9" t="inlineStr">
        <is>
          <t>1</t>
        </is>
      </c>
      <c r="L580" s="9" t="inlineStr">
        <is>
          <t>0</t>
        </is>
      </c>
      <c r="M580" s="9" t="inlineStr">
        <is>
          <t>0</t>
        </is>
      </c>
      <c r="N580" s="9" t="inlineStr">
        <is>
          <t>0</t>
        </is>
      </c>
      <c r="O580" s="10" t="inlineStr">
        <is>
          <t>1</t>
        </is>
      </c>
      <c r="P580" s="10" t="inlineStr">
        <is>
          <t>1</t>
        </is>
      </c>
      <c r="Q580" s="10" t="inlineStr">
        <is>
          <t>0</t>
        </is>
      </c>
      <c r="R580" s="10" t="inlineStr">
        <is>
          <t>0</t>
        </is>
      </c>
      <c r="S580" s="10" t="inlineStr">
        <is>
          <t>1</t>
        </is>
      </c>
    </row>
    <row r="581" ht="109" customHeight="1">
      <c r="A581" s="6">
        <f>IFERROR(__xludf.DUMMYFUNCTION("""COMPUTED_VALUE"""),"Leadership in your life")</f>
        <v/>
      </c>
      <c r="B581" s="6">
        <f>IFERROR(__xludf.DUMMYFUNCTION("""COMPUTED_VALUE"""),"Resource")</f>
        <v/>
      </c>
      <c r="C581" s="6">
        <f>IFERROR(__xludf.DUMMYFUNCTION("""COMPUTED_VALUE"""),"7 Common Leadership Styles: Which Type of a Leader Are You?")</f>
        <v/>
      </c>
      <c r="D581" s="7">
        <f>IFERROR(__xludf.DUMMYFUNCTION("""COMPUTED_VALUE"""),"‘Leadership is not a position or a title, it is action and example’ — Unknown")</f>
        <v/>
      </c>
      <c r="E581" s="7">
        <f>IFERROR(__xludf.DUMMYFUNCTION("""COMPUTED_VALUE"""),"blog.proofhub.com: The blog section of ProofHub provides articles on leadership styles and project management.")</f>
        <v/>
      </c>
      <c r="F581" s="7" t="inlineStr">
        <is>
          <t>Students are instructed to study articles on leadership and take notes, with embedded artifacts including psychologytoday.com and blog.proofhub.com.</t>
        </is>
      </c>
      <c r="G581" s="8" t="inlineStr">
        <is>
          <t>1</t>
        </is>
      </c>
      <c r="H581" s="8" t="inlineStr">
        <is>
          <t>0</t>
        </is>
      </c>
      <c r="I581" s="8" t="inlineStr">
        <is>
          <t>0</t>
        </is>
      </c>
      <c r="J581" s="8" t="inlineStr">
        <is>
          <t>0</t>
        </is>
      </c>
      <c r="K581" s="9" t="inlineStr">
        <is>
          <t>1</t>
        </is>
      </c>
      <c r="L581" s="9" t="inlineStr">
        <is>
          <t>0</t>
        </is>
      </c>
      <c r="M581" s="9" t="inlineStr">
        <is>
          <t>0</t>
        </is>
      </c>
      <c r="N581" s="9" t="inlineStr">
        <is>
          <t>0</t>
        </is>
      </c>
      <c r="O581" s="10" t="inlineStr">
        <is>
          <t>1</t>
        </is>
      </c>
      <c r="P581" s="10" t="inlineStr">
        <is>
          <t>0</t>
        </is>
      </c>
      <c r="Q581" s="10" t="inlineStr">
        <is>
          <t>0</t>
        </is>
      </c>
      <c r="R581" s="10" t="inlineStr">
        <is>
          <t>0</t>
        </is>
      </c>
      <c r="S581" s="10" t="inlineStr">
        <is>
          <t>0</t>
        </is>
      </c>
    </row>
    <row r="582" ht="37" customHeight="1">
      <c r="A582" s="6">
        <f>IFERROR(__xludf.DUMMYFUNCTION("""COMPUTED_VALUE"""),"Leadership in your life")</f>
        <v/>
      </c>
      <c r="B582" s="6">
        <f>IFERROR(__xludf.DUMMYFUNCTION("""COMPUTED_VALUE"""),"Space")</f>
        <v/>
      </c>
      <c r="C582" s="6">
        <f>IFERROR(__xludf.DUMMYFUNCTION("""COMPUTED_VALUE"""),"Investigation")</f>
        <v/>
      </c>
      <c r="D582" s="7">
        <f>IFERROR(__xludf.DUMMYFUNCTION("""COMPUTED_VALUE"""),"&lt;p&gt;Now let's do some practical tasks. &lt;/p&gt;")</f>
        <v/>
      </c>
      <c r="E582" s="7">
        <f>IFERROR(__xludf.DUMMYFUNCTION("""COMPUTED_VALUE"""),"No artifact embedded")</f>
        <v/>
      </c>
      <c r="F582" s="7" t="inlineStr">
        <is>
          <t>Students were given 3 tasks with descriptions about leadership, with Items 1 and 2 including embedded artifacts from psychologytoday.com and blog.proofhub.com.</t>
        </is>
      </c>
      <c r="G582" s="8" t="inlineStr">
        <is>
          <t>0</t>
        </is>
      </c>
      <c r="H582" s="8" t="inlineStr">
        <is>
          <t>1</t>
        </is>
      </c>
      <c r="I582" s="8" t="inlineStr">
        <is>
          <t>0</t>
        </is>
      </c>
      <c r="J582" s="8" t="inlineStr">
        <is>
          <t>0</t>
        </is>
      </c>
      <c r="K582" s="9" t="inlineStr">
        <is>
          <t>1</t>
        </is>
      </c>
      <c r="L582" s="9" t="inlineStr">
        <is>
          <t>0</t>
        </is>
      </c>
      <c r="M582" s="9" t="inlineStr">
        <is>
          <t>0</t>
        </is>
      </c>
      <c r="N582" s="9" t="inlineStr">
        <is>
          <t>0</t>
        </is>
      </c>
      <c r="O582" s="10" t="inlineStr">
        <is>
          <t>0</t>
        </is>
      </c>
      <c r="P582" s="10" t="inlineStr">
        <is>
          <t>0</t>
        </is>
      </c>
      <c r="Q582" s="10" t="inlineStr">
        <is>
          <t>0</t>
        </is>
      </c>
      <c r="R582" s="10" t="inlineStr">
        <is>
          <t>0</t>
        </is>
      </c>
      <c r="S582" s="10" t="inlineStr">
        <is>
          <t>0</t>
        </is>
      </c>
    </row>
    <row r="583" ht="406" customHeight="1">
      <c r="A583" s="6">
        <f>IFERROR(__xludf.DUMMYFUNCTION("""COMPUTED_VALUE"""),"Leadership in your life")</f>
        <v/>
      </c>
      <c r="B583" s="6">
        <f>IFERROR(__xludf.DUMMYFUNCTION("""COMPUTED_VALUE"""),"Resource")</f>
        <v/>
      </c>
      <c r="C583" s="6">
        <f>IFERROR(__xludf.DUMMYFUNCTION("""COMPUTED_VALUE"""),"Task 1")</f>
        <v/>
      </c>
      <c r="D583" s="7">
        <f>IFERROR(__xludf.DUMMYFUNCTION("""COMPUTED_VALUE"""),"&lt;p&gt;First we will check understanding of the material that you have read and analyzed. Please, answer such questions:&lt;/p&gt;&lt;p&gt;1) How can a person be a leader without a position of authority?&lt;br&gt;2) What does it mean to be a habitual or situational leader?&lt;br&gt;"&amp;"3) Can an introvert influence other people?&lt;br&gt;4) Is it true that leadership roles and leadership training are just not for everyone?&lt;br&gt;5) Is it true that leadership is only for people who have top positions in an organization?&lt;/p&gt;")</f>
        <v/>
      </c>
      <c r="E583" s="7">
        <f>IFERROR(__xludf.DUMMYFUNCTION("""COMPUTED_VALUE"""),"image/jpeg – A digital photograph or web image stored in a compressed format, often used for photography and web graphics.")</f>
        <v/>
      </c>
      <c r="F583" s="7" t="inlineStr">
        <is>
          <t>Students were given tasks with descriptions and embedded artifacts, including a blog on leadership and a JPEG image, to complete practical exercises and answer questions on leadership styles.</t>
        </is>
      </c>
      <c r="G583" s="8" t="inlineStr">
        <is>
          <t>0</t>
        </is>
      </c>
      <c r="H583" s="8" t="inlineStr">
        <is>
          <t>0</t>
        </is>
      </c>
      <c r="I583" s="8" t="inlineStr">
        <is>
          <t>0</t>
        </is>
      </c>
      <c r="J583" s="8" t="inlineStr">
        <is>
          <t>1</t>
        </is>
      </c>
      <c r="K583" s="9" t="inlineStr">
        <is>
          <t>1</t>
        </is>
      </c>
      <c r="L583" s="9" t="inlineStr">
        <is>
          <t>1</t>
        </is>
      </c>
      <c r="M583" s="9" t="inlineStr">
        <is>
          <t>0</t>
        </is>
      </c>
      <c r="N583" s="9" t="inlineStr">
        <is>
          <t>0</t>
        </is>
      </c>
      <c r="O583" s="10" t="inlineStr">
        <is>
          <t>0</t>
        </is>
      </c>
      <c r="P583" s="10" t="inlineStr">
        <is>
          <t>0</t>
        </is>
      </c>
      <c r="Q583" s="10" t="inlineStr">
        <is>
          <t>0</t>
        </is>
      </c>
      <c r="R583" s="10" t="inlineStr">
        <is>
          <t>0</t>
        </is>
      </c>
      <c r="S583" s="10" t="inlineStr">
        <is>
          <t>1</t>
        </is>
      </c>
    </row>
    <row r="584" ht="409.5" customHeight="1">
      <c r="A584" s="6">
        <f>IFERROR(__xludf.DUMMYFUNCTION("""COMPUTED_VALUE"""),"Leadership in your life")</f>
        <v/>
      </c>
      <c r="B584" s="6">
        <f>IFERROR(__xludf.DUMMYFUNCTION("""COMPUTED_VALUE"""),"Resource")</f>
        <v/>
      </c>
      <c r="C584" s="6">
        <f>IFERROR(__xludf.DUMMYFUNCTION("""COMPUTED_VALUE"""),"Task 2")</f>
        <v/>
      </c>
      <c r="D584" s="7">
        <f>IFERROR(__xludf.DUMMYFUNCTION("""COMPUTED_VALUE"""),"&lt;p&gt;Now you will work in pairs. Imagine that one of you is a director of the translation agency and another one — a translator. The director has received a message from a rich and regular customer with complaints about low quality of translation and a grea"&amp;"t amount of mistakes. It is the second such situation with this worker. How will boss chat with his worker, explaining the problem, if he is a: &lt;br&gt;1) autocratic leader;&lt;br&gt;2) democratic leader;&lt;br&gt;3) coaching leader;&lt;br&gt;4) strategic leader;&lt;/p&gt;&lt;p&gt;5) tran"&amp;"sformational leader;&lt;/p&gt;&lt;p&gt;6) laissez-faire leader;&lt;/p&gt;&lt;p&gt;7) charismatic leader. &lt;br&gt;You can exaggerate some features to make the image recognizable and creative. Then we will discuss this dialogues and decide how to be not only a leader but also a good m"&amp;"otivator for the colleagues. &lt;/p&gt;")</f>
        <v/>
      </c>
      <c r="E584" s="7">
        <f>IFERROR(__xludf.DUMMYFUNCTION("""COMPUTED_VALUE"""),"image/jpeg – A digital photograph or web image stored in a compressed format, often used for photography and web graphics.")</f>
        <v/>
      </c>
      <c r="F584" s="7" t="inlineStr">
        <is>
          <t>Students are given tasks with descriptions and embedded images (jpeg) to complete leadership-related exercises.</t>
        </is>
      </c>
      <c r="G584" s="8" t="inlineStr">
        <is>
          <t>0</t>
        </is>
      </c>
      <c r="H584" s="8" t="inlineStr">
        <is>
          <t>1</t>
        </is>
      </c>
      <c r="I584" s="8" t="inlineStr">
        <is>
          <t>1</t>
        </is>
      </c>
      <c r="J584" s="8" t="inlineStr">
        <is>
          <t>1</t>
        </is>
      </c>
      <c r="K584" s="9" t="inlineStr">
        <is>
          <t>0</t>
        </is>
      </c>
      <c r="L584" s="9" t="inlineStr">
        <is>
          <t>0</t>
        </is>
      </c>
      <c r="M584" s="9" t="inlineStr">
        <is>
          <t>1</t>
        </is>
      </c>
      <c r="N584" s="9" t="inlineStr">
        <is>
          <t>1</t>
        </is>
      </c>
      <c r="O584" s="10" t="inlineStr">
        <is>
          <t>1</t>
        </is>
      </c>
      <c r="P584" s="10" t="inlineStr">
        <is>
          <t>0</t>
        </is>
      </c>
      <c r="Q584" s="10" t="inlineStr">
        <is>
          <t>0</t>
        </is>
      </c>
      <c r="R584" s="10" t="inlineStr">
        <is>
          <t>0</t>
        </is>
      </c>
      <c r="S584" s="10" t="inlineStr">
        <is>
          <t>1</t>
        </is>
      </c>
    </row>
    <row r="585" ht="409.5" customHeight="1">
      <c r="A585" s="6">
        <f>IFERROR(__xludf.DUMMYFUNCTION("""COMPUTED_VALUE"""),"Leadership in your life")</f>
        <v/>
      </c>
      <c r="B585" s="6">
        <f>IFERROR(__xludf.DUMMYFUNCTION("""COMPUTED_VALUE"""),"Space")</f>
        <v/>
      </c>
      <c r="C585" s="6">
        <f>IFERROR(__xludf.DUMMYFUNCTION("""COMPUTED_VALUE"""),"Discussion")</f>
        <v/>
      </c>
      <c r="D585" s="7">
        <f>IFERROR(__xludf.DUMMYFUNCTION("""COMPUTED_VALUE"""),"&lt;p&gt;Today we managed to consider a very important topic — the problem of leadership. It concerns not only your future work, but also your position in life in general. Indeed, depending on how you behave in certain situations, you construct the position of "&amp;"a leader or a victim. You decide whether to follow someone or lead and control other people. And now I want you to read 3 statements, based on what we managed to find out today. You need to agree or disagree and then just prove your point of view. &lt;br&gt;&lt;/p"&amp;"&gt;&lt;p&gt;1. You cannot be a leader if you aren’t in an authority position.&lt;/p&gt;&lt;p&gt;2. You cannot be a leader if you are an introvert.&lt;/p&gt;&lt;p&gt;3. If everyone is a leader, who will follow?&lt;/p&gt;&lt;p&gt;&lt;br&gt;&lt;/p&gt;")</f>
        <v/>
      </c>
      <c r="E585" s="7">
        <f>IFERROR(__xludf.DUMMYFUNCTION("""COMPUTED_VALUE"""),"No artifact embedded")</f>
        <v/>
      </c>
      <c r="F585" s="7" t="inlineStr">
        <is>
          <t>Students answer leadership questions and discuss scenarios with various leader types, with image/jpeg artifacts embedded in Items 1 and 2.</t>
        </is>
      </c>
      <c r="G585" s="8" t="inlineStr">
        <is>
          <t>0</t>
        </is>
      </c>
      <c r="H585" s="8" t="inlineStr">
        <is>
          <t>0</t>
        </is>
      </c>
      <c r="I585" s="8" t="inlineStr">
        <is>
          <t>1</t>
        </is>
      </c>
      <c r="J585" s="8" t="inlineStr">
        <is>
          <t>1</t>
        </is>
      </c>
      <c r="K585" s="9" t="inlineStr">
        <is>
          <t>1</t>
        </is>
      </c>
      <c r="L585" s="9" t="inlineStr">
        <is>
          <t>1</t>
        </is>
      </c>
      <c r="M585" s="9" t="inlineStr">
        <is>
          <t>0</t>
        </is>
      </c>
      <c r="N585" s="9" t="inlineStr">
        <is>
          <t>0</t>
        </is>
      </c>
      <c r="O585" s="10" t="inlineStr">
        <is>
          <t>1</t>
        </is>
      </c>
      <c r="P585" s="10" t="inlineStr">
        <is>
          <t>1</t>
        </is>
      </c>
      <c r="Q585" s="10" t="inlineStr">
        <is>
          <t>0</t>
        </is>
      </c>
      <c r="R585" s="10" t="inlineStr">
        <is>
          <t>0</t>
        </is>
      </c>
      <c r="S585" s="10" t="inlineStr">
        <is>
          <t>1</t>
        </is>
      </c>
    </row>
    <row r="586" ht="121" customHeight="1">
      <c r="A586" s="6">
        <f>IFERROR(__xludf.DUMMYFUNCTION("""COMPUTED_VALUE"""),"Leadership in your life")</f>
        <v/>
      </c>
      <c r="B586" s="6">
        <f>IFERROR(__xludf.DUMMYFUNCTION("""COMPUTED_VALUE"""),"Resource")</f>
        <v/>
      </c>
      <c r="C586" s="6">
        <f>IFERROR(__xludf.DUMMYFUNCTION("""COMPUTED_VALUE"""),"Think about it!")</f>
        <v/>
      </c>
      <c r="D586" s="7">
        <f>IFERROR(__xludf.DUMMYFUNCTION("""COMPUTED_VALUE"""),"No task description")</f>
        <v/>
      </c>
      <c r="E586" s="7">
        <f>IFERROR(__xludf.DUMMYFUNCTION("""COMPUTED_VALUE"""),"image/jpeg – A digital photograph or web image stored in a compressed format, often used for photography and web graphics.")</f>
        <v/>
      </c>
      <c r="F586" s="7" t="inlineStr">
        <is>
          <t>Students discuss leadership styles and motivations through role-play and statements, with embedded images in Items 1 and 3.</t>
        </is>
      </c>
      <c r="G586" s="8" t="inlineStr">
        <is>
          <t>1</t>
        </is>
      </c>
      <c r="H586" s="8" t="inlineStr">
        <is>
          <t>0</t>
        </is>
      </c>
      <c r="I586" s="8" t="inlineStr">
        <is>
          <t>0</t>
        </is>
      </c>
      <c r="J586" s="8" t="inlineStr">
        <is>
          <t>0</t>
        </is>
      </c>
      <c r="K586" s="9" t="inlineStr">
        <is>
          <t>0</t>
        </is>
      </c>
      <c r="L586" s="9" t="inlineStr">
        <is>
          <t>0</t>
        </is>
      </c>
      <c r="M586" s="9" t="inlineStr">
        <is>
          <t>0</t>
        </is>
      </c>
      <c r="N586" s="9" t="inlineStr">
        <is>
          <t>0</t>
        </is>
      </c>
      <c r="O586" s="10" t="inlineStr">
        <is>
          <t>0</t>
        </is>
      </c>
      <c r="P586" s="10" t="inlineStr">
        <is>
          <t>0</t>
        </is>
      </c>
      <c r="Q586" s="10" t="inlineStr">
        <is>
          <t>0</t>
        </is>
      </c>
      <c r="R586" s="10" t="inlineStr">
        <is>
          <t>0</t>
        </is>
      </c>
      <c r="S586" s="10" t="inlineStr">
        <is>
          <t>0</t>
        </is>
      </c>
    </row>
    <row r="587" ht="409.5" customHeight="1">
      <c r="A587" s="6">
        <f>IFERROR(__xludf.DUMMYFUNCTION("""COMPUTED_VALUE"""),"Leadership in your life")</f>
        <v/>
      </c>
      <c r="B587" s="6">
        <f>IFERROR(__xludf.DUMMYFUNCTION("""COMPUTED_VALUE"""),"Space")</f>
        <v/>
      </c>
      <c r="C587" s="6">
        <f>IFERROR(__xludf.DUMMYFUNCTION("""COMPUTED_VALUE"""),"Conclusion")</f>
        <v/>
      </c>
      <c r="D587" s="7">
        <f>IFERROR(__xludf.DUMMYFUNCTION("""COMPUTED_VALUE"""),"&lt;p&gt;Leadership is an important facet whether you are running a kitchen, an organization, or a country. It comes with its own set of responsibilities and challenges as each one of us has a distinct style of leadership and managing things. It is confusing to"&amp;" gauge what leadership style should be implemented when, where, and how. If you know your personality type and have a clarity the kind of leadership that resonates with you the most, it won’t be that difficult. &lt;/p&gt;&lt;p&gt;Now you can pass a test and find out "&amp;"what type of leader you really are. Try it!&lt;/p&gt;")</f>
        <v/>
      </c>
      <c r="E587" s="7">
        <f>IFERROR(__xludf.DUMMYFUNCTION("""COMPUTED_VALUE"""),"No artifact embedded")</f>
        <v/>
      </c>
      <c r="F587" s="7" t="inlineStr">
        <is>
          <t>Students were asked to read statements about leadership, agree or disagree, and provide proof. Embedded artifacts include a digital photograph and no other files.</t>
        </is>
      </c>
      <c r="G587" s="8" t="inlineStr">
        <is>
          <t>1</t>
        </is>
      </c>
      <c r="H587" s="8" t="inlineStr">
        <is>
          <t>0</t>
        </is>
      </c>
      <c r="I587" s="8" t="inlineStr">
        <is>
          <t>0</t>
        </is>
      </c>
      <c r="J587" s="8" t="inlineStr">
        <is>
          <t>0</t>
        </is>
      </c>
      <c r="K587" s="9" t="inlineStr">
        <is>
          <t>1</t>
        </is>
      </c>
      <c r="L587" s="9" t="inlineStr">
        <is>
          <t>0</t>
        </is>
      </c>
      <c r="M587" s="9" t="inlineStr">
        <is>
          <t>0</t>
        </is>
      </c>
      <c r="N587" s="9" t="inlineStr">
        <is>
          <t>0</t>
        </is>
      </c>
      <c r="O587" s="10" t="inlineStr">
        <is>
          <t>1</t>
        </is>
      </c>
      <c r="P587" s="10" t="inlineStr">
        <is>
          <t>0</t>
        </is>
      </c>
      <c r="Q587" s="10" t="inlineStr">
        <is>
          <t>0</t>
        </is>
      </c>
      <c r="R587" s="10" t="inlineStr">
        <is>
          <t>0</t>
        </is>
      </c>
      <c r="S587" s="10" t="inlineStr">
        <is>
          <t>0</t>
        </is>
      </c>
    </row>
    <row r="588" ht="133" customHeight="1">
      <c r="A588" s="6">
        <f>IFERROR(__xludf.DUMMYFUNCTION("""COMPUTED_VALUE"""),"Leadership in your life")</f>
        <v/>
      </c>
      <c r="B588" s="6">
        <f>IFERROR(__xludf.DUMMYFUNCTION("""COMPUTED_VALUE"""),"Resource")</f>
        <v/>
      </c>
      <c r="C588" s="6">
        <f>IFERROR(__xludf.DUMMYFUNCTION("""COMPUTED_VALUE"""),"Take the Quiz! What Type of Leader Are You? | SEU Online")</f>
        <v/>
      </c>
      <c r="D588" s="7">
        <f>IFERROR(__xludf.DUMMYFUNCTION("""COMPUTED_VALUE"""),"How do you lead, and how do you prefer to be led? What personality do you look for in a boss? What type of leadership style do you have? Take the quiz here.")</f>
        <v/>
      </c>
      <c r="E588" s="7">
        <f>IFERROR(__xludf.DUMMYFUNCTION("""COMPUTED_VALUE"""),"online.seu.edu: Southeastern University's online platform, offering articles and quizzes on topics like leadership styles.")</f>
        <v/>
      </c>
      <c r="F588" s="7" t="inlineStr">
        <is>
          <t>Students are instructed to reflect on leadership styles. Embedded artifacts include an image/jpeg file and a link to Southeastern University's online platform with leadership quizzes.</t>
        </is>
      </c>
      <c r="G588" s="8" t="inlineStr">
        <is>
          <t>0</t>
        </is>
      </c>
      <c r="H588" s="8" t="inlineStr">
        <is>
          <t>0</t>
        </is>
      </c>
      <c r="I588" s="8" t="inlineStr">
        <is>
          <t>0</t>
        </is>
      </c>
      <c r="J588" s="8" t="inlineStr">
        <is>
          <t>1</t>
        </is>
      </c>
      <c r="K588" s="9" t="inlineStr">
        <is>
          <t>1</t>
        </is>
      </c>
      <c r="L588" s="9" t="inlineStr">
        <is>
          <t>1</t>
        </is>
      </c>
      <c r="M588" s="9" t="inlineStr">
        <is>
          <t>0</t>
        </is>
      </c>
      <c r="N588" s="9" t="inlineStr">
        <is>
          <t>0</t>
        </is>
      </c>
      <c r="O588" s="10" t="inlineStr">
        <is>
          <t>1</t>
        </is>
      </c>
      <c r="P588" s="10" t="inlineStr">
        <is>
          <t>1</t>
        </is>
      </c>
      <c r="Q588" s="10" t="inlineStr">
        <is>
          <t>0</t>
        </is>
      </c>
      <c r="R588" s="10" t="inlineStr">
        <is>
          <t>0</t>
        </is>
      </c>
      <c r="S588" s="10" t="inlineStr">
        <is>
          <t>0</t>
        </is>
      </c>
    </row>
    <row r="589" ht="241" customHeight="1">
      <c r="A589" s="6">
        <f>IFERROR(__xludf.DUMMYFUNCTION("""COMPUTED_VALUE"""),"Leadership in your life")</f>
        <v/>
      </c>
      <c r="B589" s="6">
        <f>IFERROR(__xludf.DUMMYFUNCTION("""COMPUTED_VALUE"""),"Space")</f>
        <v/>
      </c>
      <c r="C589" s="6">
        <f>IFERROR(__xludf.DUMMYFUNCTION("""COMPUTED_VALUE"""),"Homework")</f>
        <v/>
      </c>
      <c r="D589" s="7">
        <f>IFERROR(__xludf.DUMMYFUNCTION("""COMPUTED_VALUE"""),"&lt;p&gt;At home you need:&lt;br&gt;1) to write an essay (400 words) on the topic ""Is it difficult to be a leader in a large team?""&lt;br&gt;2) to watch a video ""Great leadership starts with self-leadership"" given below. Write down and learn all unknown words, be ready"&amp;" for the simultaneous translation. &lt;/p&gt;")</f>
        <v/>
      </c>
      <c r="E589" s="7">
        <f>IFERROR(__xludf.DUMMYFUNCTION("""COMPUTED_VALUE"""),"No artifact embedded")</f>
        <v/>
      </c>
      <c r="F589" s="7" t="inlineStr">
        <is>
          <t>Students are instructed to take quizzes and write essays on leadership styles, with an online platform and video provided as resources.</t>
        </is>
      </c>
      <c r="G589" s="8" t="inlineStr">
        <is>
          <t>0</t>
        </is>
      </c>
      <c r="H589" s="8" t="inlineStr">
        <is>
          <t>0</t>
        </is>
      </c>
      <c r="I589" s="8" t="inlineStr">
        <is>
          <t>1</t>
        </is>
      </c>
      <c r="J589" s="8" t="inlineStr">
        <is>
          <t>0</t>
        </is>
      </c>
      <c r="K589" s="9" t="inlineStr">
        <is>
          <t>1</t>
        </is>
      </c>
      <c r="L589" s="9" t="inlineStr">
        <is>
          <t>1</t>
        </is>
      </c>
      <c r="M589" s="9" t="inlineStr">
        <is>
          <t>0</t>
        </is>
      </c>
      <c r="N589" s="9" t="inlineStr">
        <is>
          <t>0</t>
        </is>
      </c>
      <c r="O589" s="10" t="inlineStr">
        <is>
          <t>1</t>
        </is>
      </c>
      <c r="P589" s="10" t="inlineStr">
        <is>
          <t>0</t>
        </is>
      </c>
      <c r="Q589" s="10" t="inlineStr">
        <is>
          <t>0</t>
        </is>
      </c>
      <c r="R589" s="10" t="inlineStr">
        <is>
          <t>0</t>
        </is>
      </c>
      <c r="S589" s="10" t="inlineStr">
        <is>
          <t>0</t>
        </is>
      </c>
    </row>
    <row r="590" ht="409.5" customHeight="1">
      <c r="A590" s="6">
        <f>IFERROR(__xludf.DUMMYFUNCTION("""COMPUTED_VALUE"""),"Leadership in your life")</f>
        <v/>
      </c>
      <c r="B590" s="6">
        <f>IFERROR(__xludf.DUMMYFUNCTION("""COMPUTED_VALUE"""),"Resource")</f>
        <v/>
      </c>
      <c r="C590" s="6">
        <f>IFERROR(__xludf.DUMMYFUNCTION("""COMPUTED_VALUE"""),"Great leadership starts with self-leadership | Lars Sudmann | TEDxUCLouvain")</f>
        <v/>
      </c>
      <c r="D590" s="7">
        <f>IFERROR(__xludf.DUMMYFUNCTION("""COMPUTED_VALUE"""),"&lt;p&gt;At TEDxUtopia, the question was asked: What would leadership in Utopia look like? To start with, imagine the best leader you have ever worked with. How did he or she get to become this type of leader? Leadership lecturer and former corporate executive "&amp;"Lars Sudmann argues that it's likely that they learned to overcome the ""leadership formula of doom"" and then developed themselves as a leader. In this funny and invigorating talk Lars walks us through the personal journeys of great leaders, shows lesson"&amp;"s from the golden age of leadership and shares 3 strategies on self-leadership to develop yourself into a ""Utopia leader”.&lt;/p&gt;")</f>
        <v/>
      </c>
      <c r="E590" s="7">
        <f>IFERROR(__xludf.DUMMYFUNCTION("""COMPUTED_VALUE"""),"youtube.com: A widely known video-sharing platform where users can watch videos on a vast array of topics, including educational content.")</f>
        <v/>
      </c>
      <c r="F590" s="7" t="inlineStr">
        <is>
          <t>Students take quizzes, write essays, and watch videos on leadership styles, with embedded artifacts from online platforms like Southeastern University and YouTube.</t>
        </is>
      </c>
      <c r="G590" s="8" t="inlineStr">
        <is>
          <t>0</t>
        </is>
      </c>
      <c r="H590" s="8" t="inlineStr">
        <is>
          <t>0</t>
        </is>
      </c>
      <c r="I590" s="8" t="inlineStr">
        <is>
          <t>0</t>
        </is>
      </c>
      <c r="J590" s="8" t="inlineStr">
        <is>
          <t>0</t>
        </is>
      </c>
      <c r="K590" s="9" t="inlineStr">
        <is>
          <t>1</t>
        </is>
      </c>
      <c r="L590" s="9" t="inlineStr">
        <is>
          <t>0</t>
        </is>
      </c>
      <c r="M590" s="9" t="inlineStr">
        <is>
          <t>0</t>
        </is>
      </c>
      <c r="N590" s="9" t="inlineStr">
        <is>
          <t>0</t>
        </is>
      </c>
      <c r="O590" s="10" t="inlineStr">
        <is>
          <t>1</t>
        </is>
      </c>
      <c r="P590" s="10" t="inlineStr">
        <is>
          <t>0</t>
        </is>
      </c>
      <c r="Q590" s="10" t="inlineStr">
        <is>
          <t>0</t>
        </is>
      </c>
      <c r="R590" s="10" t="inlineStr">
        <is>
          <t>0</t>
        </is>
      </c>
      <c r="S590" s="10" t="inlineStr">
        <is>
          <t>0</t>
        </is>
      </c>
    </row>
    <row r="591" ht="37" customHeight="1">
      <c r="A591" s="6">
        <f>IFERROR(__xludf.DUMMYFUNCTION("""COMPUTED_VALUE"""),"PH OF SOLUTIONS")</f>
        <v/>
      </c>
      <c r="B591" s="6">
        <f>IFERROR(__xludf.DUMMYFUNCTION("""COMPUTED_VALUE"""),"Space")</f>
        <v/>
      </c>
      <c r="C591" s="6">
        <f>IFERROR(__xludf.DUMMYFUNCTION("""COMPUTED_VALUE"""),"ENGAGE")</f>
        <v/>
      </c>
      <c r="D591" s="7">
        <f>IFERROR(__xludf.DUMMYFUNCTION("""COMPUTED_VALUE"""),"&lt;p&gt;Form 2The ph of solutions lesson 2&lt;/p&gt;")</f>
        <v/>
      </c>
      <c r="E591" s="7">
        <f>IFERROR(__xludf.DUMMYFUNCTION("""COMPUTED_VALUE"""),"No artifact embedded")</f>
        <v/>
      </c>
      <c r="F591" s="7" t="inlineStr">
        <is>
          <t>Students were instructed to write essays and watch videos on leadership topics, with some items having embedded artifacts like YouTube videos.</t>
        </is>
      </c>
      <c r="G591" s="8" t="inlineStr">
        <is>
          <t>1</t>
        </is>
      </c>
      <c r="H591" s="8" t="inlineStr">
        <is>
          <t>0</t>
        </is>
      </c>
      <c r="I591" s="8" t="inlineStr">
        <is>
          <t>0</t>
        </is>
      </c>
      <c r="J591" s="8" t="inlineStr">
        <is>
          <t>0</t>
        </is>
      </c>
      <c r="K591" s="9" t="inlineStr">
        <is>
          <t>1</t>
        </is>
      </c>
      <c r="L591" s="9" t="inlineStr">
        <is>
          <t>0</t>
        </is>
      </c>
      <c r="M591" s="9" t="inlineStr">
        <is>
          <t>0</t>
        </is>
      </c>
      <c r="N591" s="9" t="inlineStr">
        <is>
          <t>0</t>
        </is>
      </c>
      <c r="O591" s="10" t="inlineStr">
        <is>
          <t>0</t>
        </is>
      </c>
      <c r="P591" s="10" t="inlineStr">
        <is>
          <t>0</t>
        </is>
      </c>
      <c r="Q591" s="10" t="inlineStr">
        <is>
          <t>0</t>
        </is>
      </c>
      <c r="R591" s="10" t="inlineStr">
        <is>
          <t>0</t>
        </is>
      </c>
      <c r="S591" s="10" t="inlineStr">
        <is>
          <t>0</t>
        </is>
      </c>
    </row>
    <row r="592" ht="97" customHeight="1">
      <c r="A592" s="6">
        <f>IFERROR(__xludf.DUMMYFUNCTION("""COMPUTED_VALUE"""),"PH OF SOLUTIONS")</f>
        <v/>
      </c>
      <c r="B592" s="6">
        <f>IFERROR(__xludf.DUMMYFUNCTION("""COMPUTED_VALUE"""),"Resource")</f>
        <v/>
      </c>
      <c r="C592" s="6">
        <f>IFERROR(__xludf.DUMMYFUNCTION("""COMPUTED_VALUE"""),"observe the folowing diagram and answer the questios that follow,.graasp")</f>
        <v/>
      </c>
      <c r="D592" s="7">
        <f>IFERROR(__xludf.DUMMYFUNCTION("""COMPUTED_VALUE"""),"&lt;p&gt;predict the colour changes.&lt;/p&gt;&lt;p&gt;what happens if water is add to the solution?&lt;/p&gt;&lt;p&gt;&lt;br&gt;&lt;/p&gt;")</f>
        <v/>
      </c>
      <c r="E592" s="7">
        <f>IFERROR(__xludf.DUMMYFUNCTION("""COMPUTED_VALUE"""),"No artifact embedded")</f>
        <v/>
      </c>
      <c r="F592" s="7" t="inlineStr">
        <is>
          <t>Students are given tasks with descriptions and some have embedded artifacts like a YouTube video, while others have none.</t>
        </is>
      </c>
      <c r="G592" s="8" t="inlineStr">
        <is>
          <t>0</t>
        </is>
      </c>
      <c r="H592" s="8" t="inlineStr">
        <is>
          <t>0</t>
        </is>
      </c>
      <c r="I592" s="8" t="inlineStr">
        <is>
          <t>0</t>
        </is>
      </c>
      <c r="J592" s="8" t="inlineStr">
        <is>
          <t>0</t>
        </is>
      </c>
      <c r="K592" s="9" t="inlineStr">
        <is>
          <t>1</t>
        </is>
      </c>
      <c r="L592" s="9" t="inlineStr">
        <is>
          <t>0</t>
        </is>
      </c>
      <c r="M592" s="9" t="inlineStr">
        <is>
          <t>0</t>
        </is>
      </c>
      <c r="N592" s="9" t="inlineStr">
        <is>
          <t>0</t>
        </is>
      </c>
      <c r="O592" s="10" t="inlineStr">
        <is>
          <t>1</t>
        </is>
      </c>
      <c r="P592" s="10" t="inlineStr">
        <is>
          <t>1</t>
        </is>
      </c>
      <c r="Q592" s="10" t="inlineStr">
        <is>
          <t>1</t>
        </is>
      </c>
      <c r="R592" s="10" t="inlineStr">
        <is>
          <t>0</t>
        </is>
      </c>
      <c r="S592" s="10" t="inlineStr">
        <is>
          <t>0</t>
        </is>
      </c>
    </row>
    <row r="593" ht="409.5" customHeight="1">
      <c r="A593" s="6">
        <f>IFERROR(__xludf.DUMMYFUNCTION("""COMPUTED_VALUE"""),"PH OF SOLUTIONS")</f>
        <v/>
      </c>
      <c r="B593" s="6">
        <f>IFERROR(__xludf.DUMMYFUNCTION("""COMPUTED_VALUE"""),"Application")</f>
        <v/>
      </c>
      <c r="C593" s="6">
        <f>IFERROR(__xludf.DUMMYFUNCTION("""COMPUTED_VALUE"""),"pH Scale: Basics")</f>
        <v/>
      </c>
      <c r="D593" s="7">
        <f>IFERROR(__xludf.DUMMYFUNCTION("""COMPUTED_VALUE"""),"No task description")</f>
        <v/>
      </c>
      <c r="E593" s="7">
        <f>IFERROR(__xludf.DUMMYFUNCTION("""COMPUTED_VALUE"""),"Golabz app/lab: &lt;p&gt;&lt;span style=""color: rgb(0, 0, 0); font-family: arial, sans, sans-serif; font-size: 13px; line-height: normal; white-space: pre-wrap;""&gt;Test the pH of things like coffee, spit, and soap to determine whether each is acidic, basic, or neu"&amp;"tral. Visualize the relative number of hydroxide ions and hydronium ions in solution. Switch between logarithmic and linear scales. Investigate whether changing the volume or diluting with water affects the pH. Or you can design your own liquid!&lt;/span&gt;&lt;/p"&amp;"&gt;'")</f>
        <v/>
      </c>
      <c r="F593" s="7" t="inlineStr">
        <is>
          <t>Students predict color changes and test pH levels using Golabz app, exploring acidic, basic, and neutral solutions.</t>
        </is>
      </c>
      <c r="G593" s="8" t="inlineStr">
        <is>
          <t>0</t>
        </is>
      </c>
      <c r="H593" s="8" t="inlineStr">
        <is>
          <t>1</t>
        </is>
      </c>
      <c r="I593" s="8" t="inlineStr">
        <is>
          <t>1</t>
        </is>
      </c>
      <c r="J593" s="8" t="inlineStr">
        <is>
          <t>1</t>
        </is>
      </c>
      <c r="K593" s="9" t="inlineStr">
        <is>
          <t>1</t>
        </is>
      </c>
      <c r="L593" s="9" t="inlineStr">
        <is>
          <t>0</t>
        </is>
      </c>
      <c r="M593" s="9" t="inlineStr">
        <is>
          <t>0</t>
        </is>
      </c>
      <c r="N593" s="9" t="inlineStr">
        <is>
          <t>0</t>
        </is>
      </c>
      <c r="O593" s="10" t="inlineStr">
        <is>
          <t>1</t>
        </is>
      </c>
      <c r="P593" s="10" t="inlineStr">
        <is>
          <t>1</t>
        </is>
      </c>
      <c r="Q593" s="10" t="inlineStr">
        <is>
          <t>1</t>
        </is>
      </c>
      <c r="R593" s="10" t="inlineStr">
        <is>
          <t>1</t>
        </is>
      </c>
      <c r="S593" s="10" t="inlineStr">
        <is>
          <t>0</t>
        </is>
      </c>
    </row>
    <row r="594" ht="217" customHeight="1">
      <c r="A594" s="6">
        <f>IFERROR(__xludf.DUMMYFUNCTION("""COMPUTED_VALUE"""),"PH OF SOLUTIONS")</f>
        <v/>
      </c>
      <c r="B594" s="6">
        <f>IFERROR(__xludf.DUMMYFUNCTION("""COMPUTED_VALUE"""),"Space")</f>
        <v/>
      </c>
      <c r="C594" s="6">
        <f>IFERROR(__xludf.DUMMYFUNCTION("""COMPUTED_VALUE"""),"EXPLORE")</f>
        <v/>
      </c>
      <c r="D594" s="7">
        <f>IFERROR(__xludf.DUMMYFUNCTION("""COMPUTED_VALUE"""),"&lt;p&gt;Procedure:&lt;/p&gt;&lt;p&gt;1)Test the pH of  coffee  and soap to determine whether each is acidic, basic, or neutral. &lt;/p&gt;&lt;p&gt;&lt;br&gt;&lt;/p&gt;&lt;p&gt;2)Investigate whether changing the volume or diluting with water affects the pH.&lt;/p&gt;&lt;p&gt;&lt;br&gt;&lt;/p&gt;&lt;p&gt;&lt;br&gt;&lt;br&gt;&lt;/p&gt;")</f>
        <v/>
      </c>
      <c r="E594" s="7">
        <f>IFERROR(__xludf.DUMMYFUNCTION("""COMPUTED_VALUE"""),"No artifact embedded")</f>
        <v/>
      </c>
      <c r="F594" s="7" t="inlineStr">
        <is>
          <t>Students predict color changes and test pH levels using the Golabz app/lab, investigating effects of dilution and volume changes on acidic, basic, or neutral substances.</t>
        </is>
      </c>
      <c r="G594" s="8" t="inlineStr">
        <is>
          <t>0</t>
        </is>
      </c>
      <c r="H594" s="8" t="inlineStr">
        <is>
          <t>1</t>
        </is>
      </c>
      <c r="I594" s="8" t="inlineStr">
        <is>
          <t>1</t>
        </is>
      </c>
      <c r="J594" s="8" t="inlineStr">
        <is>
          <t>0</t>
        </is>
      </c>
      <c r="K594" s="9" t="inlineStr">
        <is>
          <t>1</t>
        </is>
      </c>
      <c r="L594" s="9" t="inlineStr">
        <is>
          <t>0</t>
        </is>
      </c>
      <c r="M594" s="9" t="inlineStr">
        <is>
          <t>0</t>
        </is>
      </c>
      <c r="N594" s="9" t="inlineStr">
        <is>
          <t>0</t>
        </is>
      </c>
      <c r="O594" s="10" t="inlineStr">
        <is>
          <t>1</t>
        </is>
      </c>
      <c r="P594" s="10" t="inlineStr">
        <is>
          <t>1</t>
        </is>
      </c>
      <c r="Q594" s="10" t="inlineStr">
        <is>
          <t>1</t>
        </is>
      </c>
      <c r="R594" s="10" t="inlineStr">
        <is>
          <t>0</t>
        </is>
      </c>
      <c r="S594" s="10" t="inlineStr">
        <is>
          <t>0</t>
        </is>
      </c>
    </row>
    <row r="595" ht="73" customHeight="1">
      <c r="A595" s="6">
        <f>IFERROR(__xludf.DUMMYFUNCTION("""COMPUTED_VALUE"""),"PH OF SOLUTIONS")</f>
        <v/>
      </c>
      <c r="B595" s="6">
        <f>IFERROR(__xludf.DUMMYFUNCTION("""COMPUTED_VALUE"""),"Application")</f>
        <v/>
      </c>
      <c r="C595" s="6">
        <f>IFERROR(__xludf.DUMMYFUNCTION("""COMPUTED_VALUE"""),"Determination of pH")</f>
        <v/>
      </c>
      <c r="D595" s="7">
        <f>IFERROR(__xludf.DUMMYFUNCTION("""COMPUTED_VALUE"""),"No task description")</f>
        <v/>
      </c>
      <c r="E595" s="7">
        <f>IFERROR(__xludf.DUMMYFUNCTION("""COMPUTED_VALUE"""),"Golabz app/lab: ""&lt;p&gt;With this lab you will learn how to determine the ph of bases and acids.&lt;/p&gt;""")</f>
        <v/>
      </c>
      <c r="F595" s="7" t="inlineStr">
        <is>
          <t>Students test pH levels, visualize ion concentrations, and investigate volume/dilution effects using Golabz app/lab.</t>
        </is>
      </c>
      <c r="G595" s="8" t="inlineStr">
        <is>
          <t>1</t>
        </is>
      </c>
      <c r="H595" s="8" t="inlineStr">
        <is>
          <t>1</t>
        </is>
      </c>
      <c r="I595" s="8" t="inlineStr">
        <is>
          <t>0</t>
        </is>
      </c>
      <c r="J595" s="8" t="inlineStr">
        <is>
          <t>1</t>
        </is>
      </c>
      <c r="K595" s="9" t="inlineStr">
        <is>
          <t>1</t>
        </is>
      </c>
      <c r="L595" s="9" t="inlineStr">
        <is>
          <t>0</t>
        </is>
      </c>
      <c r="M595" s="9" t="inlineStr">
        <is>
          <t>0</t>
        </is>
      </c>
      <c r="N595" s="9" t="inlineStr">
        <is>
          <t>0</t>
        </is>
      </c>
      <c r="O595" s="10" t="inlineStr">
        <is>
          <t>0</t>
        </is>
      </c>
      <c r="P595" s="10" t="inlineStr">
        <is>
          <t>0</t>
        </is>
      </c>
      <c r="Q595" s="10" t="inlineStr">
        <is>
          <t>1</t>
        </is>
      </c>
      <c r="R595" s="10" t="inlineStr">
        <is>
          <t>0</t>
        </is>
      </c>
      <c r="S595" s="10" t="inlineStr">
        <is>
          <t>0</t>
        </is>
      </c>
    </row>
    <row r="596" ht="25" customHeight="1">
      <c r="A596" s="6">
        <f>IFERROR(__xludf.DUMMYFUNCTION("""COMPUTED_VALUE"""),"PH OF SOLUTIONS")</f>
        <v/>
      </c>
      <c r="B596" s="6">
        <f>IFERROR(__xludf.DUMMYFUNCTION("""COMPUTED_VALUE"""),"Space")</f>
        <v/>
      </c>
      <c r="C596" s="6">
        <f>IFERROR(__xludf.DUMMYFUNCTION("""COMPUTED_VALUE"""),"EXPLAIN")</f>
        <v/>
      </c>
      <c r="D596" s="7">
        <f>IFERROR(__xludf.DUMMYFUNCTION("""COMPUTED_VALUE"""),"No task description")</f>
        <v/>
      </c>
      <c r="E596" s="7">
        <f>IFERROR(__xludf.DUMMYFUNCTION("""COMPUTED_VALUE"""),"No artifact embedded")</f>
        <v/>
      </c>
      <c r="F596" s="7" t="inlineStr">
        <is>
          <t>Students test pH of coffee and soap, investigating effects of volume changes. Artifacts include a Golabz app/lab on pH determination.</t>
        </is>
      </c>
      <c r="G596" s="8" t="inlineStr">
        <is>
          <t>1</t>
        </is>
      </c>
      <c r="H596" s="8" t="inlineStr">
        <is>
          <t>0</t>
        </is>
      </c>
      <c r="I596" s="8" t="inlineStr">
        <is>
          <t>0</t>
        </is>
      </c>
      <c r="J596" s="8" t="inlineStr">
        <is>
          <t>0</t>
        </is>
      </c>
      <c r="K596" s="9" t="inlineStr">
        <is>
          <t>0</t>
        </is>
      </c>
      <c r="L596" s="9" t="inlineStr">
        <is>
          <t>0</t>
        </is>
      </c>
      <c r="M596" s="9" t="inlineStr">
        <is>
          <t>0</t>
        </is>
      </c>
      <c r="N596" s="9" t="inlineStr">
        <is>
          <t>0</t>
        </is>
      </c>
      <c r="O596" s="10" t="inlineStr">
        <is>
          <t>0</t>
        </is>
      </c>
      <c r="P596" s="10" t="inlineStr">
        <is>
          <t>0</t>
        </is>
      </c>
      <c r="Q596" s="10" t="inlineStr">
        <is>
          <t>0</t>
        </is>
      </c>
      <c r="R596" s="10" t="inlineStr">
        <is>
          <t>0</t>
        </is>
      </c>
      <c r="S596" s="10" t="inlineStr">
        <is>
          <t>0</t>
        </is>
      </c>
    </row>
    <row r="597" ht="109" customHeight="1">
      <c r="A597" s="6">
        <f>IFERROR(__xludf.DUMMYFUNCTION("""COMPUTED_VALUE"""),"PH OF SOLUTIONS")</f>
        <v/>
      </c>
      <c r="B597" s="6">
        <f>IFERROR(__xludf.DUMMYFUNCTION("""COMPUTED_VALUE"""),"Space")</f>
        <v/>
      </c>
      <c r="C597" s="6">
        <f>IFERROR(__xludf.DUMMYFUNCTION("""COMPUTED_VALUE"""),"ELABORATE")</f>
        <v/>
      </c>
      <c r="D597" s="7">
        <f>IFERROR(__xludf.DUMMYFUNCTION("""COMPUTED_VALUE"""),"&lt;p&gt;when an acid reacts with a basic solution it forms a neutral solution.&lt;/p&gt;&lt;p&gt;An acid has a ph of 1-6 while a base as a ph of 8-14.&lt;/p&gt;")</f>
        <v/>
      </c>
      <c r="E597" s="7">
        <f>IFERROR(__xludf.DUMMYFUNCTION("""COMPUTED_VALUE"""),"No artifact embedded")</f>
        <v/>
      </c>
      <c r="F597" s="7" t="inlineStr">
        <is>
          <t>Students learn about pH levels, acids, and bases. Embedded artifacts include the Golabz app/lab in Item 1.</t>
        </is>
      </c>
      <c r="G597" s="8" t="inlineStr">
        <is>
          <t>1</t>
        </is>
      </c>
      <c r="H597" s="8" t="inlineStr">
        <is>
          <t>0</t>
        </is>
      </c>
      <c r="I597" s="8" t="inlineStr">
        <is>
          <t>0</t>
        </is>
      </c>
      <c r="J597" s="8" t="inlineStr">
        <is>
          <t>0</t>
        </is>
      </c>
      <c r="K597" s="9" t="inlineStr">
        <is>
          <t>1</t>
        </is>
      </c>
      <c r="L597" s="9" t="inlineStr">
        <is>
          <t>0</t>
        </is>
      </c>
      <c r="M597" s="9" t="inlineStr">
        <is>
          <t>0</t>
        </is>
      </c>
      <c r="N597" s="9" t="inlineStr">
        <is>
          <t>0</t>
        </is>
      </c>
      <c r="O597" s="10" t="inlineStr">
        <is>
          <t>0</t>
        </is>
      </c>
      <c r="P597" s="10" t="inlineStr">
        <is>
          <t>0</t>
        </is>
      </c>
      <c r="Q597" s="10" t="inlineStr">
        <is>
          <t>0</t>
        </is>
      </c>
      <c r="R597" s="10" t="inlineStr">
        <is>
          <t>0</t>
        </is>
      </c>
      <c r="S597" s="10" t="inlineStr">
        <is>
          <t>0</t>
        </is>
      </c>
    </row>
    <row r="598" ht="409.5" customHeight="1">
      <c r="A598" s="6">
        <f>IFERROR(__xludf.DUMMYFUNCTION("""COMPUTED_VALUE"""),"PH OF SOLUTIONS")</f>
        <v/>
      </c>
      <c r="B598" s="6">
        <f>IFERROR(__xludf.DUMMYFUNCTION("""COMPUTED_VALUE"""),"Application")</f>
        <v/>
      </c>
      <c r="C598" s="6">
        <f>IFERROR(__xludf.DUMMYFUNCTION("""COMPUTED_VALUE"""),"Acid base solution")</f>
        <v/>
      </c>
      <c r="D598" s="7">
        <f>IFERROR(__xludf.DUMMYFUNCTION("""COMPUTED_VALUE"""),"No task description")</f>
        <v/>
      </c>
      <c r="E598" s="7">
        <f>IFERROR(__xludf.DUMMYFUNCTION("""COMPUTED_VALUE"""),"Golabz app/lab: ""&lt;p&gt;How do strong and weak acids differ? Use lab tools on your computer to find out! Dip the paper or the probe into solution to measure the pH, or put in the electrodes to measure the conductivity. Then see how concentration and strength"&amp;" affect pH. Can a weak acid solution have the same pH as a strong acid solution? Given acids or bases at the same concentration, demonstrate understanding of acid and base strength by: 1. Relating the strength of an acid or base to the extent to which it "&amp;"dissociates in water 2. Identifying all of the molecules and ions that are present in a given acid or base solution. 3.Comparing the relative concentrations of molecules and ions in weak versus strong acid (or base) solutions. 4.Describing the similaritie"&amp;"s and differences between strong acids and weak acids or strong bases and weak bases. Demonstrate understanding of solution concentration by: 1. Describing the similarities and differences between concentrated and dilute solutions. 2. Comparing the concen"&amp;"trations of all molecules and ions in concentrated versus dilute solutions of a particular acid or base. Use both the strength of the acid or base and the concentration of its solution in order to:1. Describe in words and pictures (graphs or molecular dra"&amp;"wings) what it means if you have a: Concentrated solution of a weak acid (or base) or Concentrated solution of a strong acid (or base) or other combinations. 2. Investigate different combinations of strength/concentrations that result in same pH values. D"&amp;"escribe how common tools (pH meter, conductivity, pH paper) help identify whether a solution is an acid or base and strong or weak and concentrated or dilute.&lt;/p&gt;\r\n""")</f>
        <v/>
      </c>
      <c r="F598" s="7" t="inlineStr">
        <is>
          <t>Students are given tasks on acids and bases with no descriptions for Items 1 and 3, while Item 2 provides a description. Item 3 has an embedded artifact, the Golabz app/lab, for exploring acid and base strengths.</t>
        </is>
      </c>
      <c r="G598" s="8" t="inlineStr">
        <is>
          <t>0</t>
        </is>
      </c>
      <c r="H598" s="8" t="inlineStr">
        <is>
          <t>1</t>
        </is>
      </c>
      <c r="I598" s="8" t="inlineStr">
        <is>
          <t>1</t>
        </is>
      </c>
      <c r="J598" s="8" t="inlineStr">
        <is>
          <t>1</t>
        </is>
      </c>
      <c r="K598" s="9" t="inlineStr">
        <is>
          <t>1</t>
        </is>
      </c>
      <c r="L598" s="9" t="inlineStr">
        <is>
          <t>1</t>
        </is>
      </c>
      <c r="M598" s="9" t="inlineStr">
        <is>
          <t>0</t>
        </is>
      </c>
      <c r="N598" s="9" t="inlineStr">
        <is>
          <t>0</t>
        </is>
      </c>
      <c r="O598" s="10" t="inlineStr">
        <is>
          <t>1</t>
        </is>
      </c>
      <c r="P598" s="10" t="inlineStr">
        <is>
          <t>1</t>
        </is>
      </c>
      <c r="Q598" s="10" t="inlineStr">
        <is>
          <t>1</t>
        </is>
      </c>
      <c r="R598" s="10" t="inlineStr">
        <is>
          <t>1</t>
        </is>
      </c>
      <c r="S598" s="10" t="inlineStr">
        <is>
          <t>0</t>
        </is>
      </c>
    </row>
    <row r="599" ht="25" customHeight="1">
      <c r="A599" s="6">
        <f>IFERROR(__xludf.DUMMYFUNCTION("""COMPUTED_VALUE"""),"PH OF SOLUTIONS")</f>
        <v/>
      </c>
      <c r="B599" s="6">
        <f>IFERROR(__xludf.DUMMYFUNCTION("""COMPUTED_VALUE"""),"Space")</f>
        <v/>
      </c>
      <c r="C599" s="6">
        <f>IFERROR(__xludf.DUMMYFUNCTION("""COMPUTED_VALUE"""),"EVALUATE")</f>
        <v/>
      </c>
      <c r="D599" s="7">
        <f>IFERROR(__xludf.DUMMYFUNCTION("""COMPUTED_VALUE"""),"No task description")</f>
        <v/>
      </c>
      <c r="E599" s="7">
        <f>IFERROR(__xludf.DUMMYFUNCTION("""COMPUTED_VALUE"""),"No artifact embedded")</f>
        <v/>
      </c>
      <c r="F599" s="7" t="inlineStr">
        <is>
          <t>Students are instructed to explore acid-base reactions and properties using the Golabz app/lab, with tasks including measuring pH, identifying molecules and ions, and comparing concentrations.</t>
        </is>
      </c>
      <c r="G599" s="8" t="inlineStr">
        <is>
          <t>1</t>
        </is>
      </c>
      <c r="H599" s="8" t="inlineStr">
        <is>
          <t>0</t>
        </is>
      </c>
      <c r="I599" s="8" t="inlineStr">
        <is>
          <t>0</t>
        </is>
      </c>
      <c r="J599" s="8" t="inlineStr">
        <is>
          <t>0</t>
        </is>
      </c>
      <c r="K599" s="9" t="inlineStr">
        <is>
          <t>0</t>
        </is>
      </c>
      <c r="L599" s="9" t="inlineStr">
        <is>
          <t>0</t>
        </is>
      </c>
      <c r="M599" s="9" t="inlineStr">
        <is>
          <t>0</t>
        </is>
      </c>
      <c r="N599" s="9" t="inlineStr">
        <is>
          <t>0</t>
        </is>
      </c>
      <c r="O599" s="10" t="inlineStr">
        <is>
          <t>0</t>
        </is>
      </c>
      <c r="P599" s="10" t="inlineStr">
        <is>
          <t>0</t>
        </is>
      </c>
      <c r="Q599" s="10" t="inlineStr">
        <is>
          <t>0</t>
        </is>
      </c>
      <c r="R599" s="10" t="inlineStr">
        <is>
          <t>0</t>
        </is>
      </c>
      <c r="S599" s="10" t="inlineStr">
        <is>
          <t>0</t>
        </is>
      </c>
    </row>
    <row r="600" ht="329" customHeight="1">
      <c r="A600" s="6">
        <f>IFERROR(__xludf.DUMMYFUNCTION("""COMPUTED_VALUE"""),"PH OF SOLUTIONS")</f>
        <v/>
      </c>
      <c r="B600" s="6">
        <f>IFERROR(__xludf.DUMMYFUNCTION("""COMPUTED_VALUE"""),"Application")</f>
        <v/>
      </c>
      <c r="C600" s="6">
        <f>IFERROR(__xludf.DUMMYFUNCTION("""COMPUTED_VALUE"""),"Input Box")</f>
        <v/>
      </c>
      <c r="D600" s="7">
        <f>IFERROR(__xludf.DUMMYFUNCTION("""COMPUTED_VALUE"""),"No task description")</f>
        <v/>
      </c>
      <c r="E6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0" s="7" t="inlineStr">
        <is>
          <t>Students use Golabz lab tools to explore acid and base strength, concentration, and pH, completing tasks like relating strength to dissociation and comparing concentrations.</t>
        </is>
      </c>
      <c r="G600" s="8" t="inlineStr">
        <is>
          <t>0</t>
        </is>
      </c>
      <c r="H600" s="8" t="inlineStr">
        <is>
          <t>1</t>
        </is>
      </c>
      <c r="I600" s="8" t="inlineStr">
        <is>
          <t>1</t>
        </is>
      </c>
      <c r="J600" s="8" t="inlineStr">
        <is>
          <t>1</t>
        </is>
      </c>
      <c r="K600" s="9" t="inlineStr">
        <is>
          <t>0</t>
        </is>
      </c>
      <c r="L600" s="9" t="inlineStr">
        <is>
          <t>1</t>
        </is>
      </c>
      <c r="M600" s="9" t="inlineStr">
        <is>
          <t>1</t>
        </is>
      </c>
      <c r="N600" s="9" t="inlineStr">
        <is>
          <t>1</t>
        </is>
      </c>
      <c r="O600" s="10" t="inlineStr">
        <is>
          <t>0</t>
        </is>
      </c>
      <c r="P600" s="10" t="inlineStr">
        <is>
          <t>0</t>
        </is>
      </c>
      <c r="Q600" s="10" t="inlineStr">
        <is>
          <t>0</t>
        </is>
      </c>
      <c r="R600" s="10" t="inlineStr">
        <is>
          <t>0</t>
        </is>
      </c>
      <c r="S600" s="10" t="inlineStr">
        <is>
          <t>1</t>
        </is>
      </c>
    </row>
    <row r="601" ht="157" customHeight="1">
      <c r="A601" s="6">
        <f>IFERROR(__xludf.DUMMYFUNCTION("""COMPUTED_VALUE"""),"PH OF SOLUTIONS")</f>
        <v/>
      </c>
      <c r="B601" s="6">
        <f>IFERROR(__xludf.DUMMYFUNCTION("""COMPUTED_VALUE"""),"Application")</f>
        <v/>
      </c>
      <c r="C601" s="6">
        <f>IFERROR(__xludf.DUMMYFUNCTION("""COMPUTED_VALUE"""),"File Drop")</f>
        <v/>
      </c>
      <c r="D601" s="7">
        <f>IFERROR(__xludf.DUMMYFUNCTION("""COMPUTED_VALUE"""),"No task description")</f>
        <v/>
      </c>
      <c r="E601" s="7">
        <f>IFERROR(__xludf.DUMMYFUNCTION("""COMPUTED_VALUE"""),"Golabz app/lab: ""&lt;p&gt;This app allows students to upload files, e.g., assignment and reports, to the Inquiry learning Space. The app also allows teachers to download the uploaded files.&lt;/p&gt;\r\n""")</f>
        <v/>
      </c>
      <c r="F601" s="7" t="inlineStr">
        <is>
          <t>No task descriptions are provided, but Items 2 and 3 have embedded artifacts: a note-taking app and a file uploader, respectively.</t>
        </is>
      </c>
      <c r="G601" s="8" t="inlineStr">
        <is>
          <t>0</t>
        </is>
      </c>
      <c r="H601" s="8" t="inlineStr">
        <is>
          <t>0</t>
        </is>
      </c>
      <c r="I601" s="8" t="inlineStr">
        <is>
          <t>0</t>
        </is>
      </c>
      <c r="J601" s="8" t="inlineStr">
        <is>
          <t>0</t>
        </is>
      </c>
      <c r="K601" s="9" t="inlineStr">
        <is>
          <t>0</t>
        </is>
      </c>
      <c r="L601" s="9" t="inlineStr">
        <is>
          <t>1</t>
        </is>
      </c>
      <c r="M601" s="9" t="inlineStr">
        <is>
          <t>0</t>
        </is>
      </c>
      <c r="N601" s="9" t="inlineStr">
        <is>
          <t>0</t>
        </is>
      </c>
      <c r="O601" s="10" t="inlineStr">
        <is>
          <t>0</t>
        </is>
      </c>
      <c r="P601" s="10" t="inlineStr">
        <is>
          <t>0</t>
        </is>
      </c>
      <c r="Q601" s="10" t="inlineStr">
        <is>
          <t>0</t>
        </is>
      </c>
      <c r="R601" s="10" t="inlineStr">
        <is>
          <t>0</t>
        </is>
      </c>
      <c r="S601" s="10" t="inlineStr">
        <is>
          <t>0</t>
        </is>
      </c>
    </row>
    <row r="602" ht="329" customHeight="1">
      <c r="A602" s="6">
        <f>IFERROR(__xludf.DUMMYFUNCTION("""COMPUTED_VALUE"""),"PH OF SOLUTIONS")</f>
        <v/>
      </c>
      <c r="B602" s="6">
        <f>IFERROR(__xludf.DUMMYFUNCTION("""COMPUTED_VALUE"""),"Application")</f>
        <v/>
      </c>
      <c r="C602" s="6">
        <f>IFERROR(__xludf.DUMMYFUNCTION("""COMPUTED_VALUE"""),"Input Box (1)")</f>
        <v/>
      </c>
      <c r="D602" s="7">
        <f>IFERROR(__xludf.DUMMYFUNCTION("""COMPUTED_VALUE"""),"No task description")</f>
        <v/>
      </c>
      <c r="E6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2" s="7" t="inlineStr">
        <is>
          <t>Students use Golabz apps for note-taking and file uploads, with options for teacher oversight and collaboration mode.</t>
        </is>
      </c>
      <c r="G602" s="8" t="inlineStr">
        <is>
          <t>0</t>
        </is>
      </c>
      <c r="H602" s="8" t="inlineStr">
        <is>
          <t>1</t>
        </is>
      </c>
      <c r="I602" s="8" t="inlineStr">
        <is>
          <t>1</t>
        </is>
      </c>
      <c r="J602" s="8" t="inlineStr">
        <is>
          <t>1</t>
        </is>
      </c>
      <c r="K602" s="9" t="inlineStr">
        <is>
          <t>1</t>
        </is>
      </c>
      <c r="L602" s="9" t="inlineStr">
        <is>
          <t>1</t>
        </is>
      </c>
      <c r="M602" s="9" t="inlineStr">
        <is>
          <t>1</t>
        </is>
      </c>
      <c r="N602" s="9" t="inlineStr">
        <is>
          <t>1</t>
        </is>
      </c>
      <c r="O602" s="10" t="inlineStr">
        <is>
          <t>0</t>
        </is>
      </c>
      <c r="P602" s="10" t="inlineStr">
        <is>
          <t>0</t>
        </is>
      </c>
      <c r="Q602" s="10" t="inlineStr">
        <is>
          <t>0</t>
        </is>
      </c>
      <c r="R602" s="10" t="inlineStr">
        <is>
          <t>0</t>
        </is>
      </c>
      <c r="S602" s="10" t="inlineStr">
        <is>
          <t>1</t>
        </is>
      </c>
    </row>
    <row r="603" ht="329" customHeight="1">
      <c r="A603" s="6">
        <f>IFERROR(__xludf.DUMMYFUNCTION("""COMPUTED_VALUE"""),"PH OF SOLUTIONS")</f>
        <v/>
      </c>
      <c r="B603" s="6">
        <f>IFERROR(__xludf.DUMMYFUNCTION("""COMPUTED_VALUE"""),"Application")</f>
        <v/>
      </c>
      <c r="C603" s="6">
        <f>IFERROR(__xludf.DUMMYFUNCTION("""COMPUTED_VALUE"""),"Input Box (2)")</f>
        <v/>
      </c>
      <c r="D603" s="7">
        <f>IFERROR(__xludf.DUMMYFUNCTION("""COMPUTED_VALUE"""),"No task description")</f>
        <v/>
      </c>
      <c r="E6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3" s="7" t="inlineStr">
        <is>
          <t>No task descriptions provided; embedded artifacts include Golabz apps for file upload and note-taking with optional collaboration mode.</t>
        </is>
      </c>
      <c r="G603" s="8" t="inlineStr">
        <is>
          <t>0</t>
        </is>
      </c>
      <c r="H603" s="8" t="inlineStr">
        <is>
          <t>1</t>
        </is>
      </c>
      <c r="I603" s="8" t="inlineStr">
        <is>
          <t>1</t>
        </is>
      </c>
      <c r="J603" s="8" t="inlineStr">
        <is>
          <t>1</t>
        </is>
      </c>
      <c r="K603" s="9" t="inlineStr">
        <is>
          <t>1</t>
        </is>
      </c>
      <c r="L603" s="9" t="inlineStr">
        <is>
          <t>1</t>
        </is>
      </c>
      <c r="M603" s="9" t="inlineStr">
        <is>
          <t>1</t>
        </is>
      </c>
      <c r="N603" s="9" t="inlineStr">
        <is>
          <t>1</t>
        </is>
      </c>
      <c r="O603" s="10" t="inlineStr">
        <is>
          <t>0</t>
        </is>
      </c>
      <c r="P603" s="10" t="inlineStr">
        <is>
          <t>0</t>
        </is>
      </c>
      <c r="Q603" s="10" t="inlineStr">
        <is>
          <t>0</t>
        </is>
      </c>
      <c r="R603" s="10" t="inlineStr">
        <is>
          <t>0</t>
        </is>
      </c>
      <c r="S603" s="10" t="inlineStr">
        <is>
          <t>1</t>
        </is>
      </c>
    </row>
    <row r="604" ht="109" customHeight="1">
      <c r="A604" s="6">
        <f>IFERROR(__xludf.DUMMYFUNCTION("""COMPUTED_VALUE"""),"Digital Divide")</f>
        <v/>
      </c>
      <c r="B604" s="6">
        <f>IFERROR(__xludf.DUMMYFUNCTION("""COMPUTED_VALUE"""),"Space")</f>
        <v/>
      </c>
      <c r="C604" s="6">
        <f>IFERROR(__xludf.DUMMYFUNCTION("""COMPUTED_VALUE"""),"Orientation")</f>
        <v/>
      </c>
      <c r="D604" s="7">
        <f>IFERROR(__xludf.DUMMYFUNCTION("""COMPUTED_VALUE"""),"&lt;p&gt;Hello students, we are going to learn about Digital Divide, i hope you find this lesson interesting and informative.&lt;/p&gt;")</f>
        <v/>
      </c>
      <c r="E604" s="7">
        <f>IFERROR(__xludf.DUMMYFUNCTION("""COMPUTED_VALUE"""),"No artifact embedded")</f>
        <v/>
      </c>
      <c r="F604" s="7" t="inlineStr">
        <is>
          <t>Students were given no task descriptions for Items 1-2. Item 3 introduces a lesson on Digital Divide. Golabz app/lab is an embedded artifact in Items 1-2, allowing note-taking and collaboration.</t>
        </is>
      </c>
      <c r="G604" s="8" t="inlineStr">
        <is>
          <t>1</t>
        </is>
      </c>
      <c r="H604" s="8" t="inlineStr">
        <is>
          <t>0</t>
        </is>
      </c>
      <c r="I604" s="8" t="inlineStr">
        <is>
          <t>0</t>
        </is>
      </c>
      <c r="J604" s="8" t="inlineStr">
        <is>
          <t>0</t>
        </is>
      </c>
      <c r="K604" s="9" t="inlineStr">
        <is>
          <t>1</t>
        </is>
      </c>
      <c r="L604" s="9" t="inlineStr">
        <is>
          <t>0</t>
        </is>
      </c>
      <c r="M604" s="9" t="inlineStr">
        <is>
          <t>0</t>
        </is>
      </c>
      <c r="N604" s="9" t="inlineStr">
        <is>
          <t>0</t>
        </is>
      </c>
      <c r="O604" s="10" t="inlineStr">
        <is>
          <t>0</t>
        </is>
      </c>
      <c r="P604" s="10" t="inlineStr">
        <is>
          <t>0</t>
        </is>
      </c>
      <c r="Q604" s="10" t="inlineStr">
        <is>
          <t>0</t>
        </is>
      </c>
      <c r="R604" s="10" t="inlineStr">
        <is>
          <t>0</t>
        </is>
      </c>
      <c r="S604" s="10" t="inlineStr">
        <is>
          <t>0</t>
        </is>
      </c>
    </row>
    <row r="605" ht="25" customHeight="1">
      <c r="A605" s="6">
        <f>IFERROR(__xludf.DUMMYFUNCTION("""COMPUTED_VALUE"""),"Digital Divide")</f>
        <v/>
      </c>
      <c r="B605" s="6">
        <f>IFERROR(__xludf.DUMMYFUNCTION("""COMPUTED_VALUE"""),"Space")</f>
        <v/>
      </c>
      <c r="C605" s="6">
        <f>IFERROR(__xludf.DUMMYFUNCTION("""COMPUTED_VALUE"""),"Conceptualisation")</f>
        <v/>
      </c>
      <c r="D605" s="7">
        <f>IFERROR(__xludf.DUMMYFUNCTION("""COMPUTED_VALUE"""),"No task description")</f>
        <v/>
      </c>
      <c r="E605" s="7">
        <f>IFERROR(__xludf.DUMMYFUNCTION("""COMPUTED_VALUE"""),"No artifact embedded")</f>
        <v/>
      </c>
      <c r="F605" s="7" t="inlineStr">
        <is>
          <t>Students were given varying instructions. Items 1 and 2 had specific descriptions, while Item 3 did not. Item 1 included a Golabz app for note-taking.</t>
        </is>
      </c>
      <c r="G605" s="8" t="inlineStr">
        <is>
          <t>1</t>
        </is>
      </c>
      <c r="H605" s="8" t="inlineStr">
        <is>
          <t>0</t>
        </is>
      </c>
      <c r="I605" s="8" t="inlineStr">
        <is>
          <t>0</t>
        </is>
      </c>
      <c r="J605" s="8" t="inlineStr">
        <is>
          <t>0</t>
        </is>
      </c>
      <c r="K605" s="9" t="inlineStr">
        <is>
          <t>0</t>
        </is>
      </c>
      <c r="L605" s="9" t="inlineStr">
        <is>
          <t>0</t>
        </is>
      </c>
      <c r="M605" s="9" t="inlineStr">
        <is>
          <t>0</t>
        </is>
      </c>
      <c r="N605" s="9" t="inlineStr">
        <is>
          <t>0</t>
        </is>
      </c>
      <c r="O605" s="10" t="inlineStr">
        <is>
          <t>0</t>
        </is>
      </c>
      <c r="P605" s="10" t="inlineStr">
        <is>
          <t>0</t>
        </is>
      </c>
      <c r="Q605" s="10" t="inlineStr">
        <is>
          <t>0</t>
        </is>
      </c>
      <c r="R605" s="10" t="inlineStr">
        <is>
          <t>0</t>
        </is>
      </c>
      <c r="S605" s="10" t="inlineStr">
        <is>
          <t>0</t>
        </is>
      </c>
    </row>
    <row r="606" ht="181" customHeight="1">
      <c r="A606" s="6">
        <f>IFERROR(__xludf.DUMMYFUNCTION("""COMPUTED_VALUE"""),"Digital Divide")</f>
        <v/>
      </c>
      <c r="B606" s="6">
        <f>IFERROR(__xludf.DUMMYFUNCTION("""COMPUTED_VALUE"""),"Resource")</f>
        <v/>
      </c>
      <c r="C606" s="6">
        <f>IFERROR(__xludf.DUMMYFUNCTION("""COMPUTED_VALUE"""),"Learning Objectives.graasp")</f>
        <v/>
      </c>
      <c r="D606" s="7">
        <f>IFERROR(__xludf.DUMMYFUNCTION("""COMPUTED_VALUE"""),"&lt;p&gt;At the end of this lesson, students should be able to:&lt;/p&gt;&lt;p&gt;1. explain what is meant by digital divide&lt;br&gt;2. state the features of old and new economy&lt;br&gt;3. explain how digital divide has affect peoples lives&lt;/p&gt;")</f>
        <v/>
      </c>
      <c r="E606" s="7">
        <f>IFERROR(__xludf.DUMMYFUNCTION("""COMPUTED_VALUE"""),"No artifact embedded")</f>
        <v/>
      </c>
      <c r="F606" s="7" t="inlineStr">
        <is>
          <t>Students learn about Digital Divide, explaining its meaning, features, and impact on people's lives. No artifacts are embedded in the items.</t>
        </is>
      </c>
      <c r="G606" s="8" t="inlineStr">
        <is>
          <t>1</t>
        </is>
      </c>
      <c r="H606" s="8" t="inlineStr">
        <is>
          <t>0</t>
        </is>
      </c>
      <c r="I606" s="8" t="inlineStr">
        <is>
          <t>0</t>
        </is>
      </c>
      <c r="J606" s="8" t="inlineStr">
        <is>
          <t>0</t>
        </is>
      </c>
      <c r="K606" s="9" t="inlineStr">
        <is>
          <t>1</t>
        </is>
      </c>
      <c r="L606" s="9" t="inlineStr">
        <is>
          <t>0</t>
        </is>
      </c>
      <c r="M606" s="9" t="inlineStr">
        <is>
          <t>0</t>
        </is>
      </c>
      <c r="N606" s="9" t="inlineStr">
        <is>
          <t>0</t>
        </is>
      </c>
      <c r="O606" s="10" t="inlineStr">
        <is>
          <t>0</t>
        </is>
      </c>
      <c r="P606" s="10" t="inlineStr">
        <is>
          <t>0</t>
        </is>
      </c>
      <c r="Q606" s="10" t="inlineStr">
        <is>
          <t>0</t>
        </is>
      </c>
      <c r="R606" s="10" t="inlineStr">
        <is>
          <t>0</t>
        </is>
      </c>
      <c r="S606" s="10" t="inlineStr">
        <is>
          <t>0</t>
        </is>
      </c>
    </row>
    <row r="607" ht="61" customHeight="1">
      <c r="A607" s="6">
        <f>IFERROR(__xludf.DUMMYFUNCTION("""COMPUTED_VALUE"""),"Digital Divide")</f>
        <v/>
      </c>
      <c r="B607" s="6">
        <f>IFERROR(__xludf.DUMMYFUNCTION("""COMPUTED_VALUE"""),"Space")</f>
        <v/>
      </c>
      <c r="C607" s="6">
        <f>IFERROR(__xludf.DUMMYFUNCTION("""COMPUTED_VALUE"""),"Investigation")</f>
        <v/>
      </c>
      <c r="D607" s="7">
        <f>IFERROR(__xludf.DUMMYFUNCTION("""COMPUTED_VALUE"""),"&lt;p&gt;See the below video for a better for a better understanding!&lt;/p&gt;")</f>
        <v/>
      </c>
      <c r="E607" s="7">
        <f>IFERROR(__xludf.DUMMYFUNCTION("""COMPUTED_VALUE"""),"No artifact embedded")</f>
        <v/>
      </c>
      <c r="F607" s="7" t="inlineStr">
        <is>
          <t>Students are instructed to learn about digital divide and its effects. No artifacts are embedded in any items.</t>
        </is>
      </c>
      <c r="G607" s="8" t="inlineStr">
        <is>
          <t>1</t>
        </is>
      </c>
      <c r="H607" s="8" t="inlineStr">
        <is>
          <t>0</t>
        </is>
      </c>
      <c r="I607" s="8" t="inlineStr">
        <is>
          <t>0</t>
        </is>
      </c>
      <c r="J607" s="8" t="inlineStr">
        <is>
          <t>0</t>
        </is>
      </c>
      <c r="K607" s="9" t="inlineStr">
        <is>
          <t>0</t>
        </is>
      </c>
      <c r="L607" s="9" t="inlineStr">
        <is>
          <t>0</t>
        </is>
      </c>
      <c r="M607" s="9" t="inlineStr">
        <is>
          <t>0</t>
        </is>
      </c>
      <c r="N607" s="9" t="inlineStr">
        <is>
          <t>0</t>
        </is>
      </c>
      <c r="O607" s="10" t="inlineStr">
        <is>
          <t>0</t>
        </is>
      </c>
      <c r="P607" s="10" t="inlineStr">
        <is>
          <t>0</t>
        </is>
      </c>
      <c r="Q607" s="10" t="inlineStr">
        <is>
          <t>0</t>
        </is>
      </c>
      <c r="R607" s="10" t="inlineStr">
        <is>
          <t>0</t>
        </is>
      </c>
      <c r="S607" s="10" t="inlineStr">
        <is>
          <t>0</t>
        </is>
      </c>
    </row>
    <row r="608" ht="409.5" customHeight="1">
      <c r="A608" s="6">
        <f>IFERROR(__xludf.DUMMYFUNCTION("""COMPUTED_VALUE"""),"Digital Divide")</f>
        <v/>
      </c>
      <c r="B608" s="6">
        <f>IFERROR(__xludf.DUMMYFUNCTION("""COMPUTED_VALUE"""),"Resource")</f>
        <v/>
      </c>
      <c r="C608" s="6">
        <f>IFERROR(__xludf.DUMMYFUNCTION("""COMPUTED_VALUE"""),"What do you understand by the term""Digital Divide?"".graasp")</f>
        <v/>
      </c>
      <c r="D608" s="7">
        <f>IFERROR(__xludf.DUMMYFUNCTION("""COMPUTED_VALUE"""),"&lt;p&gt;The term Digital divide&lt;/p&gt;&lt;p&gt;describes the gap between people with effective access to information&lt;br&gt;technology and those with no access.&lt;br&gt;In other words, it is&lt;br&gt;the unequal access by some members of the society to Information and&lt;br&gt;Communicatio"&amp;"n Technology (ICT) and the unequal acquisition of related skills.&lt;br&gt;The digital divide may&lt;br&gt;be classified based on gender, income, race groups and by locations. Global digital divide refers to&lt;br&gt;differences in technological access between countries.&lt;/"&amp;"p&gt;")</f>
        <v/>
      </c>
      <c r="E608" s="7">
        <f>IFERROR(__xludf.DUMMYFUNCTION("""COMPUTED_VALUE"""),"No artifact embedded")</f>
        <v/>
      </c>
      <c r="F608" s="7" t="inlineStr">
        <is>
          <t>Students learn about digital divide, its features, and effects. No artifacts are embedded in the items.</t>
        </is>
      </c>
      <c r="G608" s="8" t="inlineStr">
        <is>
          <t>1</t>
        </is>
      </c>
      <c r="H608" s="8" t="inlineStr">
        <is>
          <t>0</t>
        </is>
      </c>
      <c r="I608" s="8" t="inlineStr">
        <is>
          <t>0</t>
        </is>
      </c>
      <c r="J608" s="8" t="inlineStr">
        <is>
          <t>0</t>
        </is>
      </c>
      <c r="K608" s="9" t="inlineStr">
        <is>
          <t>1</t>
        </is>
      </c>
      <c r="L608" s="9" t="inlineStr">
        <is>
          <t>0</t>
        </is>
      </c>
      <c r="M608" s="9" t="inlineStr">
        <is>
          <t>0</t>
        </is>
      </c>
      <c r="N608" s="9" t="inlineStr">
        <is>
          <t>0</t>
        </is>
      </c>
      <c r="O608" s="10" t="inlineStr">
        <is>
          <t>1</t>
        </is>
      </c>
      <c r="P608" s="10" t="inlineStr">
        <is>
          <t>0</t>
        </is>
      </c>
      <c r="Q608" s="10" t="inlineStr">
        <is>
          <t>0</t>
        </is>
      </c>
      <c r="R608" s="10" t="inlineStr">
        <is>
          <t>0</t>
        </is>
      </c>
      <c r="S608" s="10" t="inlineStr">
        <is>
          <t>0</t>
        </is>
      </c>
    </row>
    <row r="609" ht="133" customHeight="1">
      <c r="A609" s="6">
        <f>IFERROR(__xludf.DUMMYFUNCTION("""COMPUTED_VALUE"""),"Digital Divide")</f>
        <v/>
      </c>
      <c r="B609" s="6">
        <f>IFERROR(__xludf.DUMMYFUNCTION("""COMPUTED_VALUE"""),"Resource")</f>
        <v/>
      </c>
      <c r="C609" s="6">
        <f>IFERROR(__xludf.DUMMYFUNCTION("""COMPUTED_VALUE"""),"What is digital divide? - Definition from WhatIs.com")</f>
        <v/>
      </c>
      <c r="D609" s="7">
        <f>IFERROR(__xludf.DUMMYFUNCTION("""COMPUTED_VALUE"""),"Digital divide is a term that refers to the gap between demographics and regions that have access to modern information and communications technology an...")</f>
        <v/>
      </c>
      <c r="E609" s="7">
        <f>IFERROR(__xludf.DUMMYFUNCTION("""COMPUTED_VALUE"""),"techtarget.com: Offers definitions and articles on technology-related topics, such as the digital divide.")</f>
        <v/>
      </c>
      <c r="F609" s="7" t="inlineStr">
        <is>
          <t>Students are instructed to understand the concept of "digital divide". No artifacts are embedded in Items 1 and 2, but Item 3 links to techtarget.com.</t>
        </is>
      </c>
      <c r="G609" s="8" t="inlineStr">
        <is>
          <t>1</t>
        </is>
      </c>
      <c r="H609" s="8" t="inlineStr">
        <is>
          <t>0</t>
        </is>
      </c>
      <c r="I609" s="8" t="inlineStr">
        <is>
          <t>0</t>
        </is>
      </c>
      <c r="J609" s="8" t="inlineStr">
        <is>
          <t>0</t>
        </is>
      </c>
      <c r="K609" s="9" t="inlineStr">
        <is>
          <t>1</t>
        </is>
      </c>
      <c r="L609" s="9" t="inlineStr">
        <is>
          <t>0</t>
        </is>
      </c>
      <c r="M609" s="9" t="inlineStr">
        <is>
          <t>0</t>
        </is>
      </c>
      <c r="N609" s="9" t="inlineStr">
        <is>
          <t>0</t>
        </is>
      </c>
      <c r="O609" s="10" t="inlineStr">
        <is>
          <t>1</t>
        </is>
      </c>
      <c r="P609" s="10" t="inlineStr">
        <is>
          <t>0</t>
        </is>
      </c>
      <c r="Q609" s="10" t="inlineStr">
        <is>
          <t>0</t>
        </is>
      </c>
      <c r="R609" s="10" t="inlineStr">
        <is>
          <t>0</t>
        </is>
      </c>
      <c r="S609" s="10" t="inlineStr">
        <is>
          <t>0</t>
        </is>
      </c>
    </row>
    <row r="610" ht="133" customHeight="1">
      <c r="A610" s="6">
        <f>IFERROR(__xludf.DUMMYFUNCTION("""COMPUTED_VALUE"""),"Digital Divide")</f>
        <v/>
      </c>
      <c r="B610" s="6">
        <f>IFERROR(__xludf.DUMMYFUNCTION("""COMPUTED_VALUE"""),"Resource")</f>
        <v/>
      </c>
      <c r="C610" s="6">
        <f>IFERROR(__xludf.DUMMYFUNCTION("""COMPUTED_VALUE"""),"What is the Digital Divide? - Definition from Techopedia")</f>
        <v/>
      </c>
      <c r="D610" s="7">
        <f>IFERROR(__xludf.DUMMYFUNCTION("""COMPUTED_VALUE"""),"Digital Divide Definition - The digital divide refers to the difference between people who have easy access to the Internet and those who do not. A...")</f>
        <v/>
      </c>
      <c r="E610" s="7">
        <f>IFERROR(__xludf.DUMMYFUNCTION("""COMPUTED_VALUE"""),"techopedia.com: Offers definitions and explanations of technology-related terms, such as the digital divide.")</f>
        <v/>
      </c>
      <c r="F610" s="7" t="inlineStr">
        <is>
          <t>Students were instructed about the digital divide concept. Embedded artifacts include links to techtarget.com and techopedia.com for further learning.</t>
        </is>
      </c>
      <c r="G610" s="8" t="inlineStr">
        <is>
          <t>1</t>
        </is>
      </c>
      <c r="H610" s="8" t="inlineStr">
        <is>
          <t>0</t>
        </is>
      </c>
      <c r="I610" s="8" t="inlineStr">
        <is>
          <t>0</t>
        </is>
      </c>
      <c r="J610" s="8" t="inlineStr">
        <is>
          <t>0</t>
        </is>
      </c>
      <c r="K610" s="9" t="inlineStr">
        <is>
          <t>1</t>
        </is>
      </c>
      <c r="L610" s="9" t="inlineStr">
        <is>
          <t>0</t>
        </is>
      </c>
      <c r="M610" s="9" t="inlineStr">
        <is>
          <t>0</t>
        </is>
      </c>
      <c r="N610" s="9" t="inlineStr">
        <is>
          <t>0</t>
        </is>
      </c>
      <c r="O610" s="10" t="inlineStr">
        <is>
          <t>0</t>
        </is>
      </c>
      <c r="P610" s="10" t="inlineStr">
        <is>
          <t>0</t>
        </is>
      </c>
      <c r="Q610" s="10" t="inlineStr">
        <is>
          <t>0</t>
        </is>
      </c>
      <c r="R610" s="10" t="inlineStr">
        <is>
          <t>0</t>
        </is>
      </c>
      <c r="S610" s="10" t="inlineStr">
        <is>
          <t>0</t>
        </is>
      </c>
    </row>
    <row r="611" ht="409.5" customHeight="1">
      <c r="A611" s="6">
        <f>IFERROR(__xludf.DUMMYFUNCTION("""COMPUTED_VALUE"""),"Digital Divide")</f>
        <v/>
      </c>
      <c r="B611" s="6">
        <f>IFERROR(__xludf.DUMMYFUNCTION("""COMPUTED_VALUE"""),"Resource")</f>
        <v/>
      </c>
      <c r="C611" s="6">
        <f>IFERROR(__xludf.DUMMYFUNCTION("""COMPUTED_VALUE"""),"Digital Divide")</f>
        <v/>
      </c>
      <c r="D611" s="7">
        <f>IFERROR(__xludf.DUMMYFUNCTION("""COMPUTED_VALUE"""),"Today, half of the world’s population are still not online. While Asia has the highest number of people without access, Africa leads the world in the percentage of the population without connection at 88 percent. Furthermore, in the countries that are con"&amp;"nected, male internet users outnumber their female counterparts in every region of the world. The ‘digital divide’ we face globally does not just signify those who have access to the internet and those who do not, the gap also encompasses a number of othe"&amp;"r discrepancies, including the quality of digital infrastructure in rural communities, the speed of connectivity in remote areas, and the training and skills required to navigate such technology.   Digital technologies continue to spread rapidly while pro"&amp;"viding a myriad of benefits – boosting economic growth and efficiency, enabling a more productive workforce, improving service delivery, and expanding educational opportunity.  However, the advantages brought forth by digital innovation largely depend on "&amp;"internet connectivity, and thus the benefits remain unevenly distributed across the world. In order for everyone to participate in, and contribute to the digital economy, closing the gap in internet access is critical.    The Mohammed bin Rashid Initiativ"&amp;"e for Global Prosperity seeks new tools to deploy these existing technologies to remote populations in a sustainable and affordable way. To do so, the initiative welcomes manufactured products and solutions from innovators and makers around the world that"&amp;":  - Propose innovative methods to bolster and scale the use of existing technologies to accelerate the distribution of connection globally   - Create affordable opportunities for underserved communities to access digital technologies through ready-to-dep"&amp;"loy products and strategies  - Promote equitable use of digital services and technology, empowering marginalised communities to overcome barriers to digital literacy, education, and economic opportunities  Are you the 1 that can address the digital divide"&amp;"? Join the makers movement today: https://makingprosperity.com/")</f>
        <v/>
      </c>
      <c r="E611" s="7">
        <f>IFERROR(__xludf.DUMMYFUNCTION("""COMPUTED_VALUE"""),"youtube.com: A widely known video-sharing platform where users can watch videos on a vast array of topics, including educational content.")</f>
        <v/>
      </c>
      <c r="F611" s="7" t="inlineStr">
        <is>
          <t>Students are tasked with understanding the digital divide. Embedded artifacts include websites (techtarget, techopedia) and a video platform (youtube).</t>
        </is>
      </c>
      <c r="G611" s="8" t="inlineStr">
        <is>
          <t>0</t>
        </is>
      </c>
      <c r="H611" s="8" t="inlineStr">
        <is>
          <t>0</t>
        </is>
      </c>
      <c r="I611" s="8" t="inlineStr">
        <is>
          <t>0</t>
        </is>
      </c>
      <c r="J611" s="8" t="inlineStr">
        <is>
          <t>0</t>
        </is>
      </c>
      <c r="K611" s="9" t="inlineStr">
        <is>
          <t>0</t>
        </is>
      </c>
      <c r="L611" s="9" t="inlineStr">
        <is>
          <t>0</t>
        </is>
      </c>
      <c r="M611" s="9" t="inlineStr">
        <is>
          <t>0</t>
        </is>
      </c>
      <c r="N611" s="9" t="inlineStr">
        <is>
          <t>0</t>
        </is>
      </c>
      <c r="O611" s="10" t="inlineStr">
        <is>
          <t>1</t>
        </is>
      </c>
      <c r="P611" s="10" t="inlineStr">
        <is>
          <t>1</t>
        </is>
      </c>
      <c r="Q611" s="10" t="inlineStr">
        <is>
          <t>0</t>
        </is>
      </c>
      <c r="R611" s="10" t="inlineStr">
        <is>
          <t>0</t>
        </is>
      </c>
      <c r="S611" s="10" t="inlineStr">
        <is>
          <t>0</t>
        </is>
      </c>
    </row>
    <row r="612" ht="121" customHeight="1">
      <c r="A612" s="6">
        <f>IFERROR(__xludf.DUMMYFUNCTION("""COMPUTED_VALUE"""),"Digital Divide")</f>
        <v/>
      </c>
      <c r="B612" s="6">
        <f>IFERROR(__xludf.DUMMYFUNCTION("""COMPUTED_VALUE"""),"Resource")</f>
        <v/>
      </c>
      <c r="C612" s="6">
        <f>IFERROR(__xludf.DUMMYFUNCTION("""COMPUTED_VALUE"""),"Digital Divide (2).mp4")</f>
        <v/>
      </c>
      <c r="D612" s="7">
        <f>IFERROR(__xludf.DUMMYFUNCTION("""COMPUTED_VALUE"""),"No task description")</f>
        <v/>
      </c>
      <c r="E612" s="7">
        <f>IFERROR(__xludf.DUMMYFUNCTION("""COMPUTED_VALUE"""),"video/mp4 – A video file containing moving images and possibly audio, suitable for playback on most modern devices and platforms.")</f>
        <v/>
      </c>
      <c r="F612" s="7" t="inlineStr">
        <is>
          <t>Students were tasked with understanding the digital divide. Embedded artifacts include techopedia.com, youtube.com, and a video file (mp4).</t>
        </is>
      </c>
      <c r="G612" s="8" t="inlineStr">
        <is>
          <t>1</t>
        </is>
      </c>
      <c r="H612" s="8" t="inlineStr">
        <is>
          <t>0</t>
        </is>
      </c>
      <c r="I612" s="8" t="inlineStr">
        <is>
          <t>0</t>
        </is>
      </c>
      <c r="J612" s="8" t="inlineStr">
        <is>
          <t>0</t>
        </is>
      </c>
      <c r="K612" s="9" t="inlineStr">
        <is>
          <t>0</t>
        </is>
      </c>
      <c r="L612" s="9" t="inlineStr">
        <is>
          <t>0</t>
        </is>
      </c>
      <c r="M612" s="9" t="inlineStr">
        <is>
          <t>0</t>
        </is>
      </c>
      <c r="N612" s="9" t="inlineStr">
        <is>
          <t>0</t>
        </is>
      </c>
      <c r="O612" s="10" t="inlineStr">
        <is>
          <t>0</t>
        </is>
      </c>
      <c r="P612" s="10" t="inlineStr">
        <is>
          <t>0</t>
        </is>
      </c>
      <c r="Q612" s="10" t="inlineStr">
        <is>
          <t>0</t>
        </is>
      </c>
      <c r="R612" s="10" t="inlineStr">
        <is>
          <t>0</t>
        </is>
      </c>
      <c r="S612" s="10" t="inlineStr">
        <is>
          <t>0</t>
        </is>
      </c>
    </row>
    <row r="613" ht="121" customHeight="1">
      <c r="A613" s="6">
        <f>IFERROR(__xludf.DUMMYFUNCTION("""COMPUTED_VALUE"""),"Digital Divide")</f>
        <v/>
      </c>
      <c r="B613" s="6">
        <f>IFERROR(__xludf.DUMMYFUNCTION("""COMPUTED_VALUE"""),"Resource")</f>
        <v/>
      </c>
      <c r="C613" s="6">
        <f>IFERROR(__xludf.DUMMYFUNCTION("""COMPUTED_VALUE"""),"digital 1.jpg")</f>
        <v/>
      </c>
      <c r="D613" s="7">
        <f>IFERROR(__xludf.DUMMYFUNCTION("""COMPUTED_VALUE"""),"[17' V mm")</f>
        <v/>
      </c>
      <c r="E613" s="7">
        <f>IFERROR(__xludf.DUMMYFUNCTION("""COMPUTED_VALUE"""),"image/jpeg – A digital photograph or web image stored in a compressed format, often used for photography and web graphics.")</f>
        <v/>
      </c>
      <c r="F613" s="7" t="inlineStr">
        <is>
          <t>Instructions: Address the digital divide by proposing innovative methods to expand internet access. Embedded artifacts: YouTube link, video/mp4 file, and image/jpeg file.</t>
        </is>
      </c>
      <c r="G613" s="8" t="inlineStr">
        <is>
          <t>1</t>
        </is>
      </c>
      <c r="H613" s="8" t="inlineStr">
        <is>
          <t>0</t>
        </is>
      </c>
      <c r="I613" s="8" t="inlineStr">
        <is>
          <t>0</t>
        </is>
      </c>
      <c r="J613" s="8" t="inlineStr">
        <is>
          <t>0</t>
        </is>
      </c>
      <c r="K613" s="9" t="inlineStr">
        <is>
          <t>0</t>
        </is>
      </c>
      <c r="L613" s="9" t="inlineStr">
        <is>
          <t>0</t>
        </is>
      </c>
      <c r="M613" s="9" t="inlineStr">
        <is>
          <t>0</t>
        </is>
      </c>
      <c r="N613" s="9" t="inlineStr">
        <is>
          <t>0</t>
        </is>
      </c>
      <c r="O613" s="10" t="inlineStr">
        <is>
          <t>0</t>
        </is>
      </c>
      <c r="P613" s="10" t="inlineStr">
        <is>
          <t>0</t>
        </is>
      </c>
      <c r="Q613" s="10" t="inlineStr">
        <is>
          <t>0</t>
        </is>
      </c>
      <c r="R613" s="10" t="inlineStr">
        <is>
          <t>0</t>
        </is>
      </c>
      <c r="S613" s="10" t="inlineStr">
        <is>
          <t>0</t>
        </is>
      </c>
    </row>
    <row r="614" ht="97" customHeight="1">
      <c r="A614" s="6">
        <f>IFERROR(__xludf.DUMMYFUNCTION("""COMPUTED_VALUE"""),"Digital Divide")</f>
        <v/>
      </c>
      <c r="B614" s="6">
        <f>IFERROR(__xludf.DUMMYFUNCTION("""COMPUTED_VALUE"""),"Resource")</f>
        <v/>
      </c>
      <c r="C614" s="6">
        <f>IFERROR(__xludf.DUMMYFUNCTION("""COMPUTED_VALUE"""),"digital3.png")</f>
        <v/>
      </c>
      <c r="D614" s="7">
        <f>IFERROR(__xludf.DUMMYFUNCTION("""COMPUTED_VALUE"""),"M mm m m m4 w uu/emmmtv ""hm III NCES")</f>
        <v/>
      </c>
      <c r="E614" s="7">
        <f>IFERROR(__xludf.DUMMYFUNCTION("""COMPUTED_VALUE"""),"image/png – A high-quality image with support for transparency, often used in design and web applications.")</f>
        <v/>
      </c>
      <c r="F614" s="7" t="inlineStr">
        <is>
          <t>Students received no task descriptions, but were provided with embedded artifacts: video, jpeg image, and png image.</t>
        </is>
      </c>
      <c r="G614" s="8" t="inlineStr">
        <is>
          <t>1</t>
        </is>
      </c>
      <c r="H614" s="8" t="inlineStr">
        <is>
          <t>0</t>
        </is>
      </c>
      <c r="I614" s="8" t="inlineStr">
        <is>
          <t>0</t>
        </is>
      </c>
      <c r="J614" s="8" t="inlineStr">
        <is>
          <t>0</t>
        </is>
      </c>
      <c r="K614" s="9" t="inlineStr">
        <is>
          <t>0</t>
        </is>
      </c>
      <c r="L614" s="9" t="inlineStr">
        <is>
          <t>0</t>
        </is>
      </c>
      <c r="M614" s="9" t="inlineStr">
        <is>
          <t>0</t>
        </is>
      </c>
      <c r="N614" s="9" t="inlineStr">
        <is>
          <t>0</t>
        </is>
      </c>
      <c r="O614" s="10" t="inlineStr">
        <is>
          <t>0</t>
        </is>
      </c>
      <c r="P614" s="10" t="inlineStr">
        <is>
          <t>0</t>
        </is>
      </c>
      <c r="Q614" s="10" t="inlineStr">
        <is>
          <t>0</t>
        </is>
      </c>
      <c r="R614" s="10" t="inlineStr">
        <is>
          <t>0</t>
        </is>
      </c>
      <c r="S614" s="10" t="inlineStr">
        <is>
          <t>0</t>
        </is>
      </c>
    </row>
    <row r="615" ht="121" customHeight="1">
      <c r="A615" s="6">
        <f>IFERROR(__xludf.DUMMYFUNCTION("""COMPUTED_VALUE"""),"Digital Divide")</f>
        <v/>
      </c>
      <c r="B615" s="6">
        <f>IFERROR(__xludf.DUMMYFUNCTION("""COMPUTED_VALUE"""),"Resource")</f>
        <v/>
      </c>
      <c r="C615" s="6">
        <f>IFERROR(__xludf.DUMMYFUNCTION("""COMPUTED_VALUE"""),"digital2.jpg")</f>
        <v/>
      </c>
      <c r="D615" s="7">
        <f>IFERROR(__xludf.DUMMYFUNCTION("""COMPUTED_VALUE"""),"No task description")</f>
        <v/>
      </c>
      <c r="E615" s="7">
        <f>IFERROR(__xludf.DUMMYFUNCTION("""COMPUTED_VALUE"""),"image/jpeg – A digital photograph or web image stored in a compressed format, often used for photography and web graphics.")</f>
        <v/>
      </c>
      <c r="F615" s="7" t="inlineStr">
        <is>
          <t>Students received task descriptions with embedded images in JPEG and PNG formats, but one task lacked a description.</t>
        </is>
      </c>
      <c r="G615" s="8" t="inlineStr">
        <is>
          <t>1</t>
        </is>
      </c>
      <c r="H615" s="8" t="inlineStr">
        <is>
          <t>0</t>
        </is>
      </c>
      <c r="I615" s="8" t="inlineStr">
        <is>
          <t>0</t>
        </is>
      </c>
      <c r="J615" s="8" t="inlineStr">
        <is>
          <t>0</t>
        </is>
      </c>
      <c r="K615" s="9" t="inlineStr">
        <is>
          <t>0</t>
        </is>
      </c>
      <c r="L615" s="9" t="inlineStr">
        <is>
          <t>0</t>
        </is>
      </c>
      <c r="M615" s="9" t="inlineStr">
        <is>
          <t>0</t>
        </is>
      </c>
      <c r="N615" s="9" t="inlineStr">
        <is>
          <t>0</t>
        </is>
      </c>
      <c r="O615" s="10" t="inlineStr">
        <is>
          <t>0</t>
        </is>
      </c>
      <c r="P615" s="10" t="inlineStr">
        <is>
          <t>0</t>
        </is>
      </c>
      <c r="Q615" s="10" t="inlineStr">
        <is>
          <t>0</t>
        </is>
      </c>
      <c r="R615" s="10" t="inlineStr">
        <is>
          <t>0</t>
        </is>
      </c>
      <c r="S615" s="10" t="inlineStr">
        <is>
          <t>0</t>
        </is>
      </c>
    </row>
    <row r="616" ht="169" customHeight="1">
      <c r="A616" s="6">
        <f>IFERROR(__xludf.DUMMYFUNCTION("""COMPUTED_VALUE"""),"Digital Divide")</f>
        <v/>
      </c>
      <c r="B616" s="6">
        <f>IFERROR(__xludf.DUMMYFUNCTION("""COMPUTED_VALUE"""),"Space")</f>
        <v/>
      </c>
      <c r="C616" s="6">
        <f>IFERROR(__xludf.DUMMYFUNCTION("""COMPUTED_VALUE"""),"Conclusion")</f>
        <v/>
      </c>
      <c r="D616" s="7">
        <f>IFERROR(__xludf.DUMMYFUNCTION("""COMPUTED_VALUE"""),"&lt;p&gt;Do you think, you are that child who have access to Information Communication and Technology? if yes then suggest ways you could possibly help those who dont have access to such opportunity.&lt;/p&gt;")</f>
        <v/>
      </c>
      <c r="E616" s="7">
        <f>IFERROR(__xludf.DUMMYFUNCTION("""COMPUTED_VALUE"""),"No artifact embedded")</f>
        <v/>
      </c>
      <c r="F616" s="7" t="inlineStr">
        <is>
          <t>Students received task descriptions with varying levels of detail and image artifacts in PNG and JPEG formats.</t>
        </is>
      </c>
      <c r="G616" s="8" t="inlineStr">
        <is>
          <t>0</t>
        </is>
      </c>
      <c r="H616" s="8" t="inlineStr">
        <is>
          <t>0</t>
        </is>
      </c>
      <c r="I616" s="8" t="inlineStr">
        <is>
          <t>1</t>
        </is>
      </c>
      <c r="J616" s="8" t="inlineStr">
        <is>
          <t>0</t>
        </is>
      </c>
      <c r="K616" s="9" t="inlineStr">
        <is>
          <t>1</t>
        </is>
      </c>
      <c r="L616" s="9" t="inlineStr">
        <is>
          <t>1</t>
        </is>
      </c>
      <c r="M616" s="9" t="inlineStr">
        <is>
          <t>1</t>
        </is>
      </c>
      <c r="N616" s="9" t="inlineStr">
        <is>
          <t>0</t>
        </is>
      </c>
      <c r="O616" s="10" t="inlineStr">
        <is>
          <t>1</t>
        </is>
      </c>
      <c r="P616" s="10" t="inlineStr">
        <is>
          <t>1</t>
        </is>
      </c>
      <c r="Q616" s="10" t="inlineStr">
        <is>
          <t>0</t>
        </is>
      </c>
      <c r="R616" s="10" t="inlineStr">
        <is>
          <t>0</t>
        </is>
      </c>
      <c r="S616" s="10" t="inlineStr">
        <is>
          <t>1</t>
        </is>
      </c>
    </row>
    <row r="617" ht="217" customHeight="1">
      <c r="A617" s="6">
        <f>IFERROR(__xludf.DUMMYFUNCTION("""COMPUTED_VALUE"""),"Digital Divide")</f>
        <v/>
      </c>
      <c r="B617" s="6">
        <f>IFERROR(__xludf.DUMMYFUNCTION("""COMPUTED_VALUE"""),"Space")</f>
        <v/>
      </c>
      <c r="C617" s="6">
        <f>IFERROR(__xludf.DUMMYFUNCTION("""COMPUTED_VALUE"""),"Discussion")</f>
        <v/>
      </c>
      <c r="D617" s="7">
        <f>IFERROR(__xludf.DUMMYFUNCTION("""COMPUTED_VALUE"""),"&lt;p&gt;1. Write an Essay, on ""The Digital Divide In a Globalized World Suggesting Ways to Bridge the Gap""&lt;/p&gt;&lt;p&gt;2. How has the economy brought about the efficient use of time&lt;/p&gt;&lt;p&gt;3. Write a short description on the old economy&lt;/p&gt;")</f>
        <v/>
      </c>
      <c r="E617" s="7">
        <f>IFERROR(__xludf.DUMMYFUNCTION("""COMPUTED_VALUE"""),"No artifact embedded")</f>
        <v/>
      </c>
      <c r="F617" s="7" t="inlineStr">
        <is>
          <t>Students were given tasks and descriptions, with some items including embedded artifacts like images, while others had no artifacts or descriptions.</t>
        </is>
      </c>
      <c r="G617" s="8" t="inlineStr">
        <is>
          <t>0</t>
        </is>
      </c>
      <c r="H617" s="8" t="inlineStr">
        <is>
          <t>0</t>
        </is>
      </c>
      <c r="I617" s="8" t="inlineStr">
        <is>
          <t>1</t>
        </is>
      </c>
      <c r="J617" s="8" t="inlineStr">
        <is>
          <t>0</t>
        </is>
      </c>
      <c r="K617" s="9" t="inlineStr">
        <is>
          <t>1</t>
        </is>
      </c>
      <c r="L617" s="9" t="inlineStr">
        <is>
          <t>1</t>
        </is>
      </c>
      <c r="M617" s="9" t="inlineStr">
        <is>
          <t>0</t>
        </is>
      </c>
      <c r="N617" s="9" t="inlineStr">
        <is>
          <t>0</t>
        </is>
      </c>
      <c r="O617" s="10" t="inlineStr">
        <is>
          <t>1</t>
        </is>
      </c>
      <c r="P617" s="10" t="inlineStr">
        <is>
          <t>1</t>
        </is>
      </c>
      <c r="Q617" s="10" t="inlineStr">
        <is>
          <t>0</t>
        </is>
      </c>
      <c r="R617" s="10" t="inlineStr">
        <is>
          <t>0</t>
        </is>
      </c>
      <c r="S617" s="10" t="inlineStr">
        <is>
          <t>0</t>
        </is>
      </c>
    </row>
    <row r="618" ht="25" customHeight="1">
      <c r="A618" s="6">
        <f>IFERROR(__xludf.DUMMYFUNCTION("""COMPUTED_VALUE"""),"Is it Good to be Beautiful?")</f>
        <v/>
      </c>
      <c r="B618" s="6">
        <f>IFERROR(__xludf.DUMMYFUNCTION("""COMPUTED_VALUE"""),"Space")</f>
        <v/>
      </c>
      <c r="C618" s="6">
        <f>IFERROR(__xludf.DUMMYFUNCTION("""COMPUTED_VALUE"""),"Orientation")</f>
        <v/>
      </c>
      <c r="D618" s="7">
        <f>IFERROR(__xludf.DUMMYFUNCTION("""COMPUTED_VALUE"""),"No task description")</f>
        <v/>
      </c>
      <c r="E618" s="7">
        <f>IFERROR(__xludf.DUMMYFUNCTION("""COMPUTED_VALUE"""),"No artifact embedded")</f>
        <v/>
      </c>
      <c r="F618" s="7" t="inlineStr">
        <is>
          <t>Students were instructed to write essays and suggest ways to bridge the digital divide, with no artifacts embedded in any items.</t>
        </is>
      </c>
      <c r="G618" s="8" t="inlineStr">
        <is>
          <t>1</t>
        </is>
      </c>
      <c r="H618" s="8" t="inlineStr">
        <is>
          <t>0</t>
        </is>
      </c>
      <c r="I618" s="8" t="inlineStr">
        <is>
          <t>0</t>
        </is>
      </c>
      <c r="J618" s="8" t="inlineStr">
        <is>
          <t>0</t>
        </is>
      </c>
      <c r="K618" s="9" t="inlineStr">
        <is>
          <t>0</t>
        </is>
      </c>
      <c r="L618" s="9" t="inlineStr">
        <is>
          <t>0</t>
        </is>
      </c>
      <c r="M618" s="9" t="inlineStr">
        <is>
          <t>0</t>
        </is>
      </c>
      <c r="N618" s="9" t="inlineStr">
        <is>
          <t>0</t>
        </is>
      </c>
      <c r="O618" s="10" t="inlineStr">
        <is>
          <t>0</t>
        </is>
      </c>
      <c r="P618" s="10" t="inlineStr">
        <is>
          <t>0</t>
        </is>
      </c>
      <c r="Q618" s="10" t="inlineStr">
        <is>
          <t>0</t>
        </is>
      </c>
      <c r="R618" s="10" t="inlineStr">
        <is>
          <t>0</t>
        </is>
      </c>
      <c r="S618" s="10" t="inlineStr">
        <is>
          <t>0</t>
        </is>
      </c>
    </row>
    <row r="619" ht="409.5" customHeight="1">
      <c r="A619" s="6">
        <f>IFERROR(__xludf.DUMMYFUNCTION("""COMPUTED_VALUE"""),"Is it Good to be Beautiful?")</f>
        <v/>
      </c>
      <c r="B619" s="6">
        <f>IFERROR(__xludf.DUMMYFUNCTION("""COMPUTED_VALUE"""),"Resource")</f>
        <v/>
      </c>
      <c r="C619" s="6">
        <f>IFERROR(__xludf.DUMMYFUNCTION("""COMPUTED_VALUE"""),"Text 1.graasp")</f>
        <v/>
      </c>
      <c r="D619" s="7">
        <f>IFERROR(__xludf.DUMMYFUNCTION("""COMPUTED_VALUE"""),"&lt;p&gt;&lt;em&gt;&lt;strong&gt;Dear Student,&lt;/strong&gt;&lt;/em&gt;&lt;/p&gt;&lt;p class=""MsoNormal""&gt;&lt;em&gt;&lt;strong&gt;In today's lesson you will learn about the importance of natural and sexual selection processes in understanding evolution. To study these topics you will work through five i"&amp;"nquiry phases (Orientation, Conceptualization, Investigation, Conclusion and Discussion). In addition to learning about biology you will also acquire important skills for conducting scientific inquiry. You will perform experiments with the online virtual "&amp;"laboratory Sexual Selection in Guppies and collect and analyze data just like the biologist John Endler did when he first investigated the balance of natural and sexual selection in guppy fish in the 1970s.&lt;/strong&gt;&lt;/em&gt;&lt;/p&gt;&lt;p class=""MsoNormal""&gt;&lt;strong&gt;"&amp;"&lt;br&gt;&lt;/strong&gt;&lt;/p&gt;&lt;p class=""MsoNormal""&gt;Let's begin with a question: &lt;/p&gt;&lt;p class=""MsoNormal""&gt;&lt;em&gt;&lt;strong&gt;Is it always good for a person or an animal to look beautiful?&lt;/strong&gt;&lt;/em&gt;&lt;/p&gt;&lt;p class=""MsoNormal""&gt;&lt;em&gt;&lt;br&gt;&lt;/em&gt;&lt;/p&gt;&lt;p class=""MsoNormal""&gt;Toda"&amp;"y you will answer this question using evidence gathered from an inquiry investigation. The answer relates very much to understanding the evolutionary processes of natural and sexual selection. In this first phase (i.e. the Orientation inquiry phase) you w"&amp;"ill gather background information to formulate your initial thoughts and ideas and create a personalized &lt;a href=""http://en.wikipedia.org/wiki/Concept_map"" target=""_blank""&gt;concept map&lt;/a&gt;.&lt;/p&gt;&lt;p class=""MsoNormal""&gt;&lt;br&gt;&lt;/p&gt;&lt;p class=""MsoNormal""&gt;&lt;stro"&amp;"ng&gt;Step 1: Terminology&lt;/strong&gt;&lt;/p&gt;&lt;p class=""MsoNormal""&gt;Familiarize yourself with terminology relevant to today's topic by reading the text below and following the links.  &lt;/p&gt;&lt;p&gt;&lt;em&gt;Sexual selection is a part of natural selection. &lt;a href=""http://en.w"&amp;"ikipedia.org/wiki/Natural_selection"" target=""_blank""&gt;Natural selection&lt;/a&gt; is the process by which individuals with certain characteristics survive and reproduce better than other individuals without these characteristics. Success in reproduction is di"&amp;"rectly influenced by sexual selection. &lt;a href=""http://en.wikipedia.org/wiki/Sexual_selection"" target=""_blank""&gt;Sexual selection&lt;/a&gt; is the mechanism by which organisms secure mates and depends on attracting mates through the display of certain charact"&amp;"eristics.&lt;/em&gt;&lt;/p&gt;")</f>
        <v/>
      </c>
      <c r="E619" s="7">
        <f>IFERROR(__xludf.DUMMYFUNCTION("""COMPUTED_VALUE"""),"No artifact embedded")</f>
        <v/>
      </c>
      <c r="F619" s="7" t="inlineStr">
        <is>
          <t>Students are given essay prompts and tasks, including writing about the digital divide and learning about natural and sexual selection processes in biology through online labs and inquiry phases.</t>
        </is>
      </c>
      <c r="G619" s="8" t="inlineStr">
        <is>
          <t>0</t>
        </is>
      </c>
      <c r="H619" s="8" t="inlineStr">
        <is>
          <t>0</t>
        </is>
      </c>
      <c r="I619" s="8" t="inlineStr">
        <is>
          <t>1</t>
        </is>
      </c>
      <c r="J619" s="8" t="inlineStr">
        <is>
          <t>0</t>
        </is>
      </c>
      <c r="K619" s="9" t="inlineStr">
        <is>
          <t>1</t>
        </is>
      </c>
      <c r="L619" s="9" t="inlineStr">
        <is>
          <t>1</t>
        </is>
      </c>
      <c r="M619" s="9" t="inlineStr">
        <is>
          <t>0</t>
        </is>
      </c>
      <c r="N619" s="9" t="inlineStr">
        <is>
          <t>0</t>
        </is>
      </c>
      <c r="O619" s="10" t="inlineStr">
        <is>
          <t>1</t>
        </is>
      </c>
      <c r="P619" s="10" t="inlineStr">
        <is>
          <t>1</t>
        </is>
      </c>
      <c r="Q619" s="10" t="inlineStr">
        <is>
          <t>1</t>
        </is>
      </c>
      <c r="R619" s="10" t="inlineStr">
        <is>
          <t>0</t>
        </is>
      </c>
      <c r="S619" s="10" t="inlineStr">
        <is>
          <t>0</t>
        </is>
      </c>
    </row>
    <row r="620" ht="217" customHeight="1">
      <c r="A620" s="6">
        <f>IFERROR(__xludf.DUMMYFUNCTION("""COMPUTED_VALUE"""),"Is it Good to be Beautiful?")</f>
        <v/>
      </c>
      <c r="B620" s="6">
        <f>IFERROR(__xludf.DUMMYFUNCTION("""COMPUTED_VALUE"""),"Resource")</f>
        <v/>
      </c>
      <c r="C620" s="6">
        <f>IFERROR(__xludf.DUMMYFUNCTION("""COMPUTED_VALUE"""),"Text 3.graasp")</f>
        <v/>
      </c>
      <c r="D620" s="7">
        <f>IFERROR(__xludf.DUMMYFUNCTION("""COMPUTED_VALUE"""),"&lt;p&gt;&lt;strong&gt;Step 2: Informative Video&lt;/strong&gt;&lt;/p&gt;&lt;p&gt;According to evolutionary theory many animals, including humans, are attracted to certain physical characteristics. Let's watch a video from Hank's Science Show about Why Sexy is Sexy.&lt;/p&gt;")</f>
        <v/>
      </c>
      <c r="E620" s="7">
        <f>IFERROR(__xludf.DUMMYFUNCTION("""COMPUTED_VALUE"""),"No artifact embedded")</f>
        <v/>
      </c>
      <c r="F620" s="7" t="inlineStr">
        <is>
          <t>Students learn about natural and sexual selection through inquiry phases and experiments, acquiring scientific skills and answering the question if it's always good to look beautiful.</t>
        </is>
      </c>
      <c r="G620" s="8" t="inlineStr">
        <is>
          <t>1</t>
        </is>
      </c>
      <c r="H620" s="8" t="inlineStr">
        <is>
          <t>0</t>
        </is>
      </c>
      <c r="I620" s="8" t="inlineStr">
        <is>
          <t>0</t>
        </is>
      </c>
      <c r="J620" s="8" t="inlineStr">
        <is>
          <t>0</t>
        </is>
      </c>
      <c r="K620" s="9" t="inlineStr">
        <is>
          <t>1</t>
        </is>
      </c>
      <c r="L620" s="9" t="inlineStr">
        <is>
          <t>0</t>
        </is>
      </c>
      <c r="M620" s="9" t="inlineStr">
        <is>
          <t>0</t>
        </is>
      </c>
      <c r="N620" s="9" t="inlineStr">
        <is>
          <t>0</t>
        </is>
      </c>
      <c r="O620" s="10" t="inlineStr">
        <is>
          <t>1</t>
        </is>
      </c>
      <c r="P620" s="10" t="inlineStr">
        <is>
          <t>0</t>
        </is>
      </c>
      <c r="Q620" s="10" t="inlineStr">
        <is>
          <t>0</t>
        </is>
      </c>
      <c r="R620" s="10" t="inlineStr">
        <is>
          <t>0</t>
        </is>
      </c>
      <c r="S620" s="10" t="inlineStr">
        <is>
          <t>0</t>
        </is>
      </c>
    </row>
    <row r="621" ht="73" customHeight="1">
      <c r="A621" s="6">
        <f>IFERROR(__xludf.DUMMYFUNCTION("""COMPUTED_VALUE"""),"Is it Good to be Beautiful?")</f>
        <v/>
      </c>
      <c r="B621" s="6">
        <f>IFERROR(__xludf.DUMMYFUNCTION("""COMPUTED_VALUE"""),"Resource")</f>
        <v/>
      </c>
      <c r="C621" s="6">
        <f>IFERROR(__xludf.DUMMYFUNCTION("""COMPUTED_VALUE"""),"YouTube video")</f>
        <v/>
      </c>
      <c r="D621" s="7">
        <f>IFERROR(__xludf.DUMMYFUNCTION("""COMPUTED_VALUE"""),"No task description")</f>
        <v/>
      </c>
      <c r="E621" s="7">
        <f>IFERROR(__xludf.DUMMYFUNCTION("""COMPUTED_VALUE"""),"youtu.be: A shortened URL service for YouTube, leading to various videos on the platform.")</f>
        <v/>
      </c>
      <c r="F621" s="7" t="inlineStr">
        <is>
          <t>Students learn evolution through 5 inquiry phases. Embedded artifacts include a virtual lab and YouTube video on "Why Sexy is Sexy".</t>
        </is>
      </c>
      <c r="G621" s="8" t="inlineStr">
        <is>
          <t>1</t>
        </is>
      </c>
      <c r="H621" s="8" t="inlineStr">
        <is>
          <t>0</t>
        </is>
      </c>
      <c r="I621" s="8" t="inlineStr">
        <is>
          <t>0</t>
        </is>
      </c>
      <c r="J621" s="8" t="inlineStr">
        <is>
          <t>0</t>
        </is>
      </c>
      <c r="K621" s="9" t="inlineStr">
        <is>
          <t>0</t>
        </is>
      </c>
      <c r="L621" s="9" t="inlineStr">
        <is>
          <t>0</t>
        </is>
      </c>
      <c r="M621" s="9" t="inlineStr">
        <is>
          <t>0</t>
        </is>
      </c>
      <c r="N621" s="9" t="inlineStr">
        <is>
          <t>0</t>
        </is>
      </c>
      <c r="O621" s="10" t="inlineStr">
        <is>
          <t>0</t>
        </is>
      </c>
      <c r="P621" s="10" t="inlineStr">
        <is>
          <t>0</t>
        </is>
      </c>
      <c r="Q621" s="10" t="inlineStr">
        <is>
          <t>0</t>
        </is>
      </c>
      <c r="R621" s="10" t="inlineStr">
        <is>
          <t>0</t>
        </is>
      </c>
      <c r="S621" s="10" t="inlineStr">
        <is>
          <t>0</t>
        </is>
      </c>
    </row>
    <row r="622" ht="409.5" customHeight="1">
      <c r="A622" s="6">
        <f>IFERROR(__xludf.DUMMYFUNCTION("""COMPUTED_VALUE"""),"Is it Good to be Beautiful?")</f>
        <v/>
      </c>
      <c r="B622" s="6">
        <f>IFERROR(__xludf.DUMMYFUNCTION("""COMPUTED_VALUE"""),"Resource")</f>
        <v/>
      </c>
      <c r="C622" s="6">
        <f>IFERROR(__xludf.DUMMYFUNCTION("""COMPUTED_VALUE"""),"Text 4.graasp")</f>
        <v/>
      </c>
      <c r="D622" s="7">
        <f>IFERROR(__xludf.DUMMYFUNCTION("""COMPUTED_VALUE"""),"&lt;p&gt;&lt;strong&gt;Step 3: Concept Map&lt;/strong&gt;&lt;/p&gt;&lt;p class=""MsoNormal""&gt;Now think about and list several characteristics you are personally looking for in a future spouse. For each characteristic think of potential negative consequences. For example, if ""sexy "&amp;"body"" is listed as an attractive trait then this likely implies that the person has to exercise for several hours each day. If they spend so much time exercising then they do not have enough time to study in school. If they do not study enough in school "&amp;"then their career options will be limited.&lt;/p&gt;&lt;p class=""MsoNormal""&gt;&lt;em&gt;Please use the Concept Mapper app to create your concept map. Press the help button (?) to learn how to use the Concept Mapper app.&lt;/em&gt;&lt;br&gt;&lt;/p&gt;")</f>
        <v/>
      </c>
      <c r="E622" s="7">
        <f>IFERROR(__xludf.DUMMYFUNCTION("""COMPUTED_VALUE"""),"No artifact embedded")</f>
        <v/>
      </c>
      <c r="F622" s="7" t="inlineStr">
        <is>
          <t>Students watch a video, list spouse characteristics, and consider negative consequences using the Concept Mapper app. Embedded artifacts include a YouTube video link.</t>
        </is>
      </c>
      <c r="G622" s="8" t="inlineStr">
        <is>
          <t>0</t>
        </is>
      </c>
      <c r="H622" s="8" t="inlineStr">
        <is>
          <t>1</t>
        </is>
      </c>
      <c r="I622" s="8" t="inlineStr">
        <is>
          <t>1</t>
        </is>
      </c>
      <c r="J622" s="8" t="inlineStr">
        <is>
          <t>1</t>
        </is>
      </c>
      <c r="K622" s="9" t="inlineStr">
        <is>
          <t>1</t>
        </is>
      </c>
      <c r="L622" s="9" t="inlineStr">
        <is>
          <t>1</t>
        </is>
      </c>
      <c r="M622" s="9" t="inlineStr">
        <is>
          <t>0</t>
        </is>
      </c>
      <c r="N622" s="9" t="inlineStr">
        <is>
          <t>0</t>
        </is>
      </c>
      <c r="O622" s="10" t="inlineStr">
        <is>
          <t>1</t>
        </is>
      </c>
      <c r="P622" s="10" t="inlineStr">
        <is>
          <t>1</t>
        </is>
      </c>
      <c r="Q622" s="10" t="inlineStr">
        <is>
          <t>0</t>
        </is>
      </c>
      <c r="R622" s="10" t="inlineStr">
        <is>
          <t>0</t>
        </is>
      </c>
      <c r="S622" s="10" t="inlineStr">
        <is>
          <t>0</t>
        </is>
      </c>
    </row>
    <row r="623" ht="409.5" customHeight="1">
      <c r="A623" s="6">
        <f>IFERROR(__xludf.DUMMYFUNCTION("""COMPUTED_VALUE"""),"Is it Good to be Beautiful?")</f>
        <v/>
      </c>
      <c r="B623" s="6">
        <f>IFERROR(__xludf.DUMMYFUNCTION("""COMPUTED_VALUE"""),"Resource")</f>
        <v/>
      </c>
      <c r="C623" s="6">
        <f>IFERROR(__xludf.DUMMYFUNCTION("""COMPUTED_VALUE"""),"Text 5.graasp")</f>
        <v/>
      </c>
      <c r="D623" s="7">
        <f>IFERROR(__xludf.DUMMYFUNCTION("""COMPUTED_VALUE"""),"&lt;p&gt;&lt;strong&gt;Step 4: Background Information on Guppies&lt;/strong&gt;&lt;/p&gt;&lt;p class=""MsoNormal""&gt;Our inquiry investigation about natural and sexual selection will use the online virtual laboratory Sexual Selection in Guppies. The guppy is a fascinating type of fis"&amp;"h. Please read the introduction about &lt;a href=""http://en.wikipedia.org/wiki/Guppy"" target=""_blank""&gt;guppies in the Wikipedia article&lt;/a&gt; to acquire background information about them.&lt;/p&gt;&lt;p class=""MsoNormal""&gt;&lt;br&gt;&lt;/p&gt;&lt;p&gt;&lt;strong&gt;Have you finished readin"&amp;"g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amp;"&gt;&lt;strong&gt;&lt;br&gt;&lt;/strong&gt;&lt;/p&gt;&lt;p&gt;&lt;strong&gt;&lt;br&gt;&lt;/strong&gt;&lt;/p&gt;&lt;p&gt;&lt;strong&gt;&lt;br&gt;&lt;/strong&gt;&lt;/p&gt;")</f>
        <v/>
      </c>
      <c r="E623" s="7">
        <f>IFERROR(__xludf.DUMMYFUNCTION("""COMPUTED_VALUE"""),"No artifact embedded")</f>
        <v/>
      </c>
      <c r="F623" s="7" t="inlineStr">
        <is>
          <t>Students received task descriptions and some had embedded artifacts, including a YouTube URL. Tasks involved concept mapping and reading about guppies.</t>
        </is>
      </c>
      <c r="G623" s="8" t="inlineStr">
        <is>
          <t>1</t>
        </is>
      </c>
      <c r="H623" s="8" t="inlineStr">
        <is>
          <t>0</t>
        </is>
      </c>
      <c r="I623" s="8" t="inlineStr">
        <is>
          <t>0</t>
        </is>
      </c>
      <c r="J623" s="8" t="inlineStr">
        <is>
          <t>0</t>
        </is>
      </c>
      <c r="K623" s="9" t="inlineStr">
        <is>
          <t>1</t>
        </is>
      </c>
      <c r="L623" s="9" t="inlineStr">
        <is>
          <t>0</t>
        </is>
      </c>
      <c r="M623" s="9" t="inlineStr">
        <is>
          <t>0</t>
        </is>
      </c>
      <c r="N623" s="9" t="inlineStr">
        <is>
          <t>0</t>
        </is>
      </c>
      <c r="O623" s="10" t="inlineStr">
        <is>
          <t>1</t>
        </is>
      </c>
      <c r="P623" s="10" t="inlineStr">
        <is>
          <t>0</t>
        </is>
      </c>
      <c r="Q623" s="10" t="inlineStr">
        <is>
          <t>0</t>
        </is>
      </c>
      <c r="R623" s="10" t="inlineStr">
        <is>
          <t>0</t>
        </is>
      </c>
      <c r="S623" s="10" t="inlineStr">
        <is>
          <t>0</t>
        </is>
      </c>
    </row>
    <row r="624" ht="25" customHeight="1">
      <c r="A624" s="6">
        <f>IFERROR(__xludf.DUMMYFUNCTION("""COMPUTED_VALUE"""),"Is it Good to be Beautiful?")</f>
        <v/>
      </c>
      <c r="B624" s="6">
        <f>IFERROR(__xludf.DUMMYFUNCTION("""COMPUTED_VALUE"""),"Space")</f>
        <v/>
      </c>
      <c r="C624" s="6">
        <f>IFERROR(__xludf.DUMMYFUNCTION("""COMPUTED_VALUE"""),"Conceptualization")</f>
        <v/>
      </c>
      <c r="D624" s="7">
        <f>IFERROR(__xludf.DUMMYFUNCTION("""COMPUTED_VALUE"""),"No task description")</f>
        <v/>
      </c>
      <c r="E624" s="7">
        <f>IFERROR(__xludf.DUMMYFUNCTION("""COMPUTED_VALUE"""),"No artifact embedded")</f>
        <v/>
      </c>
      <c r="F624" s="7" t="inlineStr">
        <is>
          <t>Students create concept maps and read about guppies to prepare for an inquiry investigation on natural and sexual selection.</t>
        </is>
      </c>
      <c r="G624" s="8" t="inlineStr">
        <is>
          <t>1</t>
        </is>
      </c>
      <c r="H624" s="8" t="inlineStr">
        <is>
          <t>0</t>
        </is>
      </c>
      <c r="I624" s="8" t="inlineStr">
        <is>
          <t>0</t>
        </is>
      </c>
      <c r="J624" s="8" t="inlineStr">
        <is>
          <t>0</t>
        </is>
      </c>
      <c r="K624" s="9" t="inlineStr">
        <is>
          <t>0</t>
        </is>
      </c>
      <c r="L624" s="9" t="inlineStr">
        <is>
          <t>0</t>
        </is>
      </c>
      <c r="M624" s="9" t="inlineStr">
        <is>
          <t>0</t>
        </is>
      </c>
      <c r="N624" s="9" t="inlineStr">
        <is>
          <t>0</t>
        </is>
      </c>
      <c r="O624" s="10" t="inlineStr">
        <is>
          <t>0</t>
        </is>
      </c>
      <c r="P624" s="10" t="inlineStr">
        <is>
          <t>0</t>
        </is>
      </c>
      <c r="Q624" s="10" t="inlineStr">
        <is>
          <t>0</t>
        </is>
      </c>
      <c r="R624" s="10" t="inlineStr">
        <is>
          <t>0</t>
        </is>
      </c>
      <c r="S624" s="10" t="inlineStr">
        <is>
          <t>0</t>
        </is>
      </c>
    </row>
    <row r="625" ht="409.5" customHeight="1">
      <c r="A625" s="6">
        <f>IFERROR(__xludf.DUMMYFUNCTION("""COMPUTED_VALUE"""),"Is it Good to be Beautiful?")</f>
        <v/>
      </c>
      <c r="B625" s="6">
        <f>IFERROR(__xludf.DUMMYFUNCTION("""COMPUTED_VALUE"""),"Resource")</f>
        <v/>
      </c>
      <c r="C625" s="6">
        <f>IFERROR(__xludf.DUMMYFUNCTION("""COMPUTED_VALUE"""),"Text 1.graasp")</f>
        <v/>
      </c>
      <c r="D625" s="7">
        <f>IFERROR(__xludf.DUMMYFUNCTION("""COMPUTED_VALUE"""),"&lt;p&gt;&lt;strong&gt;Welcome to the Conceptualization phase. In this phase you will formulate research questions and hypotheses that will be tested with the virtual online laboratory &lt;em&gt;Sexual Selection in Guppies&lt;/em&gt;.&lt;/strong&gt;&lt;/p&gt;&lt;p class=""MsoNormal""&gt;&lt;em&gt;When "&amp;"the biologist John Endler observed wild guppies in Trinidad in the 1970s, he was puzzled by the fact that male guppies exhibited a wide variation in physical appearance depending on which part of a stream they lived in. Male guppies in one part of a strea"&amp;"m had many colourful spots on their sides, whereas male guppies in another location were relatively dull and showed only a few spots. Something must have been responsible for causing these variations.&lt;/em&gt;&lt;/p&gt;&lt;p class=""MsoNormal""&gt;&lt;br&gt;&lt;/p&gt;&lt;p class=""MsoN"&amp;"ormal""&gt;&lt;strong&gt;Step 1: Introduction to Guppy Experiments&lt;/strong&gt;&lt;/p&gt;&lt;p class=""MsoNormal""&gt;To investigate the variation of spots in guppies the biologist John Endler performed experiments in an artificial pond and varied certain variables he thought inf"&amp;"luenced the average number of spots per male guppy. Over time different pond conditions affected the average number of spots in the male guppy population. Why?&lt;/p&gt;&lt;p class=""MsoNormal""&gt;In the &lt;em&gt;Sexual Selection in Guppies&lt;/em&gt; virtual laboratory you wi"&amp;"ll run simulations to determine what variables influence the average number of spots per male guppy. Figure 1 below shows three trends &lt;strong&gt;you must simulate&lt;/strong&gt;. In plot A the number of spots increases over time and reaches a relatively large num"&amp;"ber. In plot B the number of spots occasionally increases or decreases, but overall remains the same. Finally, in plot C the number of spots decreases until reaching a relatively low number.&lt;/p&gt;")</f>
        <v/>
      </c>
      <c r="E625" s="7">
        <f>IFERROR(__xludf.DUMMYFUNCTION("""COMPUTED_VALUE"""),"No artifact embedded")</f>
        <v/>
      </c>
      <c r="F625" s="7" t="inlineStr">
        <is>
          <t>Students read about guppies and formulate research questions to investigate variation in male guppy spots using a virtual laboratory. No artifacts are embedded.</t>
        </is>
      </c>
      <c r="G625" s="8" t="inlineStr">
        <is>
          <t>0</t>
        </is>
      </c>
      <c r="H625" s="8" t="inlineStr">
        <is>
          <t>1</t>
        </is>
      </c>
      <c r="I625" s="8" t="inlineStr">
        <is>
          <t>1</t>
        </is>
      </c>
      <c r="J625" s="8" t="inlineStr">
        <is>
          <t>1</t>
        </is>
      </c>
      <c r="K625" s="9" t="inlineStr">
        <is>
          <t>1</t>
        </is>
      </c>
      <c r="L625" s="9" t="inlineStr">
        <is>
          <t>0</t>
        </is>
      </c>
      <c r="M625" s="9" t="inlineStr">
        <is>
          <t>0</t>
        </is>
      </c>
      <c r="N625" s="9" t="inlineStr">
        <is>
          <t>0</t>
        </is>
      </c>
      <c r="O625" s="10" t="inlineStr">
        <is>
          <t>1</t>
        </is>
      </c>
      <c r="P625" s="10" t="inlineStr">
        <is>
          <t>1</t>
        </is>
      </c>
      <c r="Q625" s="10" t="inlineStr">
        <is>
          <t>1</t>
        </is>
      </c>
      <c r="R625" s="10" t="inlineStr">
        <is>
          <t>0</t>
        </is>
      </c>
      <c r="S625" s="10" t="inlineStr">
        <is>
          <t>0</t>
        </is>
      </c>
    </row>
    <row r="626" ht="121" customHeight="1">
      <c r="A626" s="6">
        <f>IFERROR(__xludf.DUMMYFUNCTION("""COMPUTED_VALUE"""),"Is it Good to be Beautiful?")</f>
        <v/>
      </c>
      <c r="B626" s="6">
        <f>IFERROR(__xludf.DUMMYFUNCTION("""COMPUTED_VALUE"""),"Resource")</f>
        <v/>
      </c>
      <c r="C626" s="6">
        <f>IFERROR(__xludf.DUMMYFUNCTION("""COMPUTED_VALUE"""),"Figure1.jpg")</f>
        <v/>
      </c>
      <c r="D626" s="7">
        <f>IFERROR(__xludf.DUMMYFUNCTION("""COMPUTED_VALUE"""),"#spots per fish Time")</f>
        <v/>
      </c>
      <c r="E626" s="7">
        <f>IFERROR(__xludf.DUMMYFUNCTION("""COMPUTED_VALUE"""),"image/jpeg – A digital photograph or web image stored in a compressed format, often used for photography and web graphics.")</f>
        <v/>
      </c>
      <c r="F626" s="7" t="inlineStr">
        <is>
          <t>Students are tasked with formulating research questions on guppy variation. Embedded artifacts include no items, except an image/jpeg file in Item 3.</t>
        </is>
      </c>
      <c r="G626" s="8" t="inlineStr">
        <is>
          <t>1</t>
        </is>
      </c>
      <c r="H626" s="8" t="inlineStr">
        <is>
          <t>0</t>
        </is>
      </c>
      <c r="I626" s="8" t="inlineStr">
        <is>
          <t>0</t>
        </is>
      </c>
      <c r="J626" s="8" t="inlineStr">
        <is>
          <t>0</t>
        </is>
      </c>
      <c r="K626" s="9" t="inlineStr">
        <is>
          <t>1</t>
        </is>
      </c>
      <c r="L626" s="9" t="inlineStr">
        <is>
          <t>0</t>
        </is>
      </c>
      <c r="M626" s="9" t="inlineStr">
        <is>
          <t>0</t>
        </is>
      </c>
      <c r="N626" s="9" t="inlineStr">
        <is>
          <t>0</t>
        </is>
      </c>
      <c r="O626" s="10" t="inlineStr">
        <is>
          <t>0</t>
        </is>
      </c>
      <c r="P626" s="10" t="inlineStr">
        <is>
          <t>0</t>
        </is>
      </c>
      <c r="Q626" s="10" t="inlineStr">
        <is>
          <t>0</t>
        </is>
      </c>
      <c r="R626" s="10" t="inlineStr">
        <is>
          <t>0</t>
        </is>
      </c>
      <c r="S626" s="10" t="inlineStr">
        <is>
          <t>0</t>
        </is>
      </c>
    </row>
    <row r="627" ht="329" customHeight="1">
      <c r="A627" s="6">
        <f>IFERROR(__xludf.DUMMYFUNCTION("""COMPUTED_VALUE"""),"Is it Good to be Beautiful?")</f>
        <v/>
      </c>
      <c r="B627" s="6">
        <f>IFERROR(__xludf.DUMMYFUNCTION("""COMPUTED_VALUE"""),"Resource")</f>
        <v/>
      </c>
      <c r="C627" s="6">
        <f>IFERROR(__xludf.DUMMYFUNCTION("""COMPUTED_VALUE"""),"Text 2.graasp")</f>
        <v/>
      </c>
      <c r="D627" s="7">
        <f>IFERROR(__xludf.DUMMYFUNCTION("""COMPUTED_VALUE"""),"&lt;p&gt;Figure 1. Three plots (A, B and C) of long-term trends in the average number of spots per male guppy.&lt;/p&gt;&lt;p&gt;In order to determine which variables are responsible for the trends in plots A, B and C you should familiarize yourself with the descriptions o"&amp;"f important variables that can be varied in the virtual laboratory. Table 1 shows these variables and their descriptions.&lt;br&gt;&lt;/p&gt;")</f>
        <v/>
      </c>
      <c r="E627" s="7">
        <f>IFERROR(__xludf.DUMMYFUNCTION("""COMPUTED_VALUE"""),"No artifact embedded")</f>
        <v/>
      </c>
      <c r="F627" s="7" t="inlineStr">
        <is>
          <t>Students formulate research questions on guppy variations. Embedded artifacts include a digital photograph (jpeg) and plots/table describing guppy trends.</t>
        </is>
      </c>
      <c r="G627" s="8" t="inlineStr">
        <is>
          <t>0</t>
        </is>
      </c>
      <c r="H627" s="8" t="inlineStr">
        <is>
          <t>0</t>
        </is>
      </c>
      <c r="I627" s="8" t="inlineStr">
        <is>
          <t>0</t>
        </is>
      </c>
      <c r="J627" s="8" t="inlineStr">
        <is>
          <t>0</t>
        </is>
      </c>
      <c r="K627" s="9" t="inlineStr">
        <is>
          <t>1</t>
        </is>
      </c>
      <c r="L627" s="9" t="inlineStr">
        <is>
          <t>0</t>
        </is>
      </c>
      <c r="M627" s="9" t="inlineStr">
        <is>
          <t>0</t>
        </is>
      </c>
      <c r="N627" s="9" t="inlineStr">
        <is>
          <t>0</t>
        </is>
      </c>
      <c r="O627" s="10" t="inlineStr">
        <is>
          <t>1</t>
        </is>
      </c>
      <c r="P627" s="10" t="inlineStr">
        <is>
          <t>1</t>
        </is>
      </c>
      <c r="Q627" s="10" t="inlineStr">
        <is>
          <t>1</t>
        </is>
      </c>
      <c r="R627" s="10" t="inlineStr">
        <is>
          <t>0</t>
        </is>
      </c>
      <c r="S627" s="10" t="inlineStr">
        <is>
          <t>0</t>
        </is>
      </c>
    </row>
    <row r="628" ht="409.5" customHeight="1">
      <c r="A628" s="6">
        <f>IFERROR(__xludf.DUMMYFUNCTION("""COMPUTED_VALUE"""),"Is it Good to be Beautiful?")</f>
        <v/>
      </c>
      <c r="B628" s="6">
        <f>IFERROR(__xludf.DUMMYFUNCTION("""COMPUTED_VALUE"""),"Resource")</f>
        <v/>
      </c>
      <c r="C628" s="6">
        <f>IFERROR(__xludf.DUMMYFUNCTION("""COMPUTED_VALUE"""),"Table1.html")</f>
        <v/>
      </c>
      <c r="D628" s="7">
        <f>IFERROR(__xludf.DUMMYFUNCTION("""COMPUTED_VALUE"""),"&lt;!DOCTYPE HTML&gt; &lt;html&gt; &lt;head&gt; &lt;meta charset=""utf-8""&gt; &lt;title&gt;Sexual Selection in Guppies&lt;/title&gt;    &lt;style&gt; body {  font-family: Helvetica; } table {  width:100%; } table, th, td {  border: 1px solid black;  border-collapse: collapse; } th, td {  padding"&amp;": 5px;  text-align:left; } table#tguppy tr:nth-child(even) {  background-color: #eee; } table#tguppy tr:nth-child(odd) {  background-color:#fff; } table#tguppy th {  background-color: #5050d2;  color: white; } &lt;/style&gt; &lt;/head&gt;   &lt;body&gt;  &lt;h3&gt;Table 1. Varia"&amp;"bles and their descriptions in the virtual laboratory &lt;i&gt;Sexual Selection in Guppies.&lt;/i&gt; &lt;/h3&gt;  &lt;table id=""tguppy""&gt;  &lt;tr&gt;   &lt;th&gt;Variable&lt;/th&gt;   &lt;th&gt;Description&lt;/th&gt;  &lt;/tr&gt;  &lt;tr&gt;   &lt;td&gt;Number of guppies&lt;/td&gt;   &lt;td&gt;The starting population size of guppies"&amp;"&lt;/td&gt;  &lt;/tr&gt;  &lt;tr&gt;   &lt;td&gt;Female preference&lt;/td&gt;   &lt;td&gt;The likelihood that a female guppy will reject a male with less than the average number of spots&lt;/td&gt;  &lt;/tr&gt;  &lt;tr&gt;   &lt;td&gt;Number of predators&lt;/td&gt;   &lt;td&gt;The number of pike predators in the environment&lt;/"&amp;"td&gt;  &lt;/tr&gt; &lt;/table&gt;  &lt;/body&gt; &lt;/html&gt;")</f>
        <v/>
      </c>
      <c r="E628" s="7">
        <f>IFERROR(__xludf.DUMMYFUNCTION("""COMPUTED_VALUE"""),"text/html – A webpage or web document that contains structured text, images, and links, designed for display in a web browser.")</f>
        <v/>
      </c>
      <c r="F628" s="7" t="inlineStr">
        <is>
          <t>Students analyze guppy trends and variables. Embedded artifacts include images and web documents.</t>
        </is>
      </c>
      <c r="G628" s="8" t="inlineStr">
        <is>
          <t>0</t>
        </is>
      </c>
      <c r="H628" s="8" t="inlineStr">
        <is>
          <t>1</t>
        </is>
      </c>
      <c r="I628" s="8" t="inlineStr">
        <is>
          <t>0</t>
        </is>
      </c>
      <c r="J628" s="8" t="inlineStr">
        <is>
          <t>1</t>
        </is>
      </c>
      <c r="K628" s="9" t="inlineStr">
        <is>
          <t>1</t>
        </is>
      </c>
      <c r="L628" s="9" t="inlineStr">
        <is>
          <t>0</t>
        </is>
      </c>
      <c r="M628" s="9" t="inlineStr">
        <is>
          <t>0</t>
        </is>
      </c>
      <c r="N628" s="9" t="inlineStr">
        <is>
          <t>0</t>
        </is>
      </c>
      <c r="O628" s="10" t="inlineStr">
        <is>
          <t>1</t>
        </is>
      </c>
      <c r="P628" s="10" t="inlineStr">
        <is>
          <t>1</t>
        </is>
      </c>
      <c r="Q628" s="10" t="inlineStr">
        <is>
          <t>1</t>
        </is>
      </c>
      <c r="R628" s="10" t="inlineStr">
        <is>
          <t>0</t>
        </is>
      </c>
      <c r="S628" s="10" t="inlineStr">
        <is>
          <t>0</t>
        </is>
      </c>
    </row>
    <row r="629" ht="409.5" customHeight="1">
      <c r="A629" s="6">
        <f>IFERROR(__xludf.DUMMYFUNCTION("""COMPUTED_VALUE"""),"Is it Good to be Beautiful?")</f>
        <v/>
      </c>
      <c r="B629" s="6">
        <f>IFERROR(__xludf.DUMMYFUNCTION("""COMPUTED_VALUE"""),"Resource")</f>
        <v/>
      </c>
      <c r="C629" s="6">
        <f>IFERROR(__xludf.DUMMYFUNCTION("""COMPUTED_VALUE"""),"Text 3.graasp")</f>
        <v/>
      </c>
      <c r="D629" s="7">
        <f>IFERROR(__xludf.DUMMYFUNCTION("""COMPUTED_VALUE"""),"&lt;p&gt;&lt;strong&gt;Step 2: Research Question Formulation&lt;/strong&gt;&lt;/p&gt;&lt;p class=""MsoNormal""&gt;You have now been introduced to the different variables in the &lt;em&gt;Sexual Selection in Guppies&lt;/em&gt; virtual laboratory. Before performing experiments you need to form an o"&amp;"verview of your research topic and decide what you want to know. You do this by formulating research questions. A research question is a question you can answer by doing experiments.&lt;/p&gt;&lt;p class=""MsoNormal""&gt;&lt;em&gt;Use the Question Scratchpad app to formula"&amp;"te your questions. &lt;/em&gt;&lt;em&gt;Please think of research questions that can be answered by doing experiments in the Sexual Selection in Guppies virtual laboratory. &lt;/em&gt;&lt;em&gt;Press the help button (?) to learn how to use the Question Scratchpad app.&lt;/em&gt;&lt;/p&gt;")</f>
        <v/>
      </c>
      <c r="E629" s="7">
        <f>IFERROR(__xludf.DUMMYFUNCTION("""COMPUTED_VALUE"""),"No artifact embedded")</f>
        <v/>
      </c>
      <c r="F629" s="7" t="inlineStr">
        <is>
          <t>Students analyze guppy trends, familiarize themselves with variables, and formulate research questions using the Question Scratchpad app. Embedded artifacts include a webpage with structured text and images.</t>
        </is>
      </c>
      <c r="G629" s="8" t="inlineStr">
        <is>
          <t>0</t>
        </is>
      </c>
      <c r="H629" s="8" t="inlineStr">
        <is>
          <t>1</t>
        </is>
      </c>
      <c r="I629" s="8" t="inlineStr">
        <is>
          <t>1</t>
        </is>
      </c>
      <c r="J629" s="8" t="inlineStr">
        <is>
          <t>1</t>
        </is>
      </c>
      <c r="K629" s="9" t="inlineStr">
        <is>
          <t>1</t>
        </is>
      </c>
      <c r="L629" s="9" t="inlineStr">
        <is>
          <t>1</t>
        </is>
      </c>
      <c r="M629" s="9" t="inlineStr">
        <is>
          <t>0</t>
        </is>
      </c>
      <c r="N629" s="9" t="inlineStr">
        <is>
          <t>0</t>
        </is>
      </c>
      <c r="O629" s="10" t="inlineStr">
        <is>
          <t>1</t>
        </is>
      </c>
      <c r="P629" s="10" t="inlineStr">
        <is>
          <t>1</t>
        </is>
      </c>
      <c r="Q629" s="10" t="inlineStr">
        <is>
          <t>1</t>
        </is>
      </c>
      <c r="R629" s="10" t="inlineStr">
        <is>
          <t>0</t>
        </is>
      </c>
      <c r="S629" s="10" t="inlineStr">
        <is>
          <t>0</t>
        </is>
      </c>
    </row>
    <row r="630" ht="409.5" customHeight="1">
      <c r="A630" s="6">
        <f>IFERROR(__xludf.DUMMYFUNCTION("""COMPUTED_VALUE"""),"Is it Good to be Beautiful?")</f>
        <v/>
      </c>
      <c r="B630" s="6">
        <f>IFERROR(__xludf.DUMMYFUNCTION("""COMPUTED_VALUE"""),"Application")</f>
        <v/>
      </c>
      <c r="C630" s="6">
        <f>IFERROR(__xludf.DUMMYFUNCTION("""COMPUTED_VALUE"""),"Question Scratchpad")</f>
        <v/>
      </c>
      <c r="D630" s="7">
        <f>IFERROR(__xludf.DUMMYFUNCTION("""COMPUTED_VALUE"""),"No task description")</f>
        <v/>
      </c>
      <c r="E630"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630" s="7" t="inlineStr">
        <is>
          <t>Students formulate research questions using the Question Scratchpad app in a virtual lab on sexual selection in guppies. Embedded artifacts include a webpage and the Golabz app/lab.</t>
        </is>
      </c>
      <c r="G630" s="8" t="inlineStr">
        <is>
          <t>0</t>
        </is>
      </c>
      <c r="H630" s="8" t="inlineStr">
        <is>
          <t>1</t>
        </is>
      </c>
      <c r="I630" s="8" t="inlineStr">
        <is>
          <t>1</t>
        </is>
      </c>
      <c r="J630" s="8" t="inlineStr">
        <is>
          <t>1</t>
        </is>
      </c>
      <c r="K630" s="9" t="inlineStr">
        <is>
          <t>1</t>
        </is>
      </c>
      <c r="L630" s="9" t="inlineStr">
        <is>
          <t>0</t>
        </is>
      </c>
      <c r="M630" s="9" t="inlineStr">
        <is>
          <t>1</t>
        </is>
      </c>
      <c r="N630" s="9" t="inlineStr">
        <is>
          <t>1</t>
        </is>
      </c>
      <c r="O630" s="10" t="inlineStr">
        <is>
          <t>1</t>
        </is>
      </c>
      <c r="P630" s="10" t="inlineStr">
        <is>
          <t>1</t>
        </is>
      </c>
      <c r="Q630" s="10" t="inlineStr">
        <is>
          <t>1</t>
        </is>
      </c>
      <c r="R630" s="10" t="inlineStr">
        <is>
          <t>0</t>
        </is>
      </c>
      <c r="S630" s="10" t="inlineStr">
        <is>
          <t>0</t>
        </is>
      </c>
    </row>
    <row r="631" ht="409.5" customHeight="1">
      <c r="A631" s="6">
        <f>IFERROR(__xludf.DUMMYFUNCTION("""COMPUTED_VALUE"""),"Is it Good to be Beautiful?")</f>
        <v/>
      </c>
      <c r="B631" s="6">
        <f>IFERROR(__xludf.DUMMYFUNCTION("""COMPUTED_VALUE"""),"Resource")</f>
        <v/>
      </c>
      <c r="C631" s="6">
        <f>IFERROR(__xludf.DUMMYFUNCTION("""COMPUTED_VALUE"""),"Text 4.graasp")</f>
        <v/>
      </c>
      <c r="D631" s="7">
        <f>IFERROR(__xludf.DUMMYFUNCTION("""COMPUTED_VALUE"""),"&lt;p&gt;&lt;strong&gt;Step 3: Hypothesis Generation&lt;/strong&gt;&lt;/p&gt;&lt;p class=""MsoNormal""&gt;Your next step is to formulate &lt;strong&gt;three &lt;/strong&gt;&lt;strong&gt;hypotheses&lt;/strong&gt;. Hypotheses give predictions of the effects of certain variables. Scientists use all the knowledg"&amp;"e and information they have collected about their research topic to make an educated guess about the outcome of the experiments. Take a look at your research question(s). Can you make an educated guess about the answer of your question(s) based on the kno"&amp;"wledge you have collected in the previous phase? This educated guess will be your hypothesis. Sometimes you might be able to formulate more than one hypothesis per question.&lt;/p&gt;&lt;p class=""MsoNormal""&gt;When you have formulated your hypotheses, think about h"&amp;"ow confident are you that they are true? Use the confidence indicator on the right side of the hypothesis to indicate this level of confidence. If the indicator is purple you are 100% confident. If the circle is grey you are not at all confident.&lt;/p&gt;&lt;p&gt;&lt;e"&amp;"m&gt;Please use the Hypothesis Scratchpad app below to formulate your 3 hypotheses. &lt;/em&gt;&lt;/p&gt;")</f>
        <v/>
      </c>
      <c r="E631" s="7">
        <f>IFERROR(__xludf.DUMMYFUNCTION("""COMPUTED_VALUE"""),"No artifact embedded")</f>
        <v/>
      </c>
      <c r="F631" s="7" t="inlineStr">
        <is>
          <t>Students form research questions using the Question Scratchpad app and then generate three hypotheses with confidence levels using the Hypothesis Scratchpad app.</t>
        </is>
      </c>
      <c r="G631" s="8" t="inlineStr">
        <is>
          <t>0</t>
        </is>
      </c>
      <c r="H631" s="8" t="inlineStr">
        <is>
          <t>0</t>
        </is>
      </c>
      <c r="I631" s="8" t="inlineStr">
        <is>
          <t>1</t>
        </is>
      </c>
      <c r="J631" s="8" t="inlineStr">
        <is>
          <t>0</t>
        </is>
      </c>
      <c r="K631" s="9" t="inlineStr">
        <is>
          <t>1</t>
        </is>
      </c>
      <c r="L631" s="9" t="inlineStr">
        <is>
          <t>1</t>
        </is>
      </c>
      <c r="M631" s="9" t="inlineStr">
        <is>
          <t>0</t>
        </is>
      </c>
      <c r="N631" s="9" t="inlineStr">
        <is>
          <t>0</t>
        </is>
      </c>
      <c r="O631" s="10" t="inlineStr">
        <is>
          <t>0</t>
        </is>
      </c>
      <c r="P631" s="10" t="inlineStr">
        <is>
          <t>1</t>
        </is>
      </c>
      <c r="Q631" s="10" t="inlineStr">
        <is>
          <t>1</t>
        </is>
      </c>
      <c r="R631" s="10" t="inlineStr">
        <is>
          <t>0</t>
        </is>
      </c>
      <c r="S631" s="10" t="inlineStr">
        <is>
          <t>0</t>
        </is>
      </c>
    </row>
    <row r="632" ht="409.5" customHeight="1">
      <c r="A632" s="6">
        <f>IFERROR(__xludf.DUMMYFUNCTION("""COMPUTED_VALUE"""),"Is it Good to be Beautiful?")</f>
        <v/>
      </c>
      <c r="B632" s="6">
        <f>IFERROR(__xludf.DUMMYFUNCTION("""COMPUTED_VALUE"""),"Application")</f>
        <v/>
      </c>
      <c r="C632" s="6">
        <f>IFERROR(__xludf.DUMMYFUNCTION("""COMPUTED_VALUE"""),"Hypothesis Scratchpad")</f>
        <v/>
      </c>
      <c r="D632" s="7">
        <f>IFERROR(__xludf.DUMMYFUNCTION("""COMPUTED_VALUE"""),"No task description")</f>
        <v/>
      </c>
      <c r="E63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32" s="7" t="inlineStr">
        <is>
          <t>Students are given tasks and tools to formulate research questions and hypotheses using apps like Question Scratchpad and Hypothesis Scratchpad.</t>
        </is>
      </c>
      <c r="G632" s="8" t="inlineStr">
        <is>
          <t>0</t>
        </is>
      </c>
      <c r="H632" s="8" t="inlineStr">
        <is>
          <t>1</t>
        </is>
      </c>
      <c r="I632" s="8" t="inlineStr">
        <is>
          <t>1</t>
        </is>
      </c>
      <c r="J632" s="8" t="inlineStr">
        <is>
          <t>1</t>
        </is>
      </c>
      <c r="K632" s="9" t="inlineStr">
        <is>
          <t>1</t>
        </is>
      </c>
      <c r="L632" s="9" t="inlineStr">
        <is>
          <t>0</t>
        </is>
      </c>
      <c r="M632" s="9" t="inlineStr">
        <is>
          <t>1</t>
        </is>
      </c>
      <c r="N632" s="9" t="inlineStr">
        <is>
          <t>1</t>
        </is>
      </c>
      <c r="O632" s="10" t="inlineStr">
        <is>
          <t>0</t>
        </is>
      </c>
      <c r="P632" s="10" t="inlineStr">
        <is>
          <t>1</t>
        </is>
      </c>
      <c r="Q632" s="10" t="inlineStr">
        <is>
          <t>1</t>
        </is>
      </c>
      <c r="R632" s="10" t="inlineStr">
        <is>
          <t>0</t>
        </is>
      </c>
      <c r="S632" s="10" t="inlineStr">
        <is>
          <t>0</t>
        </is>
      </c>
    </row>
    <row r="633" ht="351" customHeight="1">
      <c r="A633" s="6">
        <f>IFERROR(__xludf.DUMMYFUNCTION("""COMPUTED_VALUE"""),"Is it Good to be Beautiful?")</f>
        <v/>
      </c>
      <c r="B633" s="6">
        <f>IFERROR(__xludf.DUMMYFUNCTION("""COMPUTED_VALUE"""),"Resource")</f>
        <v/>
      </c>
      <c r="C633" s="6">
        <f>IFERROR(__xludf.DUMMYFUNCTION("""COMPUTED_VALUE"""),"Text 5.graasp")</f>
        <v/>
      </c>
      <c r="D633" s="7">
        <f>IFERROR(__xludf.DUMMYFUNCTION("""COMPUTED_VALUE"""),"&lt;p&gt;&lt;strong&gt;Step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amp;"&gt;&lt;p&gt;&lt;strong&gt;&lt;br&gt;&lt;/strong&gt;&lt;/p&gt;&lt;p&gt;&lt;strong&gt;&lt;br&gt;&lt;/strong&gt;&lt;/p&gt;&lt;p&gt;&lt;strong&gt;&lt;br&gt;&lt;/strong&gt;&lt;/p&gt;&lt;p&gt;&lt;strong&gt;&lt;br&gt;&lt;/strong&gt;&lt;/p&gt;&lt;p&gt;&lt;strong&gt;&lt;br&gt;&lt;/strong&gt;&lt;/p&gt;&lt;p&gt;&lt;br&gt;&lt;/p&gt;")</f>
        <v/>
      </c>
      <c r="E633" s="7">
        <f>IFERROR(__xludf.DUMMYFUNCTION("""COMPUTED_VALUE"""),"No artifact embedded")</f>
        <v/>
      </c>
      <c r="F633" s="7" t="inlineStr">
        <is>
          <t>Students form 3 hypotheses using the Hypothesis Scratchpad app, indicating confidence levels.</t>
        </is>
      </c>
      <c r="G633" s="8" t="inlineStr">
        <is>
          <t>0</t>
        </is>
      </c>
      <c r="H633" s="8" t="inlineStr">
        <is>
          <t>0</t>
        </is>
      </c>
      <c r="I633" s="8" t="inlineStr">
        <is>
          <t>0</t>
        </is>
      </c>
      <c r="J633" s="8" t="inlineStr">
        <is>
          <t>0</t>
        </is>
      </c>
      <c r="K633" s="9" t="inlineStr">
        <is>
          <t>1</t>
        </is>
      </c>
      <c r="L633" s="9" t="inlineStr">
        <is>
          <t>0</t>
        </is>
      </c>
      <c r="M633" s="9" t="inlineStr">
        <is>
          <t>0</t>
        </is>
      </c>
      <c r="N633" s="9" t="inlineStr">
        <is>
          <t>0</t>
        </is>
      </c>
      <c r="O633" s="10" t="inlineStr">
        <is>
          <t>0</t>
        </is>
      </c>
      <c r="P633" s="10" t="inlineStr">
        <is>
          <t>1</t>
        </is>
      </c>
      <c r="Q633" s="10" t="inlineStr">
        <is>
          <t>1</t>
        </is>
      </c>
      <c r="R633" s="10" t="inlineStr">
        <is>
          <t>0</t>
        </is>
      </c>
      <c r="S633" s="10" t="inlineStr">
        <is>
          <t>0</t>
        </is>
      </c>
    </row>
    <row r="634" ht="25" customHeight="1">
      <c r="A634" s="6">
        <f>IFERROR(__xludf.DUMMYFUNCTION("""COMPUTED_VALUE"""),"Is it Good to be Beautiful?")</f>
        <v/>
      </c>
      <c r="B634" s="6">
        <f>IFERROR(__xludf.DUMMYFUNCTION("""COMPUTED_VALUE"""),"Space")</f>
        <v/>
      </c>
      <c r="C634" s="6">
        <f>IFERROR(__xludf.DUMMYFUNCTION("""COMPUTED_VALUE"""),"Investigation")</f>
        <v/>
      </c>
      <c r="D634" s="7">
        <f>IFERROR(__xludf.DUMMYFUNCTION("""COMPUTED_VALUE"""),"No task description")</f>
        <v/>
      </c>
      <c r="E634" s="7">
        <f>IFERROR(__xludf.DUMMYFUNCTION("""COMPUTED_VALUE"""),"No artifact embedded")</f>
        <v/>
      </c>
      <c r="F634" s="7" t="inlineStr">
        <is>
          <t>Students were given tasks with descriptions and access to Golabz app/lab, specifically "The Hypothesis Scratchpad", with configuration options.</t>
        </is>
      </c>
      <c r="G634" s="8" t="inlineStr">
        <is>
          <t>1</t>
        </is>
      </c>
      <c r="H634" s="8" t="inlineStr">
        <is>
          <t>0</t>
        </is>
      </c>
      <c r="I634" s="8" t="inlineStr">
        <is>
          <t>0</t>
        </is>
      </c>
      <c r="J634" s="8" t="inlineStr">
        <is>
          <t>0</t>
        </is>
      </c>
      <c r="K634" s="9" t="inlineStr">
        <is>
          <t>0</t>
        </is>
      </c>
      <c r="L634" s="9" t="inlineStr">
        <is>
          <t>0</t>
        </is>
      </c>
      <c r="M634" s="9" t="inlineStr">
        <is>
          <t>0</t>
        </is>
      </c>
      <c r="N634" s="9" t="inlineStr">
        <is>
          <t>0</t>
        </is>
      </c>
      <c r="O634" s="10" t="inlineStr">
        <is>
          <t>0</t>
        </is>
      </c>
      <c r="P634" s="10" t="inlineStr">
        <is>
          <t>0</t>
        </is>
      </c>
      <c r="Q634" s="10" t="inlineStr">
        <is>
          <t>0</t>
        </is>
      </c>
      <c r="R634" s="10" t="inlineStr">
        <is>
          <t>0</t>
        </is>
      </c>
      <c r="S634" s="10" t="inlineStr">
        <is>
          <t>0</t>
        </is>
      </c>
    </row>
    <row r="635" ht="409.5" customHeight="1">
      <c r="A635" s="6">
        <f>IFERROR(__xludf.DUMMYFUNCTION("""COMPUTED_VALUE"""),"Is it Good to be Beautiful?")</f>
        <v/>
      </c>
      <c r="B635" s="6">
        <f>IFERROR(__xludf.DUMMYFUNCTION("""COMPUTED_VALUE"""),"Resource")</f>
        <v/>
      </c>
      <c r="C635" s="6">
        <f>IFERROR(__xludf.DUMMYFUNCTION("""COMPUTED_VALUE"""),"Text 1.graasp")</f>
        <v/>
      </c>
      <c r="D635" s="7">
        <f>IFERROR(__xludf.DUMMYFUNCTION("""COMPUTED_VALUE"""),"&lt;p style=""margin-bottom: 10.5px; font-size: 20px; line-height: 30px;""&gt;&lt;strong&gt;Welcome to the Investigation phase. You have stated your research questions and hypotheses and are now ready to use the virtual laboratory &lt;em&gt;Sexual Selection in Guppies&lt;/em&gt;"&amp;". Your aim in the Investigation phase is to gather evidence to answer your research questions and accept or reject your hypotheses.&lt;/strong&gt;&lt;/p&gt;&lt;p&gt;&lt;strong&gt;&lt;br&gt;&lt;/strong&gt;&lt;/p&gt;&lt;p&gt;&lt;strong&gt;&lt;br&gt;&lt;/strong&gt;&lt;/p&gt;&lt;p&gt;&lt;strong&gt;Step 1: The virtual laboratory &lt;em&gt;Sexual Se"&amp;"lection in Guppies&lt;/em&gt;&lt;/strong&gt;&lt;/p&gt;&lt;p&gt;Experiment with the virtual laboratory to test your hypotheses. In order to change variable values use the sliders in the simulation. After setting your variables press the Play/Pause button to run the simulation. Pr"&amp;"ess the Reset button to restart an experiment.&lt;br&gt;&lt;/p&gt;&lt;p&gt;Please use the Observation tool located just below the virtual laboratory to record all your observations and measurements. Your observations are a summary of the experimental results and will be us"&amp;"ed to compare with your initial hypotheses in the Conclusion phase.&lt;/p&gt;")</f>
        <v/>
      </c>
      <c r="E635" s="7">
        <f>IFERROR(__xludf.DUMMYFUNCTION("""COMPUTED_VALUE"""),"No artifact embedded")</f>
        <v/>
      </c>
      <c r="F635" s="7" t="inlineStr">
        <is>
          <t>Students were instructed to formulate hypotheses, use a virtual lab to test them, and record observations using the Observation tool. No artifacts were embedded in any items.</t>
        </is>
      </c>
      <c r="G635" s="8" t="inlineStr">
        <is>
          <t>0</t>
        </is>
      </c>
      <c r="H635" s="8" t="inlineStr">
        <is>
          <t>1</t>
        </is>
      </c>
      <c r="I635" s="8" t="inlineStr">
        <is>
          <t>1</t>
        </is>
      </c>
      <c r="J635" s="8" t="inlineStr">
        <is>
          <t>1</t>
        </is>
      </c>
      <c r="K635" s="9" t="inlineStr">
        <is>
          <t>1</t>
        </is>
      </c>
      <c r="L635" s="9" t="inlineStr">
        <is>
          <t>1</t>
        </is>
      </c>
      <c r="M635" s="9" t="inlineStr">
        <is>
          <t>0</t>
        </is>
      </c>
      <c r="N635" s="9" t="inlineStr">
        <is>
          <t>0</t>
        </is>
      </c>
      <c r="O635" s="10" t="inlineStr">
        <is>
          <t>1</t>
        </is>
      </c>
      <c r="P635" s="10" t="inlineStr">
        <is>
          <t>0</t>
        </is>
      </c>
      <c r="Q635" s="10" t="inlineStr">
        <is>
          <t>1</t>
        </is>
      </c>
      <c r="R635" s="10" t="inlineStr">
        <is>
          <t>0</t>
        </is>
      </c>
      <c r="S635" s="10" t="inlineStr">
        <is>
          <t>0</t>
        </is>
      </c>
    </row>
    <row r="636" ht="285" customHeight="1">
      <c r="A636" s="6">
        <f>IFERROR(__xludf.DUMMYFUNCTION("""COMPUTED_VALUE"""),"Is it Good to be Beautiful?")</f>
        <v/>
      </c>
      <c r="B636" s="6">
        <f>IFERROR(__xludf.DUMMYFUNCTION("""COMPUTED_VALUE"""),"Application")</f>
        <v/>
      </c>
      <c r="C636" s="6">
        <f>IFERROR(__xludf.DUMMYFUNCTION("""COMPUTED_VALUE"""),"Sexual Selection in Guppies (HTML5)")</f>
        <v/>
      </c>
      <c r="D636" s="7">
        <f>IFERROR(__xludf.DUMMYFUNCTION("""COMPUTED_VALUE"""),"No task description")</f>
        <v/>
      </c>
      <c r="E636" s="7">
        <f>IFERROR(__xludf.DUMMYFUNCTION("""COMPUTED_VALUE"""),"Golabz app/lab: ""&lt;p&gt;This model simulates Endler&amp;#39;s 1980 classic experiment on the balance of sexual selection and natural selection. In guppies, females prefer to mate with males that have lots of spots, but those males are more easily seen by predato"&amp;"rs. You can manipulate strength of female preference and the number of predators.&lt;/p&gt;""")</f>
        <v/>
      </c>
      <c r="F636" s="7" t="inlineStr">
        <is>
          <t>Students use a virtual lab to test hypotheses about sexual selection in guppies, recording observations and measurements to inform their conclusions.</t>
        </is>
      </c>
      <c r="G636" s="8" t="inlineStr">
        <is>
          <t>0</t>
        </is>
      </c>
      <c r="H636" s="8" t="inlineStr">
        <is>
          <t>1</t>
        </is>
      </c>
      <c r="I636" s="8" t="inlineStr">
        <is>
          <t>1</t>
        </is>
      </c>
      <c r="J636" s="8" t="inlineStr">
        <is>
          <t>1</t>
        </is>
      </c>
      <c r="K636" s="9" t="inlineStr">
        <is>
          <t>1</t>
        </is>
      </c>
      <c r="L636" s="9" t="inlineStr">
        <is>
          <t>0</t>
        </is>
      </c>
      <c r="M636" s="9" t="inlineStr">
        <is>
          <t>0</t>
        </is>
      </c>
      <c r="N636" s="9" t="inlineStr">
        <is>
          <t>0</t>
        </is>
      </c>
      <c r="O636" s="10" t="inlineStr">
        <is>
          <t>1</t>
        </is>
      </c>
      <c r="P636" s="10" t="inlineStr">
        <is>
          <t>1</t>
        </is>
      </c>
      <c r="Q636" s="10" t="inlineStr">
        <is>
          <t>1</t>
        </is>
      </c>
      <c r="R636" s="10" t="inlineStr">
        <is>
          <t>0</t>
        </is>
      </c>
      <c r="S636" s="10" t="inlineStr">
        <is>
          <t>0</t>
        </is>
      </c>
    </row>
    <row r="637" ht="229" customHeight="1">
      <c r="A637" s="6">
        <f>IFERROR(__xludf.DUMMYFUNCTION("""COMPUTED_VALUE"""),"Is it Good to be Beautiful?")</f>
        <v/>
      </c>
      <c r="B637" s="6">
        <f>IFERROR(__xludf.DUMMYFUNCTION("""COMPUTED_VALUE"""),"Resource")</f>
        <v/>
      </c>
      <c r="C637" s="6">
        <f>IFERROR(__xludf.DUMMYFUNCTION("""COMPUTED_VALUE"""),"Text 2.graasp")</f>
        <v/>
      </c>
      <c r="D637" s="7">
        <f>IFERROR(__xludf.DUMMYFUNCTION("""COMPUTED_VALUE"""),"&lt;p&gt;&lt;strong&gt;Observation Tool&lt;/strong&gt;&lt;/p&gt;&lt;p class=""MsoNormal""&gt;You can add a new observations by clicking on the + button. Make sure you use a new line for each observation.&lt;/p&gt;&lt;p&gt;&lt;em&gt;Press the help button (?) to learn how to use the Observation Tool app."&amp;"&lt;/em&gt;&lt;/p&gt;")</f>
        <v/>
      </c>
      <c r="E637" s="7">
        <f>IFERROR(__xludf.DUMMYFUNCTION("""COMPUTED_VALUE"""),"No artifact embedded")</f>
        <v/>
      </c>
      <c r="F637" s="7" t="inlineStr">
        <is>
          <t>Students are instructed to experiment with virtual labs, record observations, and test hypotheses. Embedded artifacts include the Golabz app/lab simulating Endler's guppy experiment.</t>
        </is>
      </c>
      <c r="G637" s="8" t="inlineStr">
        <is>
          <t>0</t>
        </is>
      </c>
      <c r="H637" s="8" t="inlineStr">
        <is>
          <t>0</t>
        </is>
      </c>
      <c r="I637" s="8" t="inlineStr">
        <is>
          <t>1</t>
        </is>
      </c>
      <c r="J637" s="8" t="inlineStr">
        <is>
          <t>0</t>
        </is>
      </c>
      <c r="K637" s="9" t="inlineStr">
        <is>
          <t>1</t>
        </is>
      </c>
      <c r="L637" s="9" t="inlineStr">
        <is>
          <t>0</t>
        </is>
      </c>
      <c r="M637" s="9" t="inlineStr">
        <is>
          <t>0</t>
        </is>
      </c>
      <c r="N637" s="9" t="inlineStr">
        <is>
          <t>0</t>
        </is>
      </c>
      <c r="O637" s="10" t="inlineStr">
        <is>
          <t>0</t>
        </is>
      </c>
      <c r="P637" s="10" t="inlineStr">
        <is>
          <t>0</t>
        </is>
      </c>
      <c r="Q637" s="10" t="inlineStr">
        <is>
          <t>0</t>
        </is>
      </c>
      <c r="R637" s="10" t="inlineStr">
        <is>
          <t>0</t>
        </is>
      </c>
      <c r="S637" s="10" t="inlineStr">
        <is>
          <t>0</t>
        </is>
      </c>
    </row>
    <row r="638" ht="395" customHeight="1">
      <c r="A638" s="6">
        <f>IFERROR(__xludf.DUMMYFUNCTION("""COMPUTED_VALUE"""),"Is it Good to be Beautiful?")</f>
        <v/>
      </c>
      <c r="B638" s="6">
        <f>IFERROR(__xludf.DUMMYFUNCTION("""COMPUTED_VALUE"""),"Application")</f>
        <v/>
      </c>
      <c r="C638" s="6">
        <f>IFERROR(__xludf.DUMMYFUNCTION("""COMPUTED_VALUE"""),"Observation Tool")</f>
        <v/>
      </c>
      <c r="D638" s="7">
        <f>IFERROR(__xludf.DUMMYFUNCTION("""COMPUTED_VALUE"""),"No task description")</f>
        <v/>
      </c>
      <c r="E63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38" s="7" t="inlineStr">
        <is>
          <t>Students use Golabz apps and Observation Tools with tasks including experimenting with guppy mating preferences and recording observations.</t>
        </is>
      </c>
      <c r="G638" s="8" t="inlineStr">
        <is>
          <t>0</t>
        </is>
      </c>
      <c r="H638" s="8" t="inlineStr">
        <is>
          <t>1</t>
        </is>
      </c>
      <c r="I638" s="8" t="inlineStr">
        <is>
          <t>1</t>
        </is>
      </c>
      <c r="J638" s="8" t="inlineStr">
        <is>
          <t>1</t>
        </is>
      </c>
      <c r="K638" s="9" t="inlineStr">
        <is>
          <t>0</t>
        </is>
      </c>
      <c r="L638" s="9" t="inlineStr">
        <is>
          <t>0</t>
        </is>
      </c>
      <c r="M638" s="9" t="inlineStr">
        <is>
          <t>1</t>
        </is>
      </c>
      <c r="N638" s="9" t="inlineStr">
        <is>
          <t>1</t>
        </is>
      </c>
      <c r="O638" s="10" t="inlineStr">
        <is>
          <t>0</t>
        </is>
      </c>
      <c r="P638" s="10" t="inlineStr">
        <is>
          <t>1</t>
        </is>
      </c>
      <c r="Q638" s="10" t="inlineStr">
        <is>
          <t>1</t>
        </is>
      </c>
      <c r="R638" s="10" t="inlineStr">
        <is>
          <t>1</t>
        </is>
      </c>
      <c r="S638" s="10" t="inlineStr">
        <is>
          <t>0</t>
        </is>
      </c>
    </row>
    <row r="639" ht="409.5" customHeight="1">
      <c r="A639" s="6">
        <f>IFERROR(__xludf.DUMMYFUNCTION("""COMPUTED_VALUE"""),"Is it Good to be Beautiful?")</f>
        <v/>
      </c>
      <c r="B639" s="6">
        <f>IFERROR(__xludf.DUMMYFUNCTION("""COMPUTED_VALUE"""),"Resource")</f>
        <v/>
      </c>
      <c r="C639" s="6">
        <f>IFERROR(__xludf.DUMMYFUNCTION("""COMPUTED_VALUE"""),"Text 3.graasp")</f>
        <v/>
      </c>
      <c r="D639" s="7">
        <f>IFERROR(__xludf.DUMMYFUNCTION("""COMPUTED_VALUE"""),"&lt;p&gt;&lt;strong&gt;Step 2:&lt;/strong&gt;&lt;/p&gt;&lt;p&gt;&lt;strong&gt;Did you collect enough experimental data and record the observations using the observation tool to accept or reject your hypotheses? If so then please move on to the Conclusion phase.&lt;/strong&gt;&lt;/p&gt;&lt;p&gt;&lt;strong&gt;&lt;br&gt;&lt;/"&amp;"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amp;"ong&gt;&lt;/p&gt;&lt;p&gt;&lt;strong&gt;&lt;br&gt;&lt;/strong&gt;&lt;/p&gt;&lt;p&gt;&lt;strong&gt;&lt;br&gt;&lt;/strong&gt;&lt;/p&gt;")</f>
        <v/>
      </c>
      <c r="E639" s="7">
        <f>IFERROR(__xludf.DUMMYFUNCTION("""COMPUTED_VALUE"""),"No artifact embedded")</f>
        <v/>
      </c>
      <c r="F639" s="7" t="inlineStr">
        <is>
          <t>Students use the Observation Tool app to record experiment observations, with instructions to add new lines for each entry. The Golabz app/lab allows retrieval of observations and data analysis for conclusion drawing.</t>
        </is>
      </c>
      <c r="G639" s="8" t="inlineStr">
        <is>
          <t>0</t>
        </is>
      </c>
      <c r="H639" s="8" t="inlineStr">
        <is>
          <t>0</t>
        </is>
      </c>
      <c r="I639" s="8" t="inlineStr">
        <is>
          <t>0</t>
        </is>
      </c>
      <c r="J639" s="8" t="inlineStr">
        <is>
          <t>0</t>
        </is>
      </c>
      <c r="K639" s="9" t="inlineStr">
        <is>
          <t>1</t>
        </is>
      </c>
      <c r="L639" s="9" t="inlineStr">
        <is>
          <t>0</t>
        </is>
      </c>
      <c r="M639" s="9" t="inlineStr">
        <is>
          <t>0</t>
        </is>
      </c>
      <c r="N639" s="9" t="inlineStr">
        <is>
          <t>0</t>
        </is>
      </c>
      <c r="O639" s="10" t="inlineStr">
        <is>
          <t>0</t>
        </is>
      </c>
      <c r="P639" s="10" t="inlineStr">
        <is>
          <t>0</t>
        </is>
      </c>
      <c r="Q639" s="10" t="inlineStr">
        <is>
          <t>1</t>
        </is>
      </c>
      <c r="R639" s="10" t="inlineStr">
        <is>
          <t>1</t>
        </is>
      </c>
      <c r="S639" s="10" t="inlineStr">
        <is>
          <t>0</t>
        </is>
      </c>
    </row>
    <row r="640" ht="25" customHeight="1">
      <c r="A640" s="6">
        <f>IFERROR(__xludf.DUMMYFUNCTION("""COMPUTED_VALUE"""),"Is it Good to be Beautiful?")</f>
        <v/>
      </c>
      <c r="B640" s="6">
        <f>IFERROR(__xludf.DUMMYFUNCTION("""COMPUTED_VALUE"""),"Space")</f>
        <v/>
      </c>
      <c r="C640" s="6">
        <f>IFERROR(__xludf.DUMMYFUNCTION("""COMPUTED_VALUE"""),"Conclusion")</f>
        <v/>
      </c>
      <c r="D640" s="7">
        <f>IFERROR(__xludf.DUMMYFUNCTION("""COMPUTED_VALUE"""),"No task description")</f>
        <v/>
      </c>
      <c r="E640" s="7">
        <f>IFERROR(__xludf.DUMMYFUNCTION("""COMPUTED_VALUE"""),"No artifact embedded")</f>
        <v/>
      </c>
      <c r="F640" s="7" t="inlineStr">
        <is>
          <t>Students use Golabz app to record observations and analyze experiments. Later, they verify if enough data was collected to accept or reject hypotheses using the observation tool.</t>
        </is>
      </c>
      <c r="G640" s="8" t="inlineStr">
        <is>
          <t>1</t>
        </is>
      </c>
      <c r="H640" s="8" t="inlineStr">
        <is>
          <t>0</t>
        </is>
      </c>
      <c r="I640" s="8" t="inlineStr">
        <is>
          <t>0</t>
        </is>
      </c>
      <c r="J640" s="8" t="inlineStr">
        <is>
          <t>0</t>
        </is>
      </c>
      <c r="K640" s="9" t="inlineStr">
        <is>
          <t>0</t>
        </is>
      </c>
      <c r="L640" s="9" t="inlineStr">
        <is>
          <t>0</t>
        </is>
      </c>
      <c r="M640" s="9" t="inlineStr">
        <is>
          <t>0</t>
        </is>
      </c>
      <c r="N640" s="9" t="inlineStr">
        <is>
          <t>0</t>
        </is>
      </c>
      <c r="O640" s="10" t="inlineStr">
        <is>
          <t>0</t>
        </is>
      </c>
      <c r="P640" s="10" t="inlineStr">
        <is>
          <t>0</t>
        </is>
      </c>
      <c r="Q640" s="10" t="inlineStr">
        <is>
          <t>0</t>
        </is>
      </c>
      <c r="R640" s="10" t="inlineStr">
        <is>
          <t>0</t>
        </is>
      </c>
      <c r="S640" s="10" t="inlineStr">
        <is>
          <t>0</t>
        </is>
      </c>
    </row>
    <row r="641" ht="409.5" customHeight="1">
      <c r="A641" s="6">
        <f>IFERROR(__xludf.DUMMYFUNCTION("""COMPUTED_VALUE"""),"Is it Good to be Beautiful?")</f>
        <v/>
      </c>
      <c r="B641" s="6">
        <f>IFERROR(__xludf.DUMMYFUNCTION("""COMPUTED_VALUE"""),"Resource")</f>
        <v/>
      </c>
      <c r="C641" s="6">
        <f>IFERROR(__xludf.DUMMYFUNCTION("""COMPUTED_VALUE"""),"Text 1.graasp")</f>
        <v/>
      </c>
      <c r="D641" s="7">
        <f>IFERROR(__xludf.DUMMYFUNCTION("""COMPUTED_VALUE"""),"&lt;p&gt;&lt;strong&gt;Welcome to the Conclusion phase. You have made investigations using the virtual laboratory and increased your knowledge about evolution and the processes of natural and sexual selection. Based on the evidence you collected you are ready to stat"&amp;"e your final conclusions.&lt;/strong&gt;&lt;/p&gt;&lt;p class=""MsoNormal""&gt;&lt;br&gt;&lt;/p&gt;&lt;p class=""MsoNormal""&gt;&lt;strong&gt;Step 1:&lt;/strong&gt;&lt;br&gt;&lt;/p&gt;&lt;p class=""MsoNormal""&gt;You have collected all data needed to draw your conclusions. Now you have to see whether these data can help"&amp;" accept or reject your hypotheses. You can find your hypotheses at the top of the Conclusion tool below. Let's start with your first hypothesis. &lt;strong&gt;Click on it&lt;/strong&gt; to select it. Now think about the observations that you have added in the Observa"&amp;"tion tool. Can any of these observations help you accept or reject your hypothesis? &lt;strong&gt;Add all relevant observations by clicking on the + button&lt;/strong&gt; and selecting the ones that you think are useful.&lt;/p&gt;&lt;p class=""MsoNormal""&gt;&lt;br&gt;&lt;/p&gt;&lt;p class=""M"&amp;"soNormal""&gt;&lt;strong&gt;Step 2:&lt;/strong&gt;&lt;/p&gt;&lt;p class=""MsoNormal""&gt;Now you need to &lt;strong&gt;compare your observations with your hypothesis&lt;/strong&gt;. In scientific research the more evidence and observations you collect that support your hypothesis, the more con"&amp;"fident you become. Did you find any evidence that your hypothesis is valid? Or did you find evidence that your hypothesis is not? Do you have more confidence in your hypothesis based on your data and observations? How much confidence do you have now conce"&amp;"rning your hypothesis? &lt;strong&gt;Let the confidence circle reflect your current confidence. You might want to keep it the same or change it.&lt;/strong&gt;&lt;/p&gt;&lt;p class=""MsoNormal""&gt;&lt;br&gt;&lt;/p&gt;&lt;p class=""MsoNormal""&gt;&lt;strong&gt;Step 3:&lt;/strong&gt;&lt;/p&gt;&lt;p class=""MsoNormal"""&amp;"&gt;In the box below the confidence circle, you can &lt;strong&gt;write down your conclusion(s).&lt;/strong&gt; Think about the experiments that you did in the virtual lab. Why did your confidence in yourhypothesis change or why did it remain the same? &lt;strong&gt;Write you"&amp;"r arguments down in the box as well.&lt;/strong&gt;&lt;/p&gt;&lt;p class=""MsoNormal""&gt;If you are not certain yet, whether you can accept or reject your hypothesis, you might need to perform more experiments. You can always go back to the Investigation phase to perform "&amp;"additional experiments if you believe you need more evidence.&lt;/p&gt;&lt;p class=""MsoNormal""&gt;&lt;br&gt;&lt;/p&gt;&lt;p class=""MsoNormal""&gt;&lt;strong&gt;Step 4:&lt;/strong&gt;&lt;/p&gt;&lt;p&gt;When you have finished your conclusion about your first hypothesis, you can continue with your second hyp"&amp;"othesis. &lt;strong&gt;Select your second hypothesis and repeat steps 1 to 3.&lt;/strong&gt;&lt;br&gt;&lt;/p&gt;&lt;p&gt;&lt;br&gt;&lt;/p&gt;&lt;p&gt;&lt;br&gt;&lt;/p&gt;")</f>
        <v/>
      </c>
      <c r="E641" s="7">
        <f>IFERROR(__xludf.DUMMYFUNCTION("""COMPUTED_VALUE"""),"No artifact embedded")</f>
        <v/>
      </c>
      <c r="F641" s="7" t="inlineStr">
        <is>
          <t>Students are instructed to conclude investigations by analyzing data, accepting or rejecting hypotheses, and writing conclusions in the Conclusion phase. No artifacts are embedded.</t>
        </is>
      </c>
      <c r="G641" s="8" t="inlineStr">
        <is>
          <t>0</t>
        </is>
      </c>
      <c r="H641" s="8" t="inlineStr">
        <is>
          <t>0</t>
        </is>
      </c>
      <c r="I641" s="8" t="inlineStr">
        <is>
          <t>1</t>
        </is>
      </c>
      <c r="J641" s="8" t="inlineStr">
        <is>
          <t>1</t>
        </is>
      </c>
      <c r="K641" s="9" t="inlineStr">
        <is>
          <t>1</t>
        </is>
      </c>
      <c r="L641" s="9" t="inlineStr">
        <is>
          <t>1</t>
        </is>
      </c>
      <c r="M641" s="9" t="inlineStr">
        <is>
          <t>0</t>
        </is>
      </c>
      <c r="N641" s="9" t="inlineStr">
        <is>
          <t>0</t>
        </is>
      </c>
      <c r="O641" s="10" t="inlineStr">
        <is>
          <t>0</t>
        </is>
      </c>
      <c r="P641" s="10" t="inlineStr">
        <is>
          <t>0</t>
        </is>
      </c>
      <c r="Q641" s="10" t="inlineStr">
        <is>
          <t>0</t>
        </is>
      </c>
      <c r="R641" s="10" t="inlineStr">
        <is>
          <t>1</t>
        </is>
      </c>
      <c r="S641" s="10" t="inlineStr">
        <is>
          <t>0</t>
        </is>
      </c>
    </row>
    <row r="642" ht="409.5" customHeight="1">
      <c r="A642" s="6">
        <f>IFERROR(__xludf.DUMMYFUNCTION("""COMPUTED_VALUE"""),"Is it Good to be Beautiful?")</f>
        <v/>
      </c>
      <c r="B642" s="6">
        <f>IFERROR(__xludf.DUMMYFUNCTION("""COMPUTED_VALUE"""),"Application")</f>
        <v/>
      </c>
      <c r="C642" s="6">
        <f>IFERROR(__xludf.DUMMYFUNCTION("""COMPUTED_VALUE"""),"Conclusion Tool")</f>
        <v/>
      </c>
      <c r="D642" s="7">
        <f>IFERROR(__xludf.DUMMYFUNCTION("""COMPUTED_VALUE"""),"No task description")</f>
        <v/>
      </c>
      <c r="E64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42" s="7" t="inlineStr">
        <is>
          <t>Students evaluate evidence to accept or reject hypotheses. Embedded artifacts include virtual lab data and observations.</t>
        </is>
      </c>
      <c r="G642" s="8" t="inlineStr">
        <is>
          <t>0</t>
        </is>
      </c>
      <c r="H642" s="8" t="inlineStr">
        <is>
          <t>1</t>
        </is>
      </c>
      <c r="I642" s="8" t="inlineStr">
        <is>
          <t>1</t>
        </is>
      </c>
      <c r="J642" s="8" t="inlineStr">
        <is>
          <t>1</t>
        </is>
      </c>
      <c r="K642" s="9" t="inlineStr">
        <is>
          <t>1</t>
        </is>
      </c>
      <c r="L642" s="9" t="inlineStr">
        <is>
          <t>0</t>
        </is>
      </c>
      <c r="M642" s="9" t="inlineStr">
        <is>
          <t>0</t>
        </is>
      </c>
      <c r="N642" s="9" t="inlineStr">
        <is>
          <t>0</t>
        </is>
      </c>
      <c r="O642" s="10" t="inlineStr">
        <is>
          <t>0</t>
        </is>
      </c>
      <c r="P642" s="10" t="inlineStr">
        <is>
          <t>1</t>
        </is>
      </c>
      <c r="Q642" s="10" t="inlineStr">
        <is>
          <t>1</t>
        </is>
      </c>
      <c r="R642" s="10" t="inlineStr">
        <is>
          <t>1</t>
        </is>
      </c>
      <c r="S642" s="10" t="inlineStr">
        <is>
          <t>0</t>
        </is>
      </c>
    </row>
    <row r="643" ht="409.5" customHeight="1">
      <c r="A643" s="6">
        <f>IFERROR(__xludf.DUMMYFUNCTION("""COMPUTED_VALUE"""),"Is it Good to be Beautiful?")</f>
        <v/>
      </c>
      <c r="B643" s="6">
        <f>IFERROR(__xludf.DUMMYFUNCTION("""COMPUTED_VALUE"""),"Resource")</f>
        <v/>
      </c>
      <c r="C643" s="6">
        <f>IFERROR(__xludf.DUMMYFUNCTION("""COMPUTED_VALUE"""),"Text 2.graasp")</f>
        <v/>
      </c>
      <c r="D643" s="7">
        <f>IFERROR(__xludf.DUMMYFUNCTION("""COMPUTED_VALUE"""),"&lt;p class=""MsoNormal""&gt;&lt;strong&gt;Step 5:&lt;/strong&gt;&lt;/p&gt;&lt;p class=""MsoNormal""&gt;All done? Very well! Now you can continue to the last phase - the Discussion phase.&lt;strong&gt; Click on the tab Discussion on the top of your screen.&lt;/strong&gt;&lt;/p&gt;&lt;p class=""MsoNormal"""&amp;"&gt;&lt;strong&gt;&lt;br&gt;&lt;/strong&gt;&lt;/p&gt;&lt;p class=""MsoNormal""&gt;&lt;strong&gt;&lt;br&gt;&lt;/strong&gt;&lt;/p&gt;&lt;p class=""MsoNormal""&gt;&lt;strong&gt;&lt;br&gt;&lt;/strong&gt;&lt;/p&gt;&lt;p class=""MsoNormal""&gt;&lt;strong&gt;&lt;br&gt;&lt;/strong&gt;&lt;/p&gt;&lt;p class=""MsoNormal""&gt;&lt;strong&gt;&lt;br&gt;&lt;/strong&gt;&lt;/p&gt;&lt;p class=""MsoNormal""&gt;&lt;strong&gt;&lt;br&gt;&lt;/"&amp;"strong&gt;&lt;/p&gt;&lt;p class=""MsoNormal""&gt;&lt;strong&gt;&lt;br&gt;&lt;/strong&gt;&lt;/p&gt;&lt;p class=""MsoNormal""&gt;&lt;strong&gt;&lt;br&gt;&lt;/strong&gt;&lt;/p&gt;&lt;p class=""MsoNormal""&gt;&lt;strong&gt;&lt;br&gt;&lt;/strong&gt;&lt;/p&gt;")</f>
        <v/>
      </c>
      <c r="E643" s="7">
        <f>IFERROR(__xludf.DUMMYFUNCTION("""COMPUTED_VALUE"""),"No artifact embedded")</f>
        <v/>
      </c>
      <c r="F643" s="7" t="inlineStr">
        <is>
          <t>Students are guided through a conclusion phase, evaluating hypotheses based on collected data and observations using the Conclusion tool, with optional configuration by teachers.</t>
        </is>
      </c>
      <c r="G643" s="8" t="inlineStr">
        <is>
          <t>1</t>
        </is>
      </c>
      <c r="H643" s="8" t="inlineStr">
        <is>
          <t>0</t>
        </is>
      </c>
      <c r="I643" s="8" t="inlineStr">
        <is>
          <t>0</t>
        </is>
      </c>
      <c r="J643" s="8" t="inlineStr">
        <is>
          <t>0</t>
        </is>
      </c>
      <c r="K643" s="9" t="inlineStr">
        <is>
          <t>0</t>
        </is>
      </c>
      <c r="L643" s="9" t="inlineStr">
        <is>
          <t>0</t>
        </is>
      </c>
      <c r="M643" s="9" t="inlineStr">
        <is>
          <t>1</t>
        </is>
      </c>
      <c r="N643" s="9" t="inlineStr">
        <is>
          <t>0</t>
        </is>
      </c>
      <c r="O643" s="10" t="inlineStr">
        <is>
          <t>0</t>
        </is>
      </c>
      <c r="P643" s="10" t="inlineStr">
        <is>
          <t>0</t>
        </is>
      </c>
      <c r="Q643" s="10" t="inlineStr">
        <is>
          <t>0</t>
        </is>
      </c>
      <c r="R643" s="10" t="inlineStr">
        <is>
          <t>0</t>
        </is>
      </c>
      <c r="S643" s="10" t="inlineStr">
        <is>
          <t>1</t>
        </is>
      </c>
    </row>
    <row r="644" ht="25" customHeight="1">
      <c r="A644" s="6">
        <f>IFERROR(__xludf.DUMMYFUNCTION("""COMPUTED_VALUE"""),"Is it Good to be Beautiful?")</f>
        <v/>
      </c>
      <c r="B644" s="6">
        <f>IFERROR(__xludf.DUMMYFUNCTION("""COMPUTED_VALUE"""),"Space")</f>
        <v/>
      </c>
      <c r="C644" s="6">
        <f>IFERROR(__xludf.DUMMYFUNCTION("""COMPUTED_VALUE"""),"Discussion")</f>
        <v/>
      </c>
      <c r="D644" s="7">
        <f>IFERROR(__xludf.DUMMYFUNCTION("""COMPUTED_VALUE"""),"No task description")</f>
        <v/>
      </c>
      <c r="E644" s="7">
        <f>IFERROR(__xludf.DUMMYFUNCTION("""COMPUTED_VALUE"""),"No artifact embedded")</f>
        <v/>
      </c>
      <c r="F644" s="7" t="inlineStr">
        <is>
          <t>Students are given tasks and access to Golabz app/lab with configuration options.</t>
        </is>
      </c>
      <c r="G644" s="8" t="inlineStr">
        <is>
          <t>1</t>
        </is>
      </c>
      <c r="H644" s="8" t="inlineStr">
        <is>
          <t>0</t>
        </is>
      </c>
      <c r="I644" s="8" t="inlineStr">
        <is>
          <t>0</t>
        </is>
      </c>
      <c r="J644" s="8" t="inlineStr">
        <is>
          <t>0</t>
        </is>
      </c>
      <c r="K644" s="9" t="inlineStr">
        <is>
          <t>0</t>
        </is>
      </c>
      <c r="L644" s="9" t="inlineStr">
        <is>
          <t>0</t>
        </is>
      </c>
      <c r="M644" s="9" t="inlineStr">
        <is>
          <t>0</t>
        </is>
      </c>
      <c r="N644" s="9" t="inlineStr">
        <is>
          <t>0</t>
        </is>
      </c>
      <c r="O644" s="10" t="inlineStr">
        <is>
          <t>0</t>
        </is>
      </c>
      <c r="P644" s="10" t="inlineStr">
        <is>
          <t>0</t>
        </is>
      </c>
      <c r="Q644" s="10" t="inlineStr">
        <is>
          <t>0</t>
        </is>
      </c>
      <c r="R644" s="10" t="inlineStr">
        <is>
          <t>0</t>
        </is>
      </c>
      <c r="S644" s="10" t="inlineStr">
        <is>
          <t>0</t>
        </is>
      </c>
    </row>
    <row r="645" ht="395" customHeight="1">
      <c r="A645" s="6">
        <f>IFERROR(__xludf.DUMMYFUNCTION("""COMPUTED_VALUE"""),"Is it Good to be Beautiful?")</f>
        <v/>
      </c>
      <c r="B645" s="6">
        <f>IFERROR(__xludf.DUMMYFUNCTION("""COMPUTED_VALUE"""),"Resource")</f>
        <v/>
      </c>
      <c r="C645" s="6">
        <f>IFERROR(__xludf.DUMMYFUNCTION("""COMPUTED_VALUE"""),"Text 1.graasp")</f>
        <v/>
      </c>
      <c r="D645" s="7">
        <f>IFERROR(__xludf.DUMMYFUNCTION("""COMPUTED_VALUE"""),"&lt;p&gt;&lt;strong&gt;You are now in the Discussion phase. Here you will look back on your work and reflect on your learning. Reflection is very important strategy to improve your learning and derive meaningful insight from your experiences. &lt;/strong&gt;&lt;/p&gt;&lt;p&gt;&lt;br&gt;&lt;/p&gt;"&amp;"&lt;p class=""MsoNormal""&gt;&lt;strong&gt;Step 1: Reflection&lt;/strong&gt; &lt;/p&gt;&lt;p&gt;To reflect on your activities please click on the circular black arrows icon to refresh the reflection tool. Then answer the questions that follow.&lt;/p&gt;")</f>
        <v/>
      </c>
      <c r="E645" s="7">
        <f>IFERROR(__xludf.DUMMYFUNCTION("""COMPUTED_VALUE"""),"No artifact embedded")</f>
        <v/>
      </c>
      <c r="F645" s="7" t="inlineStr">
        <is>
          <t>Students are instructed to proceed to the Discussion phase and reflect on their work by answering questions after refreshing a reflection tool, with no artifacts embedded in any items.</t>
        </is>
      </c>
      <c r="G645" s="8" t="inlineStr">
        <is>
          <t>0</t>
        </is>
      </c>
      <c r="H645" s="8" t="inlineStr">
        <is>
          <t>0</t>
        </is>
      </c>
      <c r="I645" s="8" t="inlineStr">
        <is>
          <t>0</t>
        </is>
      </c>
      <c r="J645" s="8" t="inlineStr">
        <is>
          <t>1</t>
        </is>
      </c>
      <c r="K645" s="9" t="inlineStr">
        <is>
          <t>1</t>
        </is>
      </c>
      <c r="L645" s="9" t="inlineStr">
        <is>
          <t>0</t>
        </is>
      </c>
      <c r="M645" s="9" t="inlineStr">
        <is>
          <t>0</t>
        </is>
      </c>
      <c r="N645" s="9" t="inlineStr">
        <is>
          <t>0</t>
        </is>
      </c>
      <c r="O645" s="10" t="inlineStr">
        <is>
          <t>0</t>
        </is>
      </c>
      <c r="P645" s="10" t="inlineStr">
        <is>
          <t>0</t>
        </is>
      </c>
      <c r="Q645" s="10" t="inlineStr">
        <is>
          <t>0</t>
        </is>
      </c>
      <c r="R645" s="10" t="inlineStr">
        <is>
          <t>1</t>
        </is>
      </c>
      <c r="S645" s="10" t="inlineStr">
        <is>
          <t>1</t>
        </is>
      </c>
    </row>
    <row r="646" ht="229" customHeight="1">
      <c r="A646" s="6">
        <f>IFERROR(__xludf.DUMMYFUNCTION("""COMPUTED_VALUE"""),"Is it Good to be Beautiful?")</f>
        <v/>
      </c>
      <c r="B646" s="6">
        <f>IFERROR(__xludf.DUMMYFUNCTION("""COMPUTED_VALUE"""),"Application")</f>
        <v/>
      </c>
      <c r="C646" s="6">
        <f>IFERROR(__xludf.DUMMYFUNCTION("""COMPUTED_VALUE"""),"Reflection Tool")</f>
        <v/>
      </c>
      <c r="D646" s="7">
        <f>IFERROR(__xludf.DUMMYFUNCTION("""COMPUTED_VALUE"""),"No task description")</f>
        <v/>
      </c>
      <c r="E646"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646" s="7" t="inlineStr">
        <is>
          <t>Students are instructed to reflect on learning, with Item2 providing steps for reflection using a tool, while embedded artifacts include a "Time Spent" app in Item3.</t>
        </is>
      </c>
      <c r="G646" s="8" t="inlineStr">
        <is>
          <t>0</t>
        </is>
      </c>
      <c r="H646" s="8" t="inlineStr">
        <is>
          <t>1</t>
        </is>
      </c>
      <c r="I646" s="8" t="inlineStr">
        <is>
          <t>0</t>
        </is>
      </c>
      <c r="J646" s="8" t="inlineStr">
        <is>
          <t>1</t>
        </is>
      </c>
      <c r="K646" s="9" t="inlineStr">
        <is>
          <t>1</t>
        </is>
      </c>
      <c r="L646" s="9" t="inlineStr">
        <is>
          <t>0</t>
        </is>
      </c>
      <c r="M646" s="9" t="inlineStr">
        <is>
          <t>0</t>
        </is>
      </c>
      <c r="N646" s="9" t="inlineStr">
        <is>
          <t>0</t>
        </is>
      </c>
      <c r="O646" s="10" t="inlineStr">
        <is>
          <t>0</t>
        </is>
      </c>
      <c r="P646" s="10" t="inlineStr">
        <is>
          <t>0</t>
        </is>
      </c>
      <c r="Q646" s="10" t="inlineStr">
        <is>
          <t>0</t>
        </is>
      </c>
      <c r="R646" s="10" t="inlineStr">
        <is>
          <t>1</t>
        </is>
      </c>
      <c r="S646" s="10" t="inlineStr">
        <is>
          <t>1</t>
        </is>
      </c>
    </row>
    <row r="647" ht="263" customHeight="1">
      <c r="A647" s="6">
        <f>IFERROR(__xludf.DUMMYFUNCTION("""COMPUTED_VALUE"""),"Is it Good to be Beautiful?")</f>
        <v/>
      </c>
      <c r="B647" s="6">
        <f>IFERROR(__xludf.DUMMYFUNCTION("""COMPUTED_VALUE"""),"Resource")</f>
        <v/>
      </c>
      <c r="C647" s="6">
        <f>IFERROR(__xludf.DUMMYFUNCTION("""COMPUTED_VALUE"""),"Text 2.graasp")</f>
        <v/>
      </c>
      <c r="D647" s="7">
        <f>IFERROR(__xludf.DUMMYFUNCTION("""COMPUTED_VALUE"""),"&lt;p&gt;&lt;strong&gt;Step 2:&lt;/strong&gt;&lt;/p&gt;&lt;p&gt;You have finished with this inquiry activity and are better informed to answer the question ""Is it good to be beautiful?"" in the case of guppy fish. But regarding people is it always good to be beautiful? Think back on "&amp;"your concept map and answer in the text box below.&lt;/p&gt;")</f>
        <v/>
      </c>
      <c r="E647" s="7">
        <f>IFERROR(__xludf.DUMMYFUNCTION("""COMPUTED_VALUE"""),"No artifact embedded")</f>
        <v/>
      </c>
      <c r="F647" s="7" t="inlineStr">
        <is>
          <t>Students reflect on learning, answering questions and using tools like the "Time Spent" app for insight.</t>
        </is>
      </c>
      <c r="G647" s="8" t="inlineStr">
        <is>
          <t>0</t>
        </is>
      </c>
      <c r="H647" s="8" t="inlineStr">
        <is>
          <t>0</t>
        </is>
      </c>
      <c r="I647" s="8" t="inlineStr">
        <is>
          <t>1</t>
        </is>
      </c>
      <c r="J647" s="8" t="inlineStr">
        <is>
          <t>1</t>
        </is>
      </c>
      <c r="K647" s="9" t="inlineStr">
        <is>
          <t>1</t>
        </is>
      </c>
      <c r="L647" s="9" t="inlineStr">
        <is>
          <t>1</t>
        </is>
      </c>
      <c r="M647" s="9" t="inlineStr">
        <is>
          <t>0</t>
        </is>
      </c>
      <c r="N647" s="9" t="inlineStr">
        <is>
          <t>0</t>
        </is>
      </c>
      <c r="O647" s="10" t="inlineStr">
        <is>
          <t>1</t>
        </is>
      </c>
      <c r="P647" s="10" t="inlineStr">
        <is>
          <t>1</t>
        </is>
      </c>
      <c r="Q647" s="10" t="inlineStr">
        <is>
          <t>0</t>
        </is>
      </c>
      <c r="R647" s="10" t="inlineStr">
        <is>
          <t>1</t>
        </is>
      </c>
      <c r="S647" s="10" t="inlineStr">
        <is>
          <t>1</t>
        </is>
      </c>
    </row>
    <row r="648" ht="329" customHeight="1">
      <c r="A648" s="6">
        <f>IFERROR(__xludf.DUMMYFUNCTION("""COMPUTED_VALUE"""),"Is it Good to be Beautiful?")</f>
        <v/>
      </c>
      <c r="B648" s="6">
        <f>IFERROR(__xludf.DUMMYFUNCTION("""COMPUTED_VALUE"""),"Application")</f>
        <v/>
      </c>
      <c r="C648" s="6">
        <f>IFERROR(__xludf.DUMMYFUNCTION("""COMPUTED_VALUE"""),"Input Box")</f>
        <v/>
      </c>
      <c r="D648" s="7">
        <f>IFERROR(__xludf.DUMMYFUNCTION("""COMPUTED_VALUE"""),"No task description")</f>
        <v/>
      </c>
      <c r="E6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48" s="7" t="inlineStr">
        <is>
          <t>Students received task descriptions and used embedded artifacts like Golabz apps (time spent tracker and input box) to complete activities.</t>
        </is>
      </c>
      <c r="G648" s="8" t="inlineStr">
        <is>
          <t>0</t>
        </is>
      </c>
      <c r="H648" s="8" t="inlineStr">
        <is>
          <t>1</t>
        </is>
      </c>
      <c r="I648" s="8" t="inlineStr">
        <is>
          <t>1</t>
        </is>
      </c>
      <c r="J648" s="8" t="inlineStr">
        <is>
          <t>1</t>
        </is>
      </c>
      <c r="K648" s="9" t="inlineStr">
        <is>
          <t>0</t>
        </is>
      </c>
      <c r="L648" s="9" t="inlineStr">
        <is>
          <t>1</t>
        </is>
      </c>
      <c r="M648" s="9" t="inlineStr">
        <is>
          <t>1</t>
        </is>
      </c>
      <c r="N648" s="9" t="inlineStr">
        <is>
          <t>1</t>
        </is>
      </c>
      <c r="O648" s="10" t="inlineStr">
        <is>
          <t>0</t>
        </is>
      </c>
      <c r="P648" s="10" t="inlineStr">
        <is>
          <t>0</t>
        </is>
      </c>
      <c r="Q648" s="10" t="inlineStr">
        <is>
          <t>0</t>
        </is>
      </c>
      <c r="R648" s="10" t="inlineStr">
        <is>
          <t>0</t>
        </is>
      </c>
      <c r="S648" s="10" t="inlineStr">
        <is>
          <t>1</t>
        </is>
      </c>
    </row>
    <row r="649" ht="409.5" customHeight="1">
      <c r="A649" s="6">
        <f>IFERROR(__xludf.DUMMYFUNCTION("""COMPUTED_VALUE"""),"Is it Good to be Beautiful?")</f>
        <v/>
      </c>
      <c r="B649" s="6">
        <f>IFERROR(__xludf.DUMMYFUNCTION("""COMPUTED_VALUE"""),"Resource")</f>
        <v/>
      </c>
      <c r="C649" s="6">
        <f>IFERROR(__xludf.DUMMYFUNCTION("""COMPUTED_VALUE"""),"Text 3.graasp")</f>
        <v/>
      </c>
      <c r="D649" s="7">
        <f>IFERROR(__xludf.DUMMYFUNCTION("""COMPUTED_VALUE"""),"&lt;p&gt;&lt;strong&gt;Congratulations! &lt;/strong&gt;&lt;/p&gt;&lt;p&gt;You have now completed your inquiry learning experience. &lt;/p&gt;&lt;p&gt;&lt;br&gt;&lt;/p&gt;&lt;p&gt;&lt;strong&gt;Additional information:&lt;/strong&gt;&lt;br&gt;&lt;/p&gt;&lt;p class=""MsoNormal""&gt;The original research article by John Endler on natural selection"&amp;" in guppies is entitled &lt;a href=""http://www.mhhe.com/biosci/genbio/raven6/lab6/labs/lab6/resources/original.pdf"" target=""_blank""&gt;""Natural selection on color patterns in Poecillia reticulata""&lt;/a&gt; and was published in 1980 in the journal Evolution.&lt;/p"&amp;"&gt;&lt;p class=""MsoNormal""&gt;&lt;br&gt;&lt;/p&gt;&lt;p class=""MsoNormal""&gt;&lt;br&gt;&lt;/p&gt;&lt;p class=""MsoNormal""&gt;&lt;br&gt;&lt;/p&gt;&lt;p class=""MsoNormal""&gt;&lt;br&gt;&lt;/p&gt;&lt;p class=""MsoNormal""&gt;&lt;br&gt;&lt;/p&gt;&lt;p class=""MsoNormal""&gt;&lt;br&gt;&lt;/p&gt;&lt;p class=""MsoNormal""&gt;&lt;br&gt;&lt;/p&gt;&lt;p class=""MsoNormal""&gt;&lt;br&gt;&lt;/p&gt;&lt;p cla"&amp;"ss=""MsoNormal""&gt;&lt;br&gt;&lt;/p&gt;&lt;p class=""MsoNormal""&gt;&lt;br&gt;&lt;/p&gt;")</f>
        <v/>
      </c>
      <c r="E649" s="7">
        <f>IFERROR(__xludf.DUMMYFUNCTION("""COMPUTED_VALUE"""),"No artifact embedded")</f>
        <v/>
      </c>
      <c r="F649" s="7" t="inlineStr">
        <is>
          <t>Students answer if it's good to be beautiful, considering guppy fish and humans. Embedded artifacts include a notes app for collaboration.</t>
        </is>
      </c>
      <c r="G649" s="8" t="inlineStr">
        <is>
          <t>1</t>
        </is>
      </c>
      <c r="H649" s="8" t="inlineStr">
        <is>
          <t>0</t>
        </is>
      </c>
      <c r="I649" s="8" t="inlineStr">
        <is>
          <t>0</t>
        </is>
      </c>
      <c r="J649" s="8" t="inlineStr">
        <is>
          <t>0</t>
        </is>
      </c>
      <c r="K649" s="9" t="inlineStr">
        <is>
          <t>1</t>
        </is>
      </c>
      <c r="L649" s="9" t="inlineStr">
        <is>
          <t>0</t>
        </is>
      </c>
      <c r="M649" s="9" t="inlineStr">
        <is>
          <t>0</t>
        </is>
      </c>
      <c r="N649" s="9" t="inlineStr">
        <is>
          <t>0</t>
        </is>
      </c>
      <c r="O649" s="10" t="inlineStr">
        <is>
          <t>0</t>
        </is>
      </c>
      <c r="P649" s="10" t="inlineStr">
        <is>
          <t>0</t>
        </is>
      </c>
      <c r="Q649" s="10" t="inlineStr">
        <is>
          <t>0</t>
        </is>
      </c>
      <c r="R649" s="10" t="inlineStr">
        <is>
          <t>0</t>
        </is>
      </c>
      <c r="S649" s="10" t="inlineStr">
        <is>
          <t>0</t>
        </is>
      </c>
    </row>
    <row r="650" ht="25" customHeight="1">
      <c r="A650" s="6">
        <f>IFERROR(__xludf.DUMMYFUNCTION("""COMPUTED_VALUE"""),"THREE DIMENSIONAL GEOMETRY")</f>
        <v/>
      </c>
      <c r="B650" s="6">
        <f>IFERROR(__xludf.DUMMYFUNCTION("""COMPUTED_VALUE"""),"Space")</f>
        <v/>
      </c>
      <c r="C650" s="6">
        <f>IFERROR(__xludf.DUMMYFUNCTION("""COMPUTED_VALUE"""),"Engage")</f>
        <v/>
      </c>
      <c r="D650" s="7">
        <f>IFERROR(__xludf.DUMMYFUNCTION("""COMPUTED_VALUE"""),"No task description")</f>
        <v/>
      </c>
      <c r="E650" s="7">
        <f>IFERROR(__xludf.DUMMYFUNCTION("""COMPUTED_VALUE"""),"No artifact embedded")</f>
        <v/>
      </c>
      <c r="F650" s="7" t="inlineStr">
        <is>
          <t>Students received minimal instructions. Embedded artifacts include Golabz app/lab for note-taking and collaboration, but no other items had notable artifacts or descriptions.</t>
        </is>
      </c>
      <c r="G650" s="8" t="inlineStr">
        <is>
          <t>1</t>
        </is>
      </c>
      <c r="H650" s="8" t="inlineStr">
        <is>
          <t>0</t>
        </is>
      </c>
      <c r="I650" s="8" t="inlineStr">
        <is>
          <t>0</t>
        </is>
      </c>
      <c r="J650" s="8" t="inlineStr">
        <is>
          <t>0</t>
        </is>
      </c>
      <c r="K650" s="9" t="inlineStr">
        <is>
          <t>0</t>
        </is>
      </c>
      <c r="L650" s="9" t="inlineStr">
        <is>
          <t>0</t>
        </is>
      </c>
      <c r="M650" s="9" t="inlineStr">
        <is>
          <t>0</t>
        </is>
      </c>
      <c r="N650" s="9" t="inlineStr">
        <is>
          <t>0</t>
        </is>
      </c>
      <c r="O650" s="10" t="inlineStr">
        <is>
          <t>0</t>
        </is>
      </c>
      <c r="P650" s="10" t="inlineStr">
        <is>
          <t>0</t>
        </is>
      </c>
      <c r="Q650" s="10" t="inlineStr">
        <is>
          <t>0</t>
        </is>
      </c>
      <c r="R650" s="10" t="inlineStr">
        <is>
          <t>0</t>
        </is>
      </c>
      <c r="S650" s="10" t="inlineStr">
        <is>
          <t>0</t>
        </is>
      </c>
    </row>
    <row r="651" ht="49" customHeight="1">
      <c r="A651" s="6">
        <f>IFERROR(__xludf.DUMMYFUNCTION("""COMPUTED_VALUE"""),"THREE DIMENSIONAL GEOMETRY")</f>
        <v/>
      </c>
      <c r="B651" s="6">
        <f>IFERROR(__xludf.DUMMYFUNCTION("""COMPUTED_VALUE"""),"Resource")</f>
        <v/>
      </c>
      <c r="C651" s="6">
        <f>IFERROR(__xludf.DUMMYFUNCTION("""COMPUTED_VALUE"""),"Specific Objectives.graasp")</f>
        <v/>
      </c>
      <c r="D651" s="7">
        <f>IFERROR(__xludf.DUMMYFUNCTION("""COMPUTED_VALUE"""),"&lt;p&gt;Objectives of Three Dimensional Geometry&lt;/p&gt;")</f>
        <v/>
      </c>
      <c r="E651" s="7">
        <f>IFERROR(__xludf.DUMMYFUNCTION("""COMPUTED_VALUE"""),"No artifact embedded")</f>
        <v/>
      </c>
      <c r="F651" s="7" t="inlineStr">
        <is>
          <t>Students received no instructions or artifacts in Items 1 and 2, but Item 3 lists objectives for 3D geometry.</t>
        </is>
      </c>
      <c r="G651" s="8" t="inlineStr">
        <is>
          <t>1</t>
        </is>
      </c>
      <c r="H651" s="8" t="inlineStr">
        <is>
          <t>0</t>
        </is>
      </c>
      <c r="I651" s="8" t="inlineStr">
        <is>
          <t>0</t>
        </is>
      </c>
      <c r="J651" s="8" t="inlineStr">
        <is>
          <t>0</t>
        </is>
      </c>
      <c r="K651" s="9" t="inlineStr">
        <is>
          <t>1</t>
        </is>
      </c>
      <c r="L651" s="9" t="inlineStr">
        <is>
          <t>0</t>
        </is>
      </c>
      <c r="M651" s="9" t="inlineStr">
        <is>
          <t>0</t>
        </is>
      </c>
      <c r="N651" s="9" t="inlineStr">
        <is>
          <t>0</t>
        </is>
      </c>
      <c r="O651" s="10" t="inlineStr">
        <is>
          <t>0</t>
        </is>
      </c>
      <c r="P651" s="10" t="inlineStr">
        <is>
          <t>0</t>
        </is>
      </c>
      <c r="Q651" s="10" t="inlineStr">
        <is>
          <t>0</t>
        </is>
      </c>
      <c r="R651" s="10" t="inlineStr">
        <is>
          <t>0</t>
        </is>
      </c>
      <c r="S651" s="10" t="inlineStr">
        <is>
          <t>0</t>
        </is>
      </c>
    </row>
    <row r="652" ht="25" customHeight="1">
      <c r="A652" s="6">
        <f>IFERROR(__xludf.DUMMYFUNCTION("""COMPUTED_VALUE"""),"THREE DIMENSIONAL GEOMETRY")</f>
        <v/>
      </c>
      <c r="B652" s="6">
        <f>IFERROR(__xludf.DUMMYFUNCTION("""COMPUTED_VALUE"""),"Space")</f>
        <v/>
      </c>
      <c r="C652" s="6">
        <f>IFERROR(__xludf.DUMMYFUNCTION("""COMPUTED_VALUE"""),"Explore")</f>
        <v/>
      </c>
      <c r="D652" s="7">
        <f>IFERROR(__xludf.DUMMYFUNCTION("""COMPUTED_VALUE"""),"No task description")</f>
        <v/>
      </c>
      <c r="E652" s="7">
        <f>IFERROR(__xludf.DUMMYFUNCTION("""COMPUTED_VALUE"""),"No artifact embedded")</f>
        <v/>
      </c>
      <c r="F652" s="7" t="inlineStr">
        <is>
          <t>Students received no task descriptions for Items 1 and 3, while Item 2's objective is Three Dimensional Geometry; no artifacts are embedded in any items.</t>
        </is>
      </c>
      <c r="G652" s="8" t="inlineStr">
        <is>
          <t>1</t>
        </is>
      </c>
      <c r="H652" s="8" t="inlineStr">
        <is>
          <t>0</t>
        </is>
      </c>
      <c r="I652" s="8" t="inlineStr">
        <is>
          <t>0</t>
        </is>
      </c>
      <c r="J652" s="8" t="inlineStr">
        <is>
          <t>0</t>
        </is>
      </c>
      <c r="K652" s="9" t="inlineStr">
        <is>
          <t>0</t>
        </is>
      </c>
      <c r="L652" s="9" t="inlineStr">
        <is>
          <t>0</t>
        </is>
      </c>
      <c r="M652" s="9" t="inlineStr">
        <is>
          <t>0</t>
        </is>
      </c>
      <c r="N652" s="9" t="inlineStr">
        <is>
          <t>0</t>
        </is>
      </c>
      <c r="O652" s="10" t="inlineStr">
        <is>
          <t>0</t>
        </is>
      </c>
      <c r="P652" s="10" t="inlineStr">
        <is>
          <t>0</t>
        </is>
      </c>
      <c r="Q652" s="10" t="inlineStr">
        <is>
          <t>0</t>
        </is>
      </c>
      <c r="R652" s="10" t="inlineStr">
        <is>
          <t>0</t>
        </is>
      </c>
      <c r="S652" s="10" t="inlineStr">
        <is>
          <t>0</t>
        </is>
      </c>
    </row>
    <row r="653" ht="25" customHeight="1">
      <c r="A653" s="6">
        <f>IFERROR(__xludf.DUMMYFUNCTION("""COMPUTED_VALUE"""),"THREE DIMENSIONAL GEOMETRY")</f>
        <v/>
      </c>
      <c r="B653" s="6">
        <f>IFERROR(__xludf.DUMMYFUNCTION("""COMPUTED_VALUE"""),"Space")</f>
        <v/>
      </c>
      <c r="C653" s="6">
        <f>IFERROR(__xludf.DUMMYFUNCTION("""COMPUTED_VALUE"""),"Explain")</f>
        <v/>
      </c>
      <c r="D653" s="7">
        <f>IFERROR(__xludf.DUMMYFUNCTION("""COMPUTED_VALUE"""),"No task description")</f>
        <v/>
      </c>
      <c r="E653" s="7">
        <f>IFERROR(__xludf.DUMMYFUNCTION("""COMPUTED_VALUE"""),"No artifact embedded")</f>
        <v/>
      </c>
      <c r="F653" s="7" t="inlineStr">
        <is>
          <t>No instructions or artifacts are provided for any of the items.</t>
        </is>
      </c>
      <c r="G653" s="8" t="inlineStr">
        <is>
          <t>1</t>
        </is>
      </c>
      <c r="H653" s="8" t="inlineStr">
        <is>
          <t>0</t>
        </is>
      </c>
      <c r="I653" s="8" t="inlineStr">
        <is>
          <t>0</t>
        </is>
      </c>
      <c r="J653" s="8" t="inlineStr">
        <is>
          <t>0</t>
        </is>
      </c>
      <c r="K653" s="9" t="inlineStr">
        <is>
          <t>0</t>
        </is>
      </c>
      <c r="L653" s="9" t="inlineStr">
        <is>
          <t>0</t>
        </is>
      </c>
      <c r="M653" s="9" t="inlineStr">
        <is>
          <t>0</t>
        </is>
      </c>
      <c r="N653" s="9" t="inlineStr">
        <is>
          <t>0</t>
        </is>
      </c>
      <c r="O653" s="10" t="inlineStr">
        <is>
          <t>0</t>
        </is>
      </c>
      <c r="P653" s="10" t="inlineStr">
        <is>
          <t>0</t>
        </is>
      </c>
      <c r="Q653" s="10" t="inlineStr">
        <is>
          <t>0</t>
        </is>
      </c>
      <c r="R653" s="10" t="inlineStr">
        <is>
          <t>0</t>
        </is>
      </c>
      <c r="S653" s="10" t="inlineStr">
        <is>
          <t>0</t>
        </is>
      </c>
    </row>
    <row r="654" ht="25" customHeight="1">
      <c r="A654" s="6">
        <f>IFERROR(__xludf.DUMMYFUNCTION("""COMPUTED_VALUE"""),"THREE DIMENSIONAL GEOMETRY")</f>
        <v/>
      </c>
      <c r="B654" s="6">
        <f>IFERROR(__xludf.DUMMYFUNCTION("""COMPUTED_VALUE"""),"Space")</f>
        <v/>
      </c>
      <c r="C654" s="6">
        <f>IFERROR(__xludf.DUMMYFUNCTION("""COMPUTED_VALUE"""),"Elaborate")</f>
        <v/>
      </c>
      <c r="D654" s="7">
        <f>IFERROR(__xludf.DUMMYFUNCTION("""COMPUTED_VALUE"""),"No task description")</f>
        <v/>
      </c>
      <c r="E654" s="7">
        <f>IFERROR(__xludf.DUMMYFUNCTION("""COMPUTED_VALUE"""),"No artifact embedded")</f>
        <v/>
      </c>
      <c r="F654" s="7" t="inlineStr">
        <is>
          <t>No instructions or artifacts are provided for any of the items.</t>
        </is>
      </c>
      <c r="G654" s="8" t="inlineStr">
        <is>
          <t>1</t>
        </is>
      </c>
      <c r="H654" s="8" t="inlineStr">
        <is>
          <t>0</t>
        </is>
      </c>
      <c r="I654" s="8" t="inlineStr">
        <is>
          <t>0</t>
        </is>
      </c>
      <c r="J654" s="8" t="inlineStr">
        <is>
          <t>0</t>
        </is>
      </c>
      <c r="K654" s="9" t="inlineStr">
        <is>
          <t>0</t>
        </is>
      </c>
      <c r="L654" s="9" t="inlineStr">
        <is>
          <t>0</t>
        </is>
      </c>
      <c r="M654" s="9" t="inlineStr">
        <is>
          <t>0</t>
        </is>
      </c>
      <c r="N654" s="9" t="inlineStr">
        <is>
          <t>0</t>
        </is>
      </c>
      <c r="O654" s="10" t="inlineStr">
        <is>
          <t>0</t>
        </is>
      </c>
      <c r="P654" s="10" t="inlineStr">
        <is>
          <t>0</t>
        </is>
      </c>
      <c r="Q654" s="10" t="inlineStr">
        <is>
          <t>0</t>
        </is>
      </c>
      <c r="R654" s="10" t="inlineStr">
        <is>
          <t>0</t>
        </is>
      </c>
      <c r="S654" s="10" t="inlineStr">
        <is>
          <t>0</t>
        </is>
      </c>
    </row>
    <row r="655" ht="25" customHeight="1">
      <c r="A655" s="6">
        <f>IFERROR(__xludf.DUMMYFUNCTION("""COMPUTED_VALUE"""),"THREE DIMENSIONAL GEOMETRY")</f>
        <v/>
      </c>
      <c r="B655" s="6">
        <f>IFERROR(__xludf.DUMMYFUNCTION("""COMPUTED_VALUE"""),"Space")</f>
        <v/>
      </c>
      <c r="C655" s="6">
        <f>IFERROR(__xludf.DUMMYFUNCTION("""COMPUTED_VALUE"""),"Evaluate")</f>
        <v/>
      </c>
      <c r="D655" s="7">
        <f>IFERROR(__xludf.DUMMYFUNCTION("""COMPUTED_VALUE"""),"No task description")</f>
        <v/>
      </c>
      <c r="E655" s="7">
        <f>IFERROR(__xludf.DUMMYFUNCTION("""COMPUTED_VALUE"""),"No artifact embedded")</f>
        <v/>
      </c>
      <c r="F655" s="7" t="inlineStr">
        <is>
          <t>No instructions or artifacts are provided for Items 1, 2, and 3.</t>
        </is>
      </c>
      <c r="G655" s="8" t="inlineStr">
        <is>
          <t>1</t>
        </is>
      </c>
      <c r="H655" s="8" t="inlineStr">
        <is>
          <t>0</t>
        </is>
      </c>
      <c r="I655" s="8" t="inlineStr">
        <is>
          <t>0</t>
        </is>
      </c>
      <c r="J655" s="8" t="inlineStr">
        <is>
          <t>0</t>
        </is>
      </c>
      <c r="K655" s="9" t="inlineStr">
        <is>
          <t>0</t>
        </is>
      </c>
      <c r="L655" s="9" t="inlineStr">
        <is>
          <t>0</t>
        </is>
      </c>
      <c r="M655" s="9" t="inlineStr">
        <is>
          <t>0</t>
        </is>
      </c>
      <c r="N655" s="9" t="inlineStr">
        <is>
          <t>0</t>
        </is>
      </c>
      <c r="O655" s="10" t="inlineStr">
        <is>
          <t>0</t>
        </is>
      </c>
      <c r="P655" s="10" t="inlineStr">
        <is>
          <t>0</t>
        </is>
      </c>
      <c r="Q655" s="10" t="inlineStr">
        <is>
          <t>0</t>
        </is>
      </c>
      <c r="R655" s="10" t="inlineStr">
        <is>
          <t>0</t>
        </is>
      </c>
      <c r="S655" s="10" t="inlineStr">
        <is>
          <t>0</t>
        </is>
      </c>
    </row>
    <row r="656" ht="85" customHeight="1">
      <c r="A656" s="6">
        <f>IFERROR(__xludf.DUMMYFUNCTION("""COMPUTED_VALUE"""),"UV light: friend or foe?")</f>
        <v/>
      </c>
      <c r="B656" s="6">
        <f>IFERROR(__xludf.DUMMYFUNCTION("""COMPUTED_VALUE"""),"Space")</f>
        <v/>
      </c>
      <c r="C656" s="6">
        <f>IFERROR(__xludf.DUMMYFUNCTION("""COMPUTED_VALUE"""),"Learning about UV, light and the Sun")</f>
        <v/>
      </c>
      <c r="D656" s="7">
        <f>IFERROR(__xludf.DUMMYFUNCTION("""COMPUTED_VALUE"""),"&lt;p&gt;What would happen if you spent an afternoon in the beach wearing no clothes and no sunscreen?&lt;/p&gt;")</f>
        <v/>
      </c>
      <c r="E656" s="7">
        <f>IFERROR(__xludf.DUMMYFUNCTION("""COMPUTED_VALUE"""),"No artifact embedded")</f>
        <v/>
      </c>
      <c r="F656" s="7" t="inlineStr">
        <is>
          <t>Students received 3 tasks with no descriptions for Items 1-2. Item 3 asked about spending an afternoon at the beach without clothes or sunscreen, with no artifacts embedded in any items.</t>
        </is>
      </c>
      <c r="G656" s="8" t="inlineStr">
        <is>
          <t>0</t>
        </is>
      </c>
      <c r="H656" s="8" t="inlineStr">
        <is>
          <t>0</t>
        </is>
      </c>
      <c r="I656" s="8" t="inlineStr">
        <is>
          <t>0</t>
        </is>
      </c>
      <c r="J656" s="8" t="inlineStr">
        <is>
          <t>0</t>
        </is>
      </c>
      <c r="K656" s="9" t="inlineStr">
        <is>
          <t>1</t>
        </is>
      </c>
      <c r="L656" s="9" t="inlineStr">
        <is>
          <t>0</t>
        </is>
      </c>
      <c r="M656" s="9" t="inlineStr">
        <is>
          <t>0</t>
        </is>
      </c>
      <c r="N656" s="9" t="inlineStr">
        <is>
          <t>0</t>
        </is>
      </c>
      <c r="O656" s="10" t="inlineStr">
        <is>
          <t>1</t>
        </is>
      </c>
      <c r="P656" s="10" t="inlineStr">
        <is>
          <t>1</t>
        </is>
      </c>
      <c r="Q656" s="10" t="inlineStr">
        <is>
          <t>1</t>
        </is>
      </c>
      <c r="R656" s="10" t="inlineStr">
        <is>
          <t>0</t>
        </is>
      </c>
      <c r="S656" s="10" t="inlineStr">
        <is>
          <t>0</t>
        </is>
      </c>
    </row>
    <row r="657" ht="97" customHeight="1">
      <c r="A657" s="6">
        <f>IFERROR(__xludf.DUMMYFUNCTION("""COMPUTED_VALUE"""),"UV light: friend or foe?")</f>
        <v/>
      </c>
      <c r="B657" s="6">
        <f>IFERROR(__xludf.DUMMYFUNCTION("""COMPUTED_VALUE"""),"Resource")</f>
        <v/>
      </c>
      <c r="C657" s="6">
        <f>IFERROR(__xludf.DUMMYFUNCTION("""COMPUTED_VALUE"""),"download.png")</f>
        <v/>
      </c>
      <c r="D657" s="7">
        <f>IFERROR(__xludf.DUMMYFUNCTION("""COMPUTED_VALUE"""),"&lt;p&gt;Maybe this would happen?&lt;/p&gt;")</f>
        <v/>
      </c>
      <c r="E657" s="7">
        <f>IFERROR(__xludf.DUMMYFUNCTION("""COMPUTED_VALUE"""),"image/png – A high-quality image with support for transparency, often used in design and web applications.")</f>
        <v/>
      </c>
      <c r="F657" s="7" t="inlineStr">
        <is>
          <t>Students were given tasks with varying descriptions and some had embedded artifacts, including an image in Item 3.</t>
        </is>
      </c>
      <c r="G657" s="8" t="inlineStr">
        <is>
          <t>1</t>
        </is>
      </c>
      <c r="H657" s="8" t="inlineStr">
        <is>
          <t>0</t>
        </is>
      </c>
      <c r="I657" s="8" t="inlineStr">
        <is>
          <t>0</t>
        </is>
      </c>
      <c r="J657" s="8" t="inlineStr">
        <is>
          <t>0</t>
        </is>
      </c>
      <c r="K657" s="9" t="inlineStr">
        <is>
          <t>0</t>
        </is>
      </c>
      <c r="L657" s="9" t="inlineStr">
        <is>
          <t>0</t>
        </is>
      </c>
      <c r="M657" s="9" t="inlineStr">
        <is>
          <t>0</t>
        </is>
      </c>
      <c r="N657" s="9" t="inlineStr">
        <is>
          <t>0</t>
        </is>
      </c>
      <c r="O657" s="10" t="inlineStr">
        <is>
          <t>0</t>
        </is>
      </c>
      <c r="P657" s="10" t="inlineStr">
        <is>
          <t>0</t>
        </is>
      </c>
      <c r="Q657" s="10" t="inlineStr">
        <is>
          <t>0</t>
        </is>
      </c>
      <c r="R657" s="10" t="inlineStr">
        <is>
          <t>0</t>
        </is>
      </c>
      <c r="S657" s="10" t="inlineStr">
        <is>
          <t>0</t>
        </is>
      </c>
    </row>
    <row r="658" ht="109" customHeight="1">
      <c r="A658" s="6">
        <f>IFERROR(__xludf.DUMMYFUNCTION("""COMPUTED_VALUE"""),"UV light: friend or foe?")</f>
        <v/>
      </c>
      <c r="B658" s="6">
        <f>IFERROR(__xludf.DUMMYFUNCTION("""COMPUTED_VALUE"""),"Resource")</f>
        <v/>
      </c>
      <c r="C658" s="6">
        <f>IFERROR(__xludf.DUMMYFUNCTION("""COMPUTED_VALUE"""),"1.graasp")</f>
        <v/>
      </c>
      <c r="D658" s="7">
        <f>IFERROR(__xludf.DUMMYFUNCTION("""COMPUTED_VALUE"""),"&lt;p&gt;Did you ever get a sunburn? Discover how many of your colleagues have already got a sunburn and write it in the box below.&lt;/p&gt;")</f>
        <v/>
      </c>
      <c r="E658" s="7">
        <f>IFERROR(__xludf.DUMMYFUNCTION("""COMPUTED_VALUE"""),"No artifact embedded")</f>
        <v/>
      </c>
      <c r="F658" s="7" t="inlineStr">
        <is>
          <t>Students are given tasks about beach scenarios, with some items including images as artifacts.</t>
        </is>
      </c>
      <c r="G658" s="8" t="inlineStr">
        <is>
          <t>0</t>
        </is>
      </c>
      <c r="H658" s="8" t="inlineStr">
        <is>
          <t>0</t>
        </is>
      </c>
      <c r="I658" s="8" t="inlineStr">
        <is>
          <t>1</t>
        </is>
      </c>
      <c r="J658" s="8" t="inlineStr">
        <is>
          <t>0</t>
        </is>
      </c>
      <c r="K658" s="9" t="inlineStr">
        <is>
          <t>0</t>
        </is>
      </c>
      <c r="L658" s="9" t="inlineStr">
        <is>
          <t>1</t>
        </is>
      </c>
      <c r="M658" s="9" t="inlineStr">
        <is>
          <t>1</t>
        </is>
      </c>
      <c r="N658" s="9" t="inlineStr">
        <is>
          <t>0</t>
        </is>
      </c>
      <c r="O658" s="10" t="inlineStr">
        <is>
          <t>1</t>
        </is>
      </c>
      <c r="P658" s="10" t="inlineStr">
        <is>
          <t>0</t>
        </is>
      </c>
      <c r="Q658" s="10" t="inlineStr">
        <is>
          <t>0</t>
        </is>
      </c>
      <c r="R658" s="10" t="inlineStr">
        <is>
          <t>0</t>
        </is>
      </c>
      <c r="S658" s="10" t="inlineStr">
        <is>
          <t>0</t>
        </is>
      </c>
    </row>
    <row r="659" ht="329" customHeight="1">
      <c r="A659" s="6">
        <f>IFERROR(__xludf.DUMMYFUNCTION("""COMPUTED_VALUE"""),"UV light: friend or foe?")</f>
        <v/>
      </c>
      <c r="B659" s="6">
        <f>IFERROR(__xludf.DUMMYFUNCTION("""COMPUTED_VALUE"""),"Application")</f>
        <v/>
      </c>
      <c r="C659" s="6">
        <f>IFERROR(__xludf.DUMMYFUNCTION("""COMPUTED_VALUE"""),"Input Box")</f>
        <v/>
      </c>
      <c r="D659" s="7">
        <f>IFERROR(__xludf.DUMMYFUNCTION("""COMPUTED_VALUE"""),"No task description")</f>
        <v/>
      </c>
      <c r="E65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59" s="7" t="inlineStr">
        <is>
          <t>Students received task descriptions and embedded artifacts, including images and apps, with varying levels of detail and interactivity.</t>
        </is>
      </c>
      <c r="G659" s="8" t="inlineStr">
        <is>
          <t>0</t>
        </is>
      </c>
      <c r="H659" s="8" t="inlineStr">
        <is>
          <t>1</t>
        </is>
      </c>
      <c r="I659" s="8" t="inlineStr">
        <is>
          <t>1</t>
        </is>
      </c>
      <c r="J659" s="8" t="inlineStr">
        <is>
          <t>1</t>
        </is>
      </c>
      <c r="K659" s="9" t="inlineStr">
        <is>
          <t>0</t>
        </is>
      </c>
      <c r="L659" s="9" t="inlineStr">
        <is>
          <t>1</t>
        </is>
      </c>
      <c r="M659" s="9" t="inlineStr">
        <is>
          <t>1</t>
        </is>
      </c>
      <c r="N659" s="9" t="inlineStr">
        <is>
          <t>1</t>
        </is>
      </c>
      <c r="O659" s="10" t="inlineStr">
        <is>
          <t>0</t>
        </is>
      </c>
      <c r="P659" s="10" t="inlineStr">
        <is>
          <t>0</t>
        </is>
      </c>
      <c r="Q659" s="10" t="inlineStr">
        <is>
          <t>0</t>
        </is>
      </c>
      <c r="R659" s="10" t="inlineStr">
        <is>
          <t>0</t>
        </is>
      </c>
      <c r="S659" s="10" t="inlineStr">
        <is>
          <t>1</t>
        </is>
      </c>
    </row>
    <row r="660" ht="409.5" customHeight="1">
      <c r="A660" s="6">
        <f>IFERROR(__xludf.DUMMYFUNCTION("""COMPUTED_VALUE"""),"UV light: friend or foe?")</f>
        <v/>
      </c>
      <c r="B660" s="6">
        <f>IFERROR(__xludf.DUMMYFUNCTION("""COMPUTED_VALUE"""),"Resource")</f>
        <v/>
      </c>
      <c r="C660" s="6">
        <f>IFERROR(__xludf.DUMMYFUNCTION("""COMPUTED_VALUE"""),"2.graasp")</f>
        <v/>
      </c>
      <c r="D660" s="7">
        <f>IFERROR(__xludf.DUMMYFUNCTION("""COMPUTED_VALUE"""),"&lt;p&gt;You can choose one, two or the three following activities to learn more about the Sun, the UV rays and their effect on the human body. Make sure that you do explore the 3rd one as this is the most important for this activity.&lt;/p&gt;&lt;p&gt;&lt;br&gt;1.    &lt;a href="""&amp;"https://idiverse.eu/wp-content/uploads/2019/03/IDiverSE_Activity_UV_Light_1-DiscoveringTheSun.pdf"" target=""_blank""&gt;Discovering the Sun&lt;/a&gt; (Astronomy) – Learn about what the sun is, its size and its place in our Universe.&lt;br&gt;&lt;/p&gt;&lt;p&gt;2.    &lt;a href=""http"&amp;"s://idiverse.eu/wp-content/uploads/2019/03/IDiverSE_Activity_UV_Light_2-Humans_and_the_Sun.pdf"" target=""_blank""&gt;Humans and the Sun&lt;/a&gt; (Biology and physics)  – What does the sun give us and how important is it for our life? Discover about light,  its d"&amp;"ifferent properties and how different animals see it.&lt;br&gt;3.    &lt;a href=""https://idiverse.eu/wp-content/uploads/2019/03/IDiverSE_Activity_UV_Light_3-UV_and_the_Human_Body.pdf"" target=""_blank""&gt;UV light and the human body&lt;/a&gt; (Biology, health) – Is UV a "&amp;"good or a bad guy in our lives? What is the difference between a sunburn and a burn you get from touching something hot?&lt;/p&gt;&lt;p&gt;&lt;br&gt;&lt;/p&gt;&lt;p&gt;Are you done? Great, so now fill in the table below with what you have learned about the benefits and dangers of UV l"&amp;"ight. Make a websearch in order to discover more benefits and more dangers than the ones you already know. &lt;/p&gt;")</f>
        <v/>
      </c>
      <c r="E660" s="7">
        <f>IFERROR(__xludf.DUMMYFUNCTION("""COMPUTED_VALUE"""),"No artifact embedded")</f>
        <v/>
      </c>
      <c r="F660" s="7" t="inlineStr">
        <is>
          <t>Students receive tasks on sunburns, UV rays, and the Sun. Embedded artifacts include a note-taking app and collaboration tool.</t>
        </is>
      </c>
      <c r="G660" s="8" t="inlineStr">
        <is>
          <t>0</t>
        </is>
      </c>
      <c r="H660" s="8" t="inlineStr">
        <is>
          <t>0</t>
        </is>
      </c>
      <c r="I660" s="8" t="inlineStr">
        <is>
          <t>1</t>
        </is>
      </c>
      <c r="J660" s="8" t="inlineStr">
        <is>
          <t>0</t>
        </is>
      </c>
      <c r="K660" s="9" t="inlineStr">
        <is>
          <t>1</t>
        </is>
      </c>
      <c r="L660" s="9" t="inlineStr">
        <is>
          <t>1</t>
        </is>
      </c>
      <c r="M660" s="9" t="inlineStr">
        <is>
          <t>0</t>
        </is>
      </c>
      <c r="N660" s="9" t="inlineStr">
        <is>
          <t>0</t>
        </is>
      </c>
      <c r="O660" s="10" t="inlineStr">
        <is>
          <t>1</t>
        </is>
      </c>
      <c r="P660" s="10" t="inlineStr">
        <is>
          <t>0</t>
        </is>
      </c>
      <c r="Q660" s="10" t="inlineStr">
        <is>
          <t>1</t>
        </is>
      </c>
      <c r="R660" s="10" t="inlineStr">
        <is>
          <t>0</t>
        </is>
      </c>
      <c r="S660" s="10" t="inlineStr">
        <is>
          <t>0</t>
        </is>
      </c>
    </row>
    <row r="661" ht="409.5" customHeight="1">
      <c r="A661" s="6">
        <f>IFERROR(__xludf.DUMMYFUNCTION("""COMPUTED_VALUE"""),"UV light: friend or foe?")</f>
        <v/>
      </c>
      <c r="B661" s="6">
        <f>IFERROR(__xludf.DUMMYFUNCTION("""COMPUTED_VALUE"""),"Application")</f>
        <v/>
      </c>
      <c r="C661" s="6">
        <f>IFERROR(__xludf.DUMMYFUNCTION("""COMPUTED_VALUE"""),"Table Tool")</f>
        <v/>
      </c>
      <c r="D661" s="7">
        <f>IFERROR(__xludf.DUMMYFUNCTION("""COMPUTED_VALUE"""),"No task description")</f>
        <v/>
      </c>
      <c r="E661"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61" s="7" t="inlineStr">
        <is>
          <t>Students have tasks and access to Golabz apps, such as input box and table tools, with optional collaboration mode.</t>
        </is>
      </c>
      <c r="G661" s="8" t="inlineStr">
        <is>
          <t>0</t>
        </is>
      </c>
      <c r="H661" s="8" t="inlineStr">
        <is>
          <t>1</t>
        </is>
      </c>
      <c r="I661" s="8" t="inlineStr">
        <is>
          <t>1</t>
        </is>
      </c>
      <c r="J661" s="8" t="inlineStr">
        <is>
          <t>1</t>
        </is>
      </c>
      <c r="K661" s="9" t="inlineStr">
        <is>
          <t>0</t>
        </is>
      </c>
      <c r="L661" s="9" t="inlineStr">
        <is>
          <t>0</t>
        </is>
      </c>
      <c r="M661" s="9" t="inlineStr">
        <is>
          <t>1</t>
        </is>
      </c>
      <c r="N661" s="9" t="inlineStr">
        <is>
          <t>1</t>
        </is>
      </c>
      <c r="O661" s="10" t="inlineStr">
        <is>
          <t>0</t>
        </is>
      </c>
      <c r="P661" s="10" t="inlineStr">
        <is>
          <t>0</t>
        </is>
      </c>
      <c r="Q661" s="10" t="inlineStr">
        <is>
          <t>0</t>
        </is>
      </c>
      <c r="R661" s="10" t="inlineStr">
        <is>
          <t>0</t>
        </is>
      </c>
      <c r="S661" s="10" t="inlineStr">
        <is>
          <t>0</t>
        </is>
      </c>
    </row>
    <row r="662" ht="329" customHeight="1">
      <c r="A662" s="6">
        <f>IFERROR(__xludf.DUMMYFUNCTION("""COMPUTED_VALUE"""),"UV light: friend or foe?")</f>
        <v/>
      </c>
      <c r="B662" s="6">
        <f>IFERROR(__xludf.DUMMYFUNCTION("""COMPUTED_VALUE"""),"Application")</f>
        <v/>
      </c>
      <c r="C662" s="6">
        <f>IFERROR(__xludf.DUMMYFUNCTION("""COMPUTED_VALUE"""),"Input Box (1)")</f>
        <v/>
      </c>
      <c r="D662" s="7">
        <f>IFERROR(__xludf.DUMMYFUNCTION("""COMPUTED_VALUE"""),"&lt;p&gt;Add here any relevant conclusions and move on to the next phase&lt;/p&gt;")</f>
        <v/>
      </c>
      <c r="E66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2" s="7" t="inlineStr">
        <is>
          <t>Students learn about Sun, UV rays, and effects on humans through 3 activities, then fill a table with benefits and dangers of UV light. Embedded artifacts include table tool and input box apps for data entry and note-taking.</t>
        </is>
      </c>
      <c r="G662" s="8" t="inlineStr">
        <is>
          <t>0</t>
        </is>
      </c>
      <c r="H662" s="8" t="inlineStr">
        <is>
          <t>1</t>
        </is>
      </c>
      <c r="I662" s="8" t="inlineStr">
        <is>
          <t>1</t>
        </is>
      </c>
      <c r="J662" s="8" t="inlineStr">
        <is>
          <t>1</t>
        </is>
      </c>
      <c r="K662" s="9" t="inlineStr">
        <is>
          <t>1</t>
        </is>
      </c>
      <c r="L662" s="9" t="inlineStr">
        <is>
          <t>1</t>
        </is>
      </c>
      <c r="M662" s="9" t="inlineStr">
        <is>
          <t>1</t>
        </is>
      </c>
      <c r="N662" s="9" t="inlineStr">
        <is>
          <t>1</t>
        </is>
      </c>
      <c r="O662" s="10" t="inlineStr">
        <is>
          <t>0</t>
        </is>
      </c>
      <c r="P662" s="10" t="inlineStr">
        <is>
          <t>0</t>
        </is>
      </c>
      <c r="Q662" s="10" t="inlineStr">
        <is>
          <t>0</t>
        </is>
      </c>
      <c r="R662" s="10" t="inlineStr">
        <is>
          <t>1</t>
        </is>
      </c>
      <c r="S662" s="10" t="inlineStr">
        <is>
          <t>0</t>
        </is>
      </c>
    </row>
    <row r="663" ht="25" customHeight="1">
      <c r="A663" s="6">
        <f>IFERROR(__xludf.DUMMYFUNCTION("""COMPUTED_VALUE"""),"UV light: friend or foe?")</f>
        <v/>
      </c>
      <c r="B663" s="6">
        <f>IFERROR(__xludf.DUMMYFUNCTION("""COMPUTED_VALUE"""),"Space")</f>
        <v/>
      </c>
      <c r="C663" s="6">
        <f>IFERROR(__xludf.DUMMYFUNCTION("""COMPUTED_VALUE"""),"UV in my community")</f>
        <v/>
      </c>
      <c r="D663" s="7">
        <f>IFERROR(__xludf.DUMMYFUNCTION("""COMPUTED_VALUE"""),"No task description")</f>
        <v/>
      </c>
      <c r="E663" s="7">
        <f>IFERROR(__xludf.DUMMYFUNCTION("""COMPUTED_VALUE"""),"No artifact embedded")</f>
        <v/>
      </c>
      <c r="F663" s="7" t="inlineStr">
        <is>
          <t>Students use Golabz apps for tasks. Artifacts include table and input box tools with optional collaboration mode.</t>
        </is>
      </c>
      <c r="G663" s="8" t="inlineStr">
        <is>
          <t>1</t>
        </is>
      </c>
      <c r="H663" s="8" t="inlineStr">
        <is>
          <t>0</t>
        </is>
      </c>
      <c r="I663" s="8" t="inlineStr">
        <is>
          <t>0</t>
        </is>
      </c>
      <c r="J663" s="8" t="inlineStr">
        <is>
          <t>0</t>
        </is>
      </c>
      <c r="K663" s="9" t="inlineStr">
        <is>
          <t>0</t>
        </is>
      </c>
      <c r="L663" s="9" t="inlineStr">
        <is>
          <t>0</t>
        </is>
      </c>
      <c r="M663" s="9" t="inlineStr">
        <is>
          <t>0</t>
        </is>
      </c>
      <c r="N663" s="9" t="inlineStr">
        <is>
          <t>0</t>
        </is>
      </c>
      <c r="O663" s="10" t="inlineStr">
        <is>
          <t>0</t>
        </is>
      </c>
      <c r="P663" s="10" t="inlineStr">
        <is>
          <t>0</t>
        </is>
      </c>
      <c r="Q663" s="10" t="inlineStr">
        <is>
          <t>0</t>
        </is>
      </c>
      <c r="R663" s="10" t="inlineStr">
        <is>
          <t>0</t>
        </is>
      </c>
      <c r="S663" s="10" t="inlineStr">
        <is>
          <t>0</t>
        </is>
      </c>
    </row>
    <row r="664" ht="409.5" customHeight="1">
      <c r="A664" s="6">
        <f>IFERROR(__xludf.DUMMYFUNCTION("""COMPUTED_VALUE"""),"UV light: friend or foe?")</f>
        <v/>
      </c>
      <c r="B664" s="6">
        <f>IFERROR(__xludf.DUMMYFUNCTION("""COMPUTED_VALUE"""),"Resource")</f>
        <v/>
      </c>
      <c r="C664" s="6">
        <f>IFERROR(__xludf.DUMMYFUNCTION("""COMPUTED_VALUE"""),"1 (1).graasp")</f>
        <v/>
      </c>
      <c r="D664" s="7">
        <f>IFERROR(__xludf.DUMMYFUNCTION("""COMPUTED_VALUE"""),"&lt;p&gt;So, now that you know a lot more about the sun, UV and the health-related issues it brings, it is time for you to make a  research about UV rays where you live and in other places of the world.&lt;/p&gt;&lt;p&gt;&lt;br&gt;&lt;/p&gt;&lt;p style=""margin-left: 20px;""&gt;Let’s begin "&amp;"with 2 questions:&lt;br&gt;&lt;strong&gt;1.    Are UV levels the same throughout the day and across the globe?&lt;br&gt;2.    Are people in your community aware of the dangers and benefits of UV radiation?&lt;/strong&gt;&lt;/p&gt;&lt;p&gt;&lt;br&gt;What do you think? Write down your hypothesis.&lt;/"&amp;"p&gt;")</f>
        <v/>
      </c>
      <c r="E664" s="7">
        <f>IFERROR(__xludf.DUMMYFUNCTION("""COMPUTED_VALUE"""),"No artifact embedded")</f>
        <v/>
      </c>
      <c r="F664" s="7" t="inlineStr">
        <is>
          <t>Students are given tasks with descriptions and tools, such as Golabz app/lab for note-taking and collaboration.</t>
        </is>
      </c>
      <c r="G664" s="8" t="inlineStr">
        <is>
          <t>0</t>
        </is>
      </c>
      <c r="H664" s="8" t="inlineStr">
        <is>
          <t>0</t>
        </is>
      </c>
      <c r="I664" s="8" t="inlineStr">
        <is>
          <t>1</t>
        </is>
      </c>
      <c r="J664" s="8" t="inlineStr">
        <is>
          <t>0</t>
        </is>
      </c>
      <c r="K664" s="9" t="inlineStr">
        <is>
          <t>0</t>
        </is>
      </c>
      <c r="L664" s="9" t="inlineStr">
        <is>
          <t>1</t>
        </is>
      </c>
      <c r="M664" s="9" t="inlineStr">
        <is>
          <t>0</t>
        </is>
      </c>
      <c r="N664" s="9" t="inlineStr">
        <is>
          <t>0</t>
        </is>
      </c>
      <c r="O664" s="10" t="inlineStr">
        <is>
          <t>1</t>
        </is>
      </c>
      <c r="P664" s="10" t="inlineStr">
        <is>
          <t>1</t>
        </is>
      </c>
      <c r="Q664" s="10" t="inlineStr">
        <is>
          <t>1</t>
        </is>
      </c>
      <c r="R664" s="10" t="inlineStr">
        <is>
          <t>0</t>
        </is>
      </c>
      <c r="S664" s="10" t="inlineStr">
        <is>
          <t>0</t>
        </is>
      </c>
    </row>
    <row r="665" ht="121" customHeight="1">
      <c r="A665" s="6">
        <f>IFERROR(__xludf.DUMMYFUNCTION("""COMPUTED_VALUE"""),"UV light: friend or foe?")</f>
        <v/>
      </c>
      <c r="B665" s="6">
        <f>IFERROR(__xludf.DUMMYFUNCTION("""COMPUTED_VALUE"""),"Resource")</f>
        <v/>
      </c>
      <c r="C665" s="6">
        <f>IFERROR(__xludf.DUMMYFUNCTION("""COMPUTED_VALUE"""),"woman-591576_1280.jpg")</f>
        <v/>
      </c>
      <c r="D665" s="7">
        <f>IFERROR(__xludf.DUMMYFUNCTION("""COMPUTED_VALUE"""),"No task description")</f>
        <v/>
      </c>
      <c r="E665" s="7">
        <f>IFERROR(__xludf.DUMMYFUNCTION("""COMPUTED_VALUE"""),"image/jpeg – A digital photograph or web image stored in a compressed format, often used for photography and web graphics.")</f>
        <v/>
      </c>
      <c r="F665" s="7" t="inlineStr">
        <is>
          <t>Students are instructed to research UV rays and answer questions. Embedded artifacts include no items in Item1 and Item2, but an image/jpeg file in Item3.</t>
        </is>
      </c>
      <c r="G665" s="8" t="inlineStr">
        <is>
          <t>1</t>
        </is>
      </c>
      <c r="H665" s="8" t="inlineStr">
        <is>
          <t>0</t>
        </is>
      </c>
      <c r="I665" s="8" t="inlineStr">
        <is>
          <t>0</t>
        </is>
      </c>
      <c r="J665" s="8" t="inlineStr">
        <is>
          <t>0</t>
        </is>
      </c>
      <c r="K665" s="9" t="inlineStr">
        <is>
          <t>0</t>
        </is>
      </c>
      <c r="L665" s="9" t="inlineStr">
        <is>
          <t>0</t>
        </is>
      </c>
      <c r="M665" s="9" t="inlineStr">
        <is>
          <t>0</t>
        </is>
      </c>
      <c r="N665" s="9" t="inlineStr">
        <is>
          <t>0</t>
        </is>
      </c>
      <c r="O665" s="10" t="inlineStr">
        <is>
          <t>0</t>
        </is>
      </c>
      <c r="P665" s="10" t="inlineStr">
        <is>
          <t>0</t>
        </is>
      </c>
      <c r="Q665" s="10" t="inlineStr">
        <is>
          <t>0</t>
        </is>
      </c>
      <c r="R665" s="10" t="inlineStr">
        <is>
          <t>0</t>
        </is>
      </c>
      <c r="S665" s="10" t="inlineStr">
        <is>
          <t>0</t>
        </is>
      </c>
    </row>
    <row r="666" ht="409.5" customHeight="1">
      <c r="A666" s="6">
        <f>IFERROR(__xludf.DUMMYFUNCTION("""COMPUTED_VALUE"""),"UV light: friend or foe?")</f>
        <v/>
      </c>
      <c r="B666" s="6">
        <f>IFERROR(__xludf.DUMMYFUNCTION("""COMPUTED_VALUE"""),"Application")</f>
        <v/>
      </c>
      <c r="C666" s="6">
        <f>IFERROR(__xludf.DUMMYFUNCTION("""COMPUTED_VALUE"""),"Hypothesis Scratchpad")</f>
        <v/>
      </c>
      <c r="D666" s="7">
        <f>IFERROR(__xludf.DUMMYFUNCTION("""COMPUTED_VALUE"""),"No task description")</f>
        <v/>
      </c>
      <c r="E66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66" s="7" t="inlineStr">
        <is>
          <t>Students research UV rays, answering two questions and writing a hypothesis. Artifacts include an image/jpeg file and the Hypothesis Scratchpad tool.</t>
        </is>
      </c>
      <c r="G666" s="8" t="inlineStr">
        <is>
          <t>0</t>
        </is>
      </c>
      <c r="H666" s="8" t="inlineStr">
        <is>
          <t>1</t>
        </is>
      </c>
      <c r="I666" s="8" t="inlineStr">
        <is>
          <t>1</t>
        </is>
      </c>
      <c r="J666" s="8" t="inlineStr">
        <is>
          <t>1</t>
        </is>
      </c>
      <c r="K666" s="9" t="inlineStr">
        <is>
          <t>1</t>
        </is>
      </c>
      <c r="L666" s="9" t="inlineStr">
        <is>
          <t>0</t>
        </is>
      </c>
      <c r="M666" s="9" t="inlineStr">
        <is>
          <t>1</t>
        </is>
      </c>
      <c r="N666" s="9" t="inlineStr">
        <is>
          <t>1</t>
        </is>
      </c>
      <c r="O666" s="10" t="inlineStr">
        <is>
          <t>0</t>
        </is>
      </c>
      <c r="P666" s="10" t="inlineStr">
        <is>
          <t>1</t>
        </is>
      </c>
      <c r="Q666" s="10" t="inlineStr">
        <is>
          <t>1</t>
        </is>
      </c>
      <c r="R666" s="10" t="inlineStr">
        <is>
          <t>0</t>
        </is>
      </c>
      <c r="S666" s="10" t="inlineStr">
        <is>
          <t>0</t>
        </is>
      </c>
    </row>
    <row r="667" ht="409.5" customHeight="1">
      <c r="A667" s="6">
        <f>IFERROR(__xludf.DUMMYFUNCTION("""COMPUTED_VALUE"""),"UV light: friend or foe?")</f>
        <v/>
      </c>
      <c r="B667" s="6">
        <f>IFERROR(__xludf.DUMMYFUNCTION("""COMPUTED_VALUE"""),"Resource")</f>
        <v/>
      </c>
      <c r="C667" s="6">
        <f>IFERROR(__xludf.DUMMYFUNCTION("""COMPUTED_VALUE"""),"2 (1).graasp")</f>
        <v/>
      </c>
      <c r="D667" s="7">
        <f>IFERROR(__xludf.DUMMYFUNCTION("""COMPUTED_VALUE"""),"&lt;p&gt;Do you know that you can collaborate with students from other parts of the world? See this cool project below where you can  measure the UV levels in your town and study the level of awareness of your family, and then compare it with the results from o"&amp;"ther students!&lt;/p&gt;&lt;p&gt;&lt;br&gt;&lt;/p&gt;&lt;p&gt;Before you begin you will need the following materials:&lt;/p&gt;&lt;p&gt; - UV light sensitive beads - your teacher can find them &lt;a href=""https://www.teachersource.com/product/purple-uv-beads/light-ultraviolet"" target=""_blank""&gt;he"&amp;"re&lt;/a&gt; (or in Amazon with the keywords ""UV beads""&lt;/p&gt;&lt;p&gt;- The UV radiation scale - you can find it &lt;a href=""https://idiverse.eu/wp-content/uploads/2019/04/UV-light-scale.pdf"" target=""_blank""&gt;here&lt;/a&gt;&lt;/p&gt;")</f>
        <v/>
      </c>
      <c r="E667" s="7">
        <f>IFERROR(__xludf.DUMMYFUNCTION("""COMPUTED_VALUE"""),"No artifact embedded")</f>
        <v/>
      </c>
      <c r="F667" s="7" t="inlineStr">
        <is>
          <t>No task descriptions for Items 1 and 2. Item 3 describes a project to measure UV levels and awareness, with materials needed listed. Embedded artifacts include an image/jpeg and the Golabz app/lab Hypothesis Scratchpad.</t>
        </is>
      </c>
      <c r="G667" s="8" t="inlineStr">
        <is>
          <t>0</t>
        </is>
      </c>
      <c r="H667" s="8" t="inlineStr">
        <is>
          <t>1</t>
        </is>
      </c>
      <c r="I667" s="8" t="inlineStr">
        <is>
          <t>1</t>
        </is>
      </c>
      <c r="J667" s="8" t="inlineStr">
        <is>
          <t>0</t>
        </is>
      </c>
      <c r="K667" s="9" t="inlineStr">
        <is>
          <t>0</t>
        </is>
      </c>
      <c r="L667" s="9" t="inlineStr">
        <is>
          <t>0</t>
        </is>
      </c>
      <c r="M667" s="9" t="inlineStr">
        <is>
          <t>1</t>
        </is>
      </c>
      <c r="N667" s="9" t="inlineStr">
        <is>
          <t>1</t>
        </is>
      </c>
      <c r="O667" s="10" t="inlineStr">
        <is>
          <t>1</t>
        </is>
      </c>
      <c r="P667" s="10" t="inlineStr">
        <is>
          <t>0</t>
        </is>
      </c>
      <c r="Q667" s="10" t="inlineStr">
        <is>
          <t>1</t>
        </is>
      </c>
      <c r="R667" s="10" t="inlineStr">
        <is>
          <t>0</t>
        </is>
      </c>
      <c r="S667" s="10" t="inlineStr">
        <is>
          <t>0</t>
        </is>
      </c>
    </row>
    <row r="668" ht="97" customHeight="1">
      <c r="A668" s="6">
        <f>IFERROR(__xludf.DUMMYFUNCTION("""COMPUTED_VALUE"""),"UV light: friend or foe?")</f>
        <v/>
      </c>
      <c r="B668" s="6">
        <f>IFERROR(__xludf.DUMMYFUNCTION("""COMPUTED_VALUE"""),"Resource")</f>
        <v/>
      </c>
      <c r="C668" s="6">
        <f>IFERROR(__xludf.DUMMYFUNCTION("""COMPUTED_VALUE"""),"UV light scale (1).png")</f>
        <v/>
      </c>
      <c r="D668" s="7">
        <f>IFERROR(__xludf.DUMMYFUNCTION("""COMPUTED_VALUE"""),"No task description")</f>
        <v/>
      </c>
      <c r="E668" s="7">
        <f>IFERROR(__xludf.DUMMYFUNCTION("""COMPUTED_VALUE"""),"image/png – A high-quality image with support for transparency, often used in design and web applications.")</f>
        <v/>
      </c>
      <c r="F668" s="7" t="inlineStr">
        <is>
          <t>Students received tasks with varying levels of detail and embedded artifacts, including a hypothesis-forming app and an image.</t>
        </is>
      </c>
      <c r="G668" s="8" t="inlineStr">
        <is>
          <t>1</t>
        </is>
      </c>
      <c r="H668" s="8" t="inlineStr">
        <is>
          <t>0</t>
        </is>
      </c>
      <c r="I668" s="8" t="inlineStr">
        <is>
          <t>0</t>
        </is>
      </c>
      <c r="J668" s="8" t="inlineStr">
        <is>
          <t>0</t>
        </is>
      </c>
      <c r="K668" s="9" t="inlineStr">
        <is>
          <t>0</t>
        </is>
      </c>
      <c r="L668" s="9" t="inlineStr">
        <is>
          <t>0</t>
        </is>
      </c>
      <c r="M668" s="9" t="inlineStr">
        <is>
          <t>0</t>
        </is>
      </c>
      <c r="N668" s="9" t="inlineStr">
        <is>
          <t>0</t>
        </is>
      </c>
      <c r="O668" s="10" t="inlineStr">
        <is>
          <t>0</t>
        </is>
      </c>
      <c r="P668" s="10" t="inlineStr">
        <is>
          <t>0</t>
        </is>
      </c>
      <c r="Q668" s="10" t="inlineStr">
        <is>
          <t>0</t>
        </is>
      </c>
      <c r="R668" s="10" t="inlineStr">
        <is>
          <t>0</t>
        </is>
      </c>
      <c r="S668" s="10" t="inlineStr">
        <is>
          <t>0</t>
        </is>
      </c>
    </row>
    <row r="669" ht="409.5" customHeight="1">
      <c r="A669" s="6">
        <f>IFERROR(__xludf.DUMMYFUNCTION("""COMPUTED_VALUE"""),"UV light: friend or foe?")</f>
        <v/>
      </c>
      <c r="B669" s="6">
        <f>IFERROR(__xludf.DUMMYFUNCTION("""COMPUTED_VALUE"""),"Resource")</f>
        <v/>
      </c>
      <c r="C669" s="6">
        <f>IFERROR(__xludf.DUMMYFUNCTION("""COMPUTED_VALUE"""),"s.graasp")</f>
        <v/>
      </c>
      <c r="D669" s="7">
        <f>IFERROR(__xludf.DUMMYFUNCTION("""COMPUTED_VALUE"""),"&lt;p&gt;First you have to register:&lt;/p&gt;&lt;p&gt;- Use a code name - ask your teacher to help you decide on one.&lt;br&gt;- Don't use any picture that shows who you are.&lt;br&gt;- Read all the parts of the project very carefully and make sure you understand all the questions be"&amp;"fore you start the project.&lt;br&gt;- Begin by reading introduction and then go to ""investigation page"".&lt;br&gt;- Read the protocol carefully and then go to ""report form"" to add your answers.&lt;br&gt;- If necessary, print the protocol and keep it with you at all ti"&amp;"mes.&lt;br&gt;- When you finish go to ""findings"" to see all the answers, including yours.&lt;br&gt;Note: In globallab you are given a very simple protocol to follow, in which you can only insert one answer. However, in order to make a real community research you sh"&amp;"ould interview not only one family member but many family members and other people from your community.&lt;br&gt;You can also add any other procedures and questions to your research, which you can bring in your own project or notebook. You cannot edit the globa"&amp;"llab project, and you will only be able to add the answers to the questions that are there.&lt;br&gt;By the end, you can create your own graphs with the answers you added in the platform and all the others you have collected yourself.&lt;/p&gt;")</f>
        <v/>
      </c>
      <c r="E669" s="7">
        <f>IFERROR(__xludf.DUMMYFUNCTION("""COMPUTED_VALUE"""),"No artifact embedded")</f>
        <v/>
      </c>
      <c r="F669" s="7" t="inlineStr">
        <is>
          <t>Students collaborate on UV levels project, registering with code names and following protocols. Embedded artifacts include a PNG image.</t>
        </is>
      </c>
      <c r="G669" s="8" t="inlineStr">
        <is>
          <t>0</t>
        </is>
      </c>
      <c r="H669" s="8" t="inlineStr">
        <is>
          <t>0</t>
        </is>
      </c>
      <c r="I669" s="8" t="inlineStr">
        <is>
          <t>1</t>
        </is>
      </c>
      <c r="J669" s="8" t="inlineStr">
        <is>
          <t>1</t>
        </is>
      </c>
      <c r="K669" s="9" t="inlineStr">
        <is>
          <t>1</t>
        </is>
      </c>
      <c r="L669" s="9" t="inlineStr">
        <is>
          <t>1</t>
        </is>
      </c>
      <c r="M669" s="9" t="inlineStr">
        <is>
          <t>1</t>
        </is>
      </c>
      <c r="N669" s="9" t="inlineStr">
        <is>
          <t>1</t>
        </is>
      </c>
      <c r="O669" s="10" t="inlineStr">
        <is>
          <t>0</t>
        </is>
      </c>
      <c r="P669" s="10" t="inlineStr">
        <is>
          <t>0</t>
        </is>
      </c>
      <c r="Q669" s="10" t="inlineStr">
        <is>
          <t>1</t>
        </is>
      </c>
      <c r="R669" s="10" t="inlineStr">
        <is>
          <t>0</t>
        </is>
      </c>
      <c r="S669" s="10" t="inlineStr">
        <is>
          <t>0</t>
        </is>
      </c>
    </row>
    <row r="670" ht="133" customHeight="1">
      <c r="A670" s="6">
        <f>IFERROR(__xludf.DUMMYFUNCTION("""COMPUTED_VALUE"""),"UV light: friend or foe?")</f>
        <v/>
      </c>
      <c r="B670" s="6">
        <f>IFERROR(__xludf.DUMMYFUNCTION("""COMPUTED_VALUE"""),"Resource")</f>
        <v/>
      </c>
      <c r="C670" s="6">
        <f>IFERROR(__xludf.DUMMYFUNCTION("""COMPUTED_VALUE"""),"UV light levels around the world (1)")</f>
        <v/>
      </c>
      <c r="D670" s="7">
        <f>IFERROR(__xludf.DUMMYFUNCTION("""COMPUTED_VALUE"""),"&lt;p&gt;Is ultraviolet radiation the same level across the globe? Are people aware of how to protect themselves from this radiation?&lt;/p&gt;")</f>
        <v/>
      </c>
      <c r="E670" s="7">
        <f>IFERROR(__xludf.DUMMYFUNCTION("""COMPUTED_VALUE"""),"Artifact from globallab.org: A platform for collaborative educational projects, possibly including studies on UV light levels around the world.")</f>
        <v/>
      </c>
      <c r="F670" s="7" t="inlineStr">
        <is>
          <t>Students are given task descriptions and embedded artifacts, including images and platforms, to complete projects on various topics.</t>
        </is>
      </c>
      <c r="G670" s="8" t="inlineStr">
        <is>
          <t>0</t>
        </is>
      </c>
      <c r="H670" s="8" t="inlineStr">
        <is>
          <t>0</t>
        </is>
      </c>
      <c r="I670" s="8" t="inlineStr">
        <is>
          <t>0</t>
        </is>
      </c>
      <c r="J670" s="8" t="inlineStr">
        <is>
          <t>0</t>
        </is>
      </c>
      <c r="K670" s="9" t="inlineStr">
        <is>
          <t>0</t>
        </is>
      </c>
      <c r="L670" s="9" t="inlineStr">
        <is>
          <t>0</t>
        </is>
      </c>
      <c r="M670" s="9" t="inlineStr">
        <is>
          <t>1</t>
        </is>
      </c>
      <c r="N670" s="9" t="inlineStr">
        <is>
          <t>1</t>
        </is>
      </c>
      <c r="O670" s="10" t="inlineStr">
        <is>
          <t>1</t>
        </is>
      </c>
      <c r="P670" s="10" t="inlineStr">
        <is>
          <t>1</t>
        </is>
      </c>
      <c r="Q670" s="10" t="inlineStr">
        <is>
          <t>1</t>
        </is>
      </c>
      <c r="R670" s="10" t="inlineStr">
        <is>
          <t>0</t>
        </is>
      </c>
      <c r="S670" s="10" t="inlineStr">
        <is>
          <t>0</t>
        </is>
      </c>
    </row>
    <row r="671" ht="318" customHeight="1">
      <c r="A671" s="6">
        <f>IFERROR(__xludf.DUMMYFUNCTION("""COMPUTED_VALUE"""),"UV light: friend or foe?")</f>
        <v/>
      </c>
      <c r="B671" s="6">
        <f>IFERROR(__xludf.DUMMYFUNCTION("""COMPUTED_VALUE"""),"Resource")</f>
        <v/>
      </c>
      <c r="C671" s="6">
        <f>IFERROR(__xludf.DUMMYFUNCTION("""COMPUTED_VALUE"""),"3.graasp")</f>
        <v/>
      </c>
      <c r="D671" s="7">
        <f>IFERROR(__xludf.DUMMYFUNCTION("""COMPUTED_VALUE"""),"&lt;p&gt;When you finish your research, make sure you analyse your data carefully in order to answer the questions:&lt;/p&gt;&lt;p style=""margin-left: 20px;""&gt;1.    Are UV levels the same throughout the day and across the globe?&lt;br&gt;2.    Are people in your community aw"&amp;"are of the dangers and benefits of UV radiation?&lt;/p&gt;&lt;p style=""margin-left: 20px;""&gt;&lt;br&gt;&lt;/p&gt;&lt;p&gt;What are your conclusions?&lt;/p&gt;")</f>
        <v/>
      </c>
      <c r="E671" s="7">
        <f>IFERROR(__xludf.DUMMYFUNCTION("""COMPUTED_VALUE"""),"No artifact embedded")</f>
        <v/>
      </c>
      <c r="F671" s="7" t="inlineStr">
        <is>
          <t>Students register, read project parts, and answer questions on a platform, with optional additional research and graph creation. Embedded artifacts include a collaborative educational project platform.</t>
        </is>
      </c>
      <c r="G671" s="8" t="inlineStr">
        <is>
          <t>0</t>
        </is>
      </c>
      <c r="H671" s="8" t="inlineStr">
        <is>
          <t>0</t>
        </is>
      </c>
      <c r="I671" s="8" t="inlineStr">
        <is>
          <t>1</t>
        </is>
      </c>
      <c r="J671" s="8" t="inlineStr">
        <is>
          <t>0</t>
        </is>
      </c>
      <c r="K671" s="9" t="inlineStr">
        <is>
          <t>1</t>
        </is>
      </c>
      <c r="L671" s="9" t="inlineStr">
        <is>
          <t>1</t>
        </is>
      </c>
      <c r="M671" s="9" t="inlineStr">
        <is>
          <t>0</t>
        </is>
      </c>
      <c r="N671" s="9" t="inlineStr">
        <is>
          <t>0</t>
        </is>
      </c>
      <c r="O671" s="10" t="inlineStr">
        <is>
          <t>1</t>
        </is>
      </c>
      <c r="P671" s="10" t="inlineStr">
        <is>
          <t>1</t>
        </is>
      </c>
      <c r="Q671" s="10" t="inlineStr">
        <is>
          <t>1</t>
        </is>
      </c>
      <c r="R671" s="10" t="inlineStr">
        <is>
          <t>1</t>
        </is>
      </c>
      <c r="S671" s="10" t="inlineStr">
        <is>
          <t>0</t>
        </is>
      </c>
    </row>
    <row r="672" ht="409.5" customHeight="1">
      <c r="A672" s="6">
        <f>IFERROR(__xludf.DUMMYFUNCTION("""COMPUTED_VALUE"""),"UV light: friend or foe?")</f>
        <v/>
      </c>
      <c r="B672" s="6">
        <f>IFERROR(__xludf.DUMMYFUNCTION("""COMPUTED_VALUE"""),"Application")</f>
        <v/>
      </c>
      <c r="C672" s="6">
        <f>IFERROR(__xludf.DUMMYFUNCTION("""COMPUTED_VALUE"""),"Conclusion Tool")</f>
        <v/>
      </c>
      <c r="D672" s="7">
        <f>IFERROR(__xludf.DUMMYFUNCTION("""COMPUTED_VALUE"""),"No task description")</f>
        <v/>
      </c>
      <c r="E67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72" s="7" t="inlineStr">
        <is>
          <t>Students research UV radiation levels, analyze data, and draw conclusions. Embedded artifacts include Globallab.org and Golabz app/lab tools for collaborative projects and hypothesis validation.</t>
        </is>
      </c>
      <c r="G672" s="8" t="inlineStr">
        <is>
          <t>0</t>
        </is>
      </c>
      <c r="H672" s="8" t="inlineStr">
        <is>
          <t>1</t>
        </is>
      </c>
      <c r="I672" s="8" t="inlineStr">
        <is>
          <t>1</t>
        </is>
      </c>
      <c r="J672" s="8" t="inlineStr">
        <is>
          <t>1</t>
        </is>
      </c>
      <c r="K672" s="9" t="inlineStr">
        <is>
          <t>0</t>
        </is>
      </c>
      <c r="L672" s="9" t="inlineStr">
        <is>
          <t>0</t>
        </is>
      </c>
      <c r="M672" s="9" t="inlineStr">
        <is>
          <t>0</t>
        </is>
      </c>
      <c r="N672" s="9" t="inlineStr">
        <is>
          <t>0</t>
        </is>
      </c>
      <c r="O672" s="10" t="inlineStr">
        <is>
          <t>0</t>
        </is>
      </c>
      <c r="P672" s="10" t="inlineStr">
        <is>
          <t>1</t>
        </is>
      </c>
      <c r="Q672" s="10" t="inlineStr">
        <is>
          <t>1</t>
        </is>
      </c>
      <c r="R672" s="10" t="inlineStr">
        <is>
          <t>1</t>
        </is>
      </c>
      <c r="S672" s="10" t="inlineStr">
        <is>
          <t>0</t>
        </is>
      </c>
    </row>
    <row r="673" ht="409.5" customHeight="1">
      <c r="A673" s="6">
        <f>IFERROR(__xludf.DUMMYFUNCTION("""COMPUTED_VALUE"""),"UV light: friend or foe?")</f>
        <v/>
      </c>
      <c r="B673" s="6">
        <f>IFERROR(__xludf.DUMMYFUNCTION("""COMPUTED_VALUE"""),"Resource")</f>
        <v/>
      </c>
      <c r="C673" s="6">
        <f>IFERROR(__xludf.DUMMYFUNCTION("""COMPUTED_VALUE"""),"4.graasp")</f>
        <v/>
      </c>
      <c r="D673" s="7">
        <f>IFERROR(__xludf.DUMMYFUNCTION("""COMPUTED_VALUE"""),"&lt;p&gt;Great Job. Now you can move to the next phase&lt;/p&gt;&lt;p&gt;&lt;br&gt;&lt;/p&gt;&lt;p&gt;&lt;strong&gt;Note:&lt;/strong&gt; In this exercise we use a standardized UV scale, to allow for the comparison of results measures by different students in different locations.&lt;/p&gt;&lt;p&gt;The UV Index is a"&amp;"n internationally standardised open ended numerical scale developed by the World Health Organization that measures the amount of UV radiation reaching the earth’s surface. It begins at zero and has no upper limit.  The UV Index is often represented as a n"&amp;"umber line with accompanying action statements and descriptive words which convey UV intensity. (&lt;a href=""https://www.myuv.com.au/about-uv/"" target=""_blank""&gt;https://www.myuv.com.au/about-uv/&lt;/a&gt;)&lt;br&gt;You  can check the value of the level of UV radiatio"&amp;"n around the world in &lt;a href=""https://www.uvlens.com/"" target=""_blank""&gt;https://www.uvlens.com/&lt;/a&gt; or  use a mobile app.&lt;/p&gt;")</f>
        <v/>
      </c>
      <c r="E673" s="7">
        <f>IFERROR(__xludf.DUMMYFUNCTION("""COMPUTED_VALUE"""),"No artifact embedded")</f>
        <v/>
      </c>
      <c r="F673" s="7" t="inlineStr">
        <is>
          <t>Students analyze data, answer questions about UV levels and awareness, and draw conclusions. Embedded artifacts include Golabz app/lab for hypothesis validation.</t>
        </is>
      </c>
      <c r="G673" s="8" t="inlineStr">
        <is>
          <t>0</t>
        </is>
      </c>
      <c r="H673" s="8" t="inlineStr">
        <is>
          <t>0</t>
        </is>
      </c>
      <c r="I673" s="8" t="inlineStr">
        <is>
          <t>0</t>
        </is>
      </c>
      <c r="J673" s="8" t="inlineStr">
        <is>
          <t>0</t>
        </is>
      </c>
      <c r="K673" s="9" t="inlineStr">
        <is>
          <t>1</t>
        </is>
      </c>
      <c r="L673" s="9" t="inlineStr">
        <is>
          <t>0</t>
        </is>
      </c>
      <c r="M673" s="9" t="inlineStr">
        <is>
          <t>0</t>
        </is>
      </c>
      <c r="N673" s="9" t="inlineStr">
        <is>
          <t>0</t>
        </is>
      </c>
      <c r="O673" s="10" t="inlineStr">
        <is>
          <t>0</t>
        </is>
      </c>
      <c r="P673" s="10" t="inlineStr">
        <is>
          <t>0</t>
        </is>
      </c>
      <c r="Q673" s="10" t="inlineStr">
        <is>
          <t>0</t>
        </is>
      </c>
      <c r="R673" s="10" t="inlineStr">
        <is>
          <t>0</t>
        </is>
      </c>
      <c r="S673" s="10" t="inlineStr">
        <is>
          <t>0</t>
        </is>
      </c>
    </row>
    <row r="674" ht="25" customHeight="1">
      <c r="A674" s="6">
        <f>IFERROR(__xludf.DUMMYFUNCTION("""COMPUTED_VALUE"""),"UV light: friend or foe?")</f>
        <v/>
      </c>
      <c r="B674" s="6">
        <f>IFERROR(__xludf.DUMMYFUNCTION("""COMPUTED_VALUE"""),"Space")</f>
        <v/>
      </c>
      <c r="C674" s="6">
        <f>IFERROR(__xludf.DUMMYFUNCTION("""COMPUTED_VALUE"""),"How can we protect our skin?")</f>
        <v/>
      </c>
      <c r="D674" s="7">
        <f>IFERROR(__xludf.DUMMYFUNCTION("""COMPUTED_VALUE"""),"No task description")</f>
        <v/>
      </c>
      <c r="E674" s="7">
        <f>IFERROR(__xludf.DUMMYFUNCTION("""COMPUTED_VALUE"""),"No artifact embedded")</f>
        <v/>
      </c>
      <c r="F674" s="7" t="inlineStr">
        <is>
          <t>Students were given tasks with some having no descriptions, and artifacts like Golabz app/lab for hypothesis validation.</t>
        </is>
      </c>
      <c r="G674" s="8" t="inlineStr">
        <is>
          <t>1</t>
        </is>
      </c>
      <c r="H674" s="8" t="inlineStr">
        <is>
          <t>0</t>
        </is>
      </c>
      <c r="I674" s="8" t="inlineStr">
        <is>
          <t>0</t>
        </is>
      </c>
      <c r="J674" s="8" t="inlineStr">
        <is>
          <t>0</t>
        </is>
      </c>
      <c r="K674" s="9" t="inlineStr">
        <is>
          <t>0</t>
        </is>
      </c>
      <c r="L674" s="9" t="inlineStr">
        <is>
          <t>0</t>
        </is>
      </c>
      <c r="M674" s="9" t="inlineStr">
        <is>
          <t>0</t>
        </is>
      </c>
      <c r="N674" s="9" t="inlineStr">
        <is>
          <t>0</t>
        </is>
      </c>
      <c r="O674" s="10" t="inlineStr">
        <is>
          <t>0</t>
        </is>
      </c>
      <c r="P674" s="10" t="inlineStr">
        <is>
          <t>0</t>
        </is>
      </c>
      <c r="Q674" s="10" t="inlineStr">
        <is>
          <t>0</t>
        </is>
      </c>
      <c r="R674" s="10" t="inlineStr">
        <is>
          <t>0</t>
        </is>
      </c>
      <c r="S674" s="10" t="inlineStr">
        <is>
          <t>0</t>
        </is>
      </c>
    </row>
    <row r="675" ht="409.5" customHeight="1">
      <c r="A675" s="6">
        <f>IFERROR(__xludf.DUMMYFUNCTION("""COMPUTED_VALUE"""),"UV light: friend or foe?")</f>
        <v/>
      </c>
      <c r="B675" s="6">
        <f>IFERROR(__xludf.DUMMYFUNCTION("""COMPUTED_VALUE"""),"Resource")</f>
        <v/>
      </c>
      <c r="C675" s="6">
        <f>IFERROR(__xludf.DUMMYFUNCTION("""COMPUTED_VALUE"""),"1.graasp")</f>
        <v/>
      </c>
      <c r="D675" s="7">
        <f>IFERROR(__xludf.DUMMYFUNCTION("""COMPUTED_VALUE"""),"&lt;p&gt;Wow, what a great job you have done so far! &lt;/p&gt;&lt;p&gt;&lt;br&gt;&lt;/p&gt;&lt;p&gt;So now that you know so much about the benefits and the dangers of UV, you know that it is important to protect your skin when the UV levels are dangerous but to let your skin receive the ra"&amp;"diation when the UV levels are safe. Receiving radiation in your skin is simple, you just put your skin out and in the sun. But protecting it from UV dangers is a bit more complex than that. We can be exposed to UV dangers in so many different activities "&amp;"and we need to know different ways of protecting ourselves, according to our situation. Considering this, it’s time to start investigating how we can protect ourselves throughout the day.&lt;/p&gt;&lt;p&gt;&lt;br&gt;&lt;/p&gt;&lt;p&gt;What are, in your opinion, the best ways to protec"&amp;"t your skin when you are outside in a sunny day, and what ways do people usualy think are good but aren't?&lt;/p&gt;&lt;p&gt;&lt;br&gt;&lt;/p&gt;")</f>
        <v/>
      </c>
      <c r="E675" s="7">
        <f>IFERROR(__xludf.DUMMYFUNCTION("""COMPUTED_VALUE"""),"No artifact embedded")</f>
        <v/>
      </c>
      <c r="F675" s="7" t="inlineStr">
        <is>
          <t>Students were instructed to learn about UV radiation, its measurement, and protection methods. No artifacts were embedded in the items.</t>
        </is>
      </c>
      <c r="G675" s="8" t="inlineStr">
        <is>
          <t>0</t>
        </is>
      </c>
      <c r="H675" s="8" t="inlineStr">
        <is>
          <t>0</t>
        </is>
      </c>
      <c r="I675" s="8" t="inlineStr">
        <is>
          <t>1</t>
        </is>
      </c>
      <c r="J675" s="8" t="inlineStr">
        <is>
          <t>0</t>
        </is>
      </c>
      <c r="K675" s="9" t="inlineStr">
        <is>
          <t>1</t>
        </is>
      </c>
      <c r="L675" s="9" t="inlineStr">
        <is>
          <t>1</t>
        </is>
      </c>
      <c r="M675" s="9" t="inlineStr">
        <is>
          <t>0</t>
        </is>
      </c>
      <c r="N675" s="9" t="inlineStr">
        <is>
          <t>0</t>
        </is>
      </c>
      <c r="O675" s="10" t="inlineStr">
        <is>
          <t>1</t>
        </is>
      </c>
      <c r="P675" s="10" t="inlineStr">
        <is>
          <t>1</t>
        </is>
      </c>
      <c r="Q675" s="10" t="inlineStr">
        <is>
          <t>1</t>
        </is>
      </c>
      <c r="R675" s="10" t="inlineStr">
        <is>
          <t>0</t>
        </is>
      </c>
      <c r="S675" s="10" t="inlineStr">
        <is>
          <t>1</t>
        </is>
      </c>
    </row>
    <row r="676" ht="409.5" customHeight="1">
      <c r="A676" s="6">
        <f>IFERROR(__xludf.DUMMYFUNCTION("""COMPUTED_VALUE"""),"UV light: friend or foe?")</f>
        <v/>
      </c>
      <c r="B676" s="6">
        <f>IFERROR(__xludf.DUMMYFUNCTION("""COMPUTED_VALUE"""),"Application")</f>
        <v/>
      </c>
      <c r="C676" s="6">
        <f>IFERROR(__xludf.DUMMYFUNCTION("""COMPUTED_VALUE"""),"Table Tool")</f>
        <v/>
      </c>
      <c r="D676" s="7">
        <f>IFERROR(__xludf.DUMMYFUNCTION("""COMPUTED_VALUE"""),"No task description")</f>
        <v/>
      </c>
      <c r="E67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76" s="7" t="inlineStr">
        <is>
          <t>Students investigate UV protection methods and share opinions on effective ways to protect skin outdoors. No artifacts are embedded in Items 1 and 2, while Item 3 describes the Golabz app/lab table tool.</t>
        </is>
      </c>
      <c r="G676" s="8" t="inlineStr">
        <is>
          <t>0</t>
        </is>
      </c>
      <c r="H676" s="8" t="inlineStr">
        <is>
          <t>1</t>
        </is>
      </c>
      <c r="I676" s="8" t="inlineStr">
        <is>
          <t>1</t>
        </is>
      </c>
      <c r="J676" s="8" t="inlineStr">
        <is>
          <t>1</t>
        </is>
      </c>
      <c r="K676" s="9" t="inlineStr">
        <is>
          <t>0</t>
        </is>
      </c>
      <c r="L676" s="9" t="inlineStr">
        <is>
          <t>1</t>
        </is>
      </c>
      <c r="M676" s="9" t="inlineStr">
        <is>
          <t>1</t>
        </is>
      </c>
      <c r="N676" s="9" t="inlineStr">
        <is>
          <t>1</t>
        </is>
      </c>
      <c r="O676" s="10" t="inlineStr">
        <is>
          <t>0</t>
        </is>
      </c>
      <c r="P676" s="10" t="inlineStr">
        <is>
          <t>0</t>
        </is>
      </c>
      <c r="Q676" s="10" t="inlineStr">
        <is>
          <t>0</t>
        </is>
      </c>
      <c r="R676" s="10" t="inlineStr">
        <is>
          <t>0</t>
        </is>
      </c>
      <c r="S676" s="10" t="inlineStr">
        <is>
          <t>0</t>
        </is>
      </c>
    </row>
    <row r="677" ht="409.5" customHeight="1">
      <c r="A677" s="6">
        <f>IFERROR(__xludf.DUMMYFUNCTION("""COMPUTED_VALUE"""),"UV light: friend or foe?")</f>
        <v/>
      </c>
      <c r="B677" s="6">
        <f>IFERROR(__xludf.DUMMYFUNCTION("""COMPUTED_VALUE"""),"Resource")</f>
        <v/>
      </c>
      <c r="C677" s="6">
        <f>IFERROR(__xludf.DUMMYFUNCTION("""COMPUTED_VALUE"""),"2.graasp")</f>
        <v/>
      </c>
      <c r="D677" s="7">
        <f>IFERROR(__xludf.DUMMYFUNCTION("""COMPUTED_VALUE"""),"&lt;p&gt;Now, let's make an experiment to see if your predictions are correct. Our goal? To test the different ways of protecting the skin you mentioned above (the effective and non-effective) and see how they work in blocking UV radiation.&lt;/p&gt;&lt;p&gt;&lt;br&gt;&lt;/p&gt;&lt;p&gt;Mat"&amp;"erials you will need:&lt;/p&gt;&lt;p&gt; - UV sensitive beads (as in previous phase)&lt;br&gt;&lt;/p&gt;&lt;p&gt; - UV level scale (as in previous phase)&lt;br&gt; - Sunscreen bottles of different protective factors (ex. 10, 30 and 50)&lt;br&gt; - Creativity to come up with all other important ma"&amp;"terials&lt;/p&gt;&lt;p&gt;&lt;br&gt;&lt;/p&gt;&lt;p&gt;Optional:&lt;/p&gt;&lt;p&gt; - UV lantern to replace direct sun light (in case you have a cloudy day)&lt;/p&gt;&lt;p&gt;Tips: you might want to bring a Tanner, for example, to your experiment ;)&lt;/p&gt;&lt;p&gt;&lt;br&gt;&lt;/p&gt;&lt;p&gt;Make a list with all your materials and ma"&amp;"ke sure you bring them to your experiment.&lt;/p&gt;")</f>
        <v/>
      </c>
      <c r="E677" s="7">
        <f>IFERROR(__xludf.DUMMYFUNCTION("""COMPUTED_VALUE"""),"No artifact embedded")</f>
        <v/>
      </c>
      <c r="F677" s="7" t="inlineStr">
        <is>
          <t>Students investigate UV protection methods, then design an experiment to test their effectiveness using various materials.</t>
        </is>
      </c>
      <c r="G677" s="8" t="inlineStr">
        <is>
          <t>0</t>
        </is>
      </c>
      <c r="H677" s="8" t="inlineStr">
        <is>
          <t>1</t>
        </is>
      </c>
      <c r="I677" s="8" t="inlineStr">
        <is>
          <t>1</t>
        </is>
      </c>
      <c r="J677" s="8" t="inlineStr">
        <is>
          <t>0</t>
        </is>
      </c>
      <c r="K677" s="9" t="inlineStr">
        <is>
          <t>1</t>
        </is>
      </c>
      <c r="L677" s="9" t="inlineStr">
        <is>
          <t>0</t>
        </is>
      </c>
      <c r="M677" s="9" t="inlineStr">
        <is>
          <t>0</t>
        </is>
      </c>
      <c r="N677" s="9" t="inlineStr">
        <is>
          <t>0</t>
        </is>
      </c>
      <c r="O677" s="10" t="inlineStr">
        <is>
          <t>1</t>
        </is>
      </c>
      <c r="P677" s="10" t="inlineStr">
        <is>
          <t>1</t>
        </is>
      </c>
      <c r="Q677" s="10" t="inlineStr">
        <is>
          <t>1</t>
        </is>
      </c>
      <c r="R677" s="10" t="inlineStr">
        <is>
          <t>0</t>
        </is>
      </c>
      <c r="S677" s="10" t="inlineStr">
        <is>
          <t>0</t>
        </is>
      </c>
    </row>
    <row r="678" ht="329" customHeight="1">
      <c r="A678" s="6">
        <f>IFERROR(__xludf.DUMMYFUNCTION("""COMPUTED_VALUE"""),"UV light: friend or foe?")</f>
        <v/>
      </c>
      <c r="B678" s="6">
        <f>IFERROR(__xludf.DUMMYFUNCTION("""COMPUTED_VALUE"""),"Application")</f>
        <v/>
      </c>
      <c r="C678" s="6">
        <f>IFERROR(__xludf.DUMMYFUNCTION("""COMPUTED_VALUE"""),"Input Box")</f>
        <v/>
      </c>
      <c r="D678" s="7">
        <f>IFERROR(__xludf.DUMMYFUNCTION("""COMPUTED_VALUE"""),"No task description")</f>
        <v/>
      </c>
      <c r="E67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8" s="7" t="inlineStr">
        <is>
          <t>Students receive task instructions and use Golabz apps like Table tool and Input box for data entry and note-taking.</t>
        </is>
      </c>
      <c r="G678" s="8" t="inlineStr">
        <is>
          <t>0</t>
        </is>
      </c>
      <c r="H678" s="8" t="inlineStr">
        <is>
          <t>1</t>
        </is>
      </c>
      <c r="I678" s="8" t="inlineStr">
        <is>
          <t>1</t>
        </is>
      </c>
      <c r="J678" s="8" t="inlineStr">
        <is>
          <t>1</t>
        </is>
      </c>
      <c r="K678" s="9" t="inlineStr">
        <is>
          <t>1</t>
        </is>
      </c>
      <c r="L678" s="9" t="inlineStr">
        <is>
          <t>1</t>
        </is>
      </c>
      <c r="M678" s="9" t="inlineStr">
        <is>
          <t>1</t>
        </is>
      </c>
      <c r="N678" s="9" t="inlineStr">
        <is>
          <t>1</t>
        </is>
      </c>
      <c r="O678" s="10" t="inlineStr">
        <is>
          <t>0</t>
        </is>
      </c>
      <c r="P678" s="10" t="inlineStr">
        <is>
          <t>0</t>
        </is>
      </c>
      <c r="Q678" s="10" t="inlineStr">
        <is>
          <t>0</t>
        </is>
      </c>
      <c r="R678" s="10" t="inlineStr">
        <is>
          <t>0</t>
        </is>
      </c>
      <c r="S678" s="10" t="inlineStr">
        <is>
          <t>1</t>
        </is>
      </c>
    </row>
    <row r="679" ht="409.5" customHeight="1">
      <c r="A679" s="6">
        <f>IFERROR(__xludf.DUMMYFUNCTION("""COMPUTED_VALUE"""),"UV light: friend or foe?")</f>
        <v/>
      </c>
      <c r="B679" s="6">
        <f>IFERROR(__xludf.DUMMYFUNCTION("""COMPUTED_VALUE"""),"Application")</f>
        <v/>
      </c>
      <c r="C679" s="6">
        <f>IFERROR(__xludf.DUMMYFUNCTION("""COMPUTED_VALUE"""),"Experiment Design Tool")</f>
        <v/>
      </c>
      <c r="D679" s="7">
        <f>IFERROR(__xludf.DUMMYFUNCTION("""COMPUTED_VALUE"""),"&lt;p&gt;Use this tool to design your experiment, considering that in order to achieve valid results you should always vary one variable at a time. Click on the (+) to add the values.&lt;/p&gt;")</f>
        <v/>
      </c>
      <c r="E67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679" s="7" t="inlineStr">
        <is>
          <t>Students test UV protection methods using materials like sunscreen and UV beads, with optional tools like a UV lantern. Embedded artifacts include note-taking and experiment design apps.</t>
        </is>
      </c>
      <c r="G679" s="8" t="inlineStr">
        <is>
          <t>0</t>
        </is>
      </c>
      <c r="H679" s="8" t="inlineStr">
        <is>
          <t>1</t>
        </is>
      </c>
      <c r="I679" s="8" t="inlineStr">
        <is>
          <t>1</t>
        </is>
      </c>
      <c r="J679" s="8" t="inlineStr">
        <is>
          <t>1</t>
        </is>
      </c>
      <c r="K679" s="9" t="inlineStr">
        <is>
          <t>1</t>
        </is>
      </c>
      <c r="L679" s="9" t="inlineStr">
        <is>
          <t>1</t>
        </is>
      </c>
      <c r="M679" s="9" t="inlineStr">
        <is>
          <t>0</t>
        </is>
      </c>
      <c r="N679" s="9" t="inlineStr">
        <is>
          <t>0</t>
        </is>
      </c>
      <c r="O679" s="10" t="inlineStr">
        <is>
          <t>0</t>
        </is>
      </c>
      <c r="P679" s="10" t="inlineStr">
        <is>
          <t>1</t>
        </is>
      </c>
      <c r="Q679" s="10" t="inlineStr">
        <is>
          <t>1</t>
        </is>
      </c>
      <c r="R679" s="10" t="inlineStr">
        <is>
          <t>0</t>
        </is>
      </c>
      <c r="S679" s="10" t="inlineStr">
        <is>
          <t>0</t>
        </is>
      </c>
    </row>
    <row r="680" ht="395" customHeight="1">
      <c r="A680" s="6">
        <f>IFERROR(__xludf.DUMMYFUNCTION("""COMPUTED_VALUE"""),"UV light: friend or foe?")</f>
        <v/>
      </c>
      <c r="B680" s="6">
        <f>IFERROR(__xludf.DUMMYFUNCTION("""COMPUTED_VALUE"""),"Application")</f>
        <v/>
      </c>
      <c r="C680" s="6">
        <f>IFERROR(__xludf.DUMMYFUNCTION("""COMPUTED_VALUE"""),"Observation Tool")</f>
        <v/>
      </c>
      <c r="D680" s="7">
        <f>IFERROR(__xludf.DUMMYFUNCTION("""COMPUTED_VALUE"""),"&lt;p&gt;Its time to experiment! Make your experiments and register all your observations. Take pictures of the process to keep a visual record.&lt;/p&gt;")</f>
        <v/>
      </c>
      <c r="E68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80" s="7" t="inlineStr">
        <is>
          <t>Students use apps to design experiments, record observations, and take notes. Artifacts include input boxes, experiment design tools, and observation tools with collaboration options.</t>
        </is>
      </c>
      <c r="G680" s="8" t="inlineStr">
        <is>
          <t>0</t>
        </is>
      </c>
      <c r="H680" s="8" t="inlineStr">
        <is>
          <t>1</t>
        </is>
      </c>
      <c r="I680" s="8" t="inlineStr">
        <is>
          <t>1</t>
        </is>
      </c>
      <c r="J680" s="8" t="inlineStr">
        <is>
          <t>1</t>
        </is>
      </c>
      <c r="K680" s="9" t="inlineStr">
        <is>
          <t>0</t>
        </is>
      </c>
      <c r="L680" s="9" t="inlineStr">
        <is>
          <t>1</t>
        </is>
      </c>
      <c r="M680" s="9" t="inlineStr">
        <is>
          <t>0</t>
        </is>
      </c>
      <c r="N680" s="9" t="inlineStr">
        <is>
          <t>1</t>
        </is>
      </c>
      <c r="O680" s="10" t="inlineStr">
        <is>
          <t>0</t>
        </is>
      </c>
      <c r="P680" s="10" t="inlineStr">
        <is>
          <t>0</t>
        </is>
      </c>
      <c r="Q680" s="10" t="inlineStr">
        <is>
          <t>1</t>
        </is>
      </c>
      <c r="R680" s="10" t="inlineStr">
        <is>
          <t>1</t>
        </is>
      </c>
      <c r="S680" s="10" t="inlineStr">
        <is>
          <t>0</t>
        </is>
      </c>
    </row>
    <row r="681" ht="193" customHeight="1">
      <c r="A681" s="6">
        <f>IFERROR(__xludf.DUMMYFUNCTION("""COMPUTED_VALUE"""),"UV light: friend or foe?")</f>
        <v/>
      </c>
      <c r="B681" s="6">
        <f>IFERROR(__xludf.DUMMYFUNCTION("""COMPUTED_VALUE"""),"Resource")</f>
        <v/>
      </c>
      <c r="C681" s="6">
        <f>IFERROR(__xludf.DUMMYFUNCTION("""COMPUTED_VALUE"""),"3.graasp")</f>
        <v/>
      </c>
      <c r="D681" s="7">
        <f>IFERROR(__xludf.DUMMYFUNCTION("""COMPUTED_VALUE"""),"&lt;p&gt;Make sure you have made all the experiments you wanted to make. Don't worry if something went wrong, you can always repeat your experiment.&lt;/p&gt;&lt;p&gt;&lt;br&gt;&lt;/p&gt;&lt;p&gt;When you finish, go to the ""conclusion"" phase&lt;/p&gt;")</f>
        <v/>
      </c>
      <c r="E681" s="7">
        <f>IFERROR(__xludf.DUMMYFUNCTION("""COMPUTED_VALUE"""),"No artifact embedded")</f>
        <v/>
      </c>
      <c r="F681" s="7" t="inlineStr">
        <is>
          <t>Students are instructed to design and conduct experiments, record observations, and analyze results using Golabz apps: Experiment Design Tool and Observation Tool.</t>
        </is>
      </c>
      <c r="G681" s="8" t="inlineStr">
        <is>
          <t>0</t>
        </is>
      </c>
      <c r="H681" s="8" t="inlineStr">
        <is>
          <t>1</t>
        </is>
      </c>
      <c r="I681" s="8" t="inlineStr">
        <is>
          <t>0</t>
        </is>
      </c>
      <c r="J681" s="8" t="inlineStr">
        <is>
          <t>0</t>
        </is>
      </c>
      <c r="K681" s="9" t="inlineStr">
        <is>
          <t>1</t>
        </is>
      </c>
      <c r="L681" s="9" t="inlineStr">
        <is>
          <t>0</t>
        </is>
      </c>
      <c r="M681" s="9" t="inlineStr">
        <is>
          <t>0</t>
        </is>
      </c>
      <c r="N681" s="9" t="inlineStr">
        <is>
          <t>0</t>
        </is>
      </c>
      <c r="O681" s="10" t="inlineStr">
        <is>
          <t>0</t>
        </is>
      </c>
      <c r="P681" s="10" t="inlineStr">
        <is>
          <t>0</t>
        </is>
      </c>
      <c r="Q681" s="10" t="inlineStr">
        <is>
          <t>1</t>
        </is>
      </c>
      <c r="R681" s="10" t="inlineStr">
        <is>
          <t>1</t>
        </is>
      </c>
      <c r="S681" s="10" t="inlineStr">
        <is>
          <t>0</t>
        </is>
      </c>
    </row>
    <row r="682" ht="241" customHeight="1">
      <c r="A682" s="6">
        <f>IFERROR(__xludf.DUMMYFUNCTION("""COMPUTED_VALUE"""),"UV light: friend or foe?")</f>
        <v/>
      </c>
      <c r="B682" s="6">
        <f>IFERROR(__xludf.DUMMYFUNCTION("""COMPUTED_VALUE"""),"Space")</f>
        <v/>
      </c>
      <c r="C682" s="6">
        <f>IFERROR(__xludf.DUMMYFUNCTION("""COMPUTED_VALUE"""),"Conclusion")</f>
        <v/>
      </c>
      <c r="D682" s="7">
        <f>IFERROR(__xludf.DUMMYFUNCTION("""COMPUTED_VALUE"""),"&lt;p&gt;Have you finished you experiments? Now it's time to analyse your data. Use graphics to organize your data and help you achieve valid conclusions. To use the graphic creator below, click on the little folder on the bottom left side to select your data a"&amp;"nd create the graphics you want.&lt;/p&gt;")</f>
        <v/>
      </c>
      <c r="E682" s="7">
        <f>IFERROR(__xludf.DUMMYFUNCTION("""COMPUTED_VALUE"""),"No artifact embedded")</f>
        <v/>
      </c>
      <c r="F682" s="7" t="inlineStr">
        <is>
          <t>Students conduct experiments, record observations, and analyze data using tools like Golabz app/lab, then draw conclusions.</t>
        </is>
      </c>
      <c r="G682" s="8" t="inlineStr">
        <is>
          <t>0</t>
        </is>
      </c>
      <c r="H682" s="8" t="inlineStr">
        <is>
          <t>1</t>
        </is>
      </c>
      <c r="I682" s="8" t="inlineStr">
        <is>
          <t>1</t>
        </is>
      </c>
      <c r="J682" s="8" t="inlineStr">
        <is>
          <t>0</t>
        </is>
      </c>
      <c r="K682" s="9" t="inlineStr">
        <is>
          <t>1</t>
        </is>
      </c>
      <c r="L682" s="9" t="inlineStr">
        <is>
          <t>1</t>
        </is>
      </c>
      <c r="M682" s="9" t="inlineStr">
        <is>
          <t>0</t>
        </is>
      </c>
      <c r="N682" s="9" t="inlineStr">
        <is>
          <t>0</t>
        </is>
      </c>
      <c r="O682" s="10" t="inlineStr">
        <is>
          <t>0</t>
        </is>
      </c>
      <c r="P682" s="10" t="inlineStr">
        <is>
          <t>0</t>
        </is>
      </c>
      <c r="Q682" s="10" t="inlineStr">
        <is>
          <t>1</t>
        </is>
      </c>
      <c r="R682" s="10" t="inlineStr">
        <is>
          <t>1</t>
        </is>
      </c>
      <c r="S682" s="10" t="inlineStr">
        <is>
          <t>0</t>
        </is>
      </c>
    </row>
    <row r="683" ht="409.5" customHeight="1">
      <c r="A683" s="6">
        <f>IFERROR(__xludf.DUMMYFUNCTION("""COMPUTED_VALUE"""),"UV light: friend or foe?")</f>
        <v/>
      </c>
      <c r="B683" s="6">
        <f>IFERROR(__xludf.DUMMYFUNCTION("""COMPUTED_VALUE"""),"Application")</f>
        <v/>
      </c>
      <c r="C683" s="6">
        <f>IFERROR(__xludf.DUMMYFUNCTION("""COMPUTED_VALUE"""),"Data Viewer")</f>
        <v/>
      </c>
      <c r="D683" s="7">
        <f>IFERROR(__xludf.DUMMYFUNCTION("""COMPUTED_VALUE"""),"No task description")</f>
        <v/>
      </c>
      <c r="E683"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683" s="7" t="inlineStr">
        <is>
          <t>Students are instructed to conduct experiments, analyze data using graphics, and draw conclusions. Embedded artifacts include a Golabz Data Viewer app for visualizing data.</t>
        </is>
      </c>
      <c r="G683" s="8" t="inlineStr">
        <is>
          <t>0</t>
        </is>
      </c>
      <c r="H683" s="8" t="inlineStr">
        <is>
          <t>1</t>
        </is>
      </c>
      <c r="I683" s="8" t="inlineStr">
        <is>
          <t>1</t>
        </is>
      </c>
      <c r="J683" s="8" t="inlineStr">
        <is>
          <t>1</t>
        </is>
      </c>
      <c r="K683" s="9" t="inlineStr">
        <is>
          <t>0</t>
        </is>
      </c>
      <c r="L683" s="9" t="inlineStr">
        <is>
          <t>0</t>
        </is>
      </c>
      <c r="M683" s="9" t="inlineStr">
        <is>
          <t>1</t>
        </is>
      </c>
      <c r="N683" s="9" t="inlineStr">
        <is>
          <t>1</t>
        </is>
      </c>
      <c r="O683" s="10" t="inlineStr">
        <is>
          <t>0</t>
        </is>
      </c>
      <c r="P683" s="10" t="inlineStr">
        <is>
          <t>0</t>
        </is>
      </c>
      <c r="Q683" s="10" t="inlineStr">
        <is>
          <t>1</t>
        </is>
      </c>
      <c r="R683" s="10" t="inlineStr">
        <is>
          <t>0</t>
        </is>
      </c>
      <c r="S683" s="10" t="inlineStr">
        <is>
          <t>0</t>
        </is>
      </c>
    </row>
    <row r="684" ht="157" customHeight="1">
      <c r="A684" s="6">
        <f>IFERROR(__xludf.DUMMYFUNCTION("""COMPUTED_VALUE"""),"UV light: friend or foe?")</f>
        <v/>
      </c>
      <c r="B684" s="6">
        <f>IFERROR(__xludf.DUMMYFUNCTION("""COMPUTED_VALUE"""),"Resource")</f>
        <v/>
      </c>
      <c r="C684" s="6">
        <f>IFERROR(__xludf.DUMMYFUNCTION("""COMPUTED_VALUE"""),"2.graasp")</f>
        <v/>
      </c>
      <c r="D684" s="7">
        <f>IFERROR(__xludf.DUMMYFUNCTION("""COMPUTED_VALUE"""),"&lt;p&gt;OK, so now, let's return to our table! Write again your list of effective and non-effective ways of protection against UV rays, but now, considering the results you got from your experiment&lt;/p&gt;")</f>
        <v/>
      </c>
      <c r="E684" s="7">
        <f>IFERROR(__xludf.DUMMYFUNCTION("""COMPUTED_VALUE"""),"No artifact embedded")</f>
        <v/>
      </c>
      <c r="F684" s="7" t="inlineStr">
        <is>
          <t>Students analyze data using graphics, configure data sources, and write lists considering experiment results. Embedded artifacts include a graphic creator and the Golabz Data Viewer app.</t>
        </is>
      </c>
      <c r="G684" s="8" t="inlineStr">
        <is>
          <t>0</t>
        </is>
      </c>
      <c r="H684" s="8" t="inlineStr">
        <is>
          <t>0</t>
        </is>
      </c>
      <c r="I684" s="8" t="inlineStr">
        <is>
          <t>1</t>
        </is>
      </c>
      <c r="J684" s="8" t="inlineStr">
        <is>
          <t>0</t>
        </is>
      </c>
      <c r="K684" s="9" t="inlineStr">
        <is>
          <t>1</t>
        </is>
      </c>
      <c r="L684" s="9" t="inlineStr">
        <is>
          <t>1</t>
        </is>
      </c>
      <c r="M684" s="9" t="inlineStr">
        <is>
          <t>0</t>
        </is>
      </c>
      <c r="N684" s="9" t="inlineStr">
        <is>
          <t>0</t>
        </is>
      </c>
      <c r="O684" s="10" t="inlineStr">
        <is>
          <t>0</t>
        </is>
      </c>
      <c r="P684" s="10" t="inlineStr">
        <is>
          <t>1</t>
        </is>
      </c>
      <c r="Q684" s="10" t="inlineStr">
        <is>
          <t>1</t>
        </is>
      </c>
      <c r="R684" s="10" t="inlineStr">
        <is>
          <t>1</t>
        </is>
      </c>
      <c r="S684" s="10" t="inlineStr">
        <is>
          <t>0</t>
        </is>
      </c>
    </row>
    <row r="685" ht="409.5" customHeight="1">
      <c r="A685" s="6">
        <f>IFERROR(__xludf.DUMMYFUNCTION("""COMPUTED_VALUE"""),"UV light: friend or foe?")</f>
        <v/>
      </c>
      <c r="B685" s="6">
        <f>IFERROR(__xludf.DUMMYFUNCTION("""COMPUTED_VALUE"""),"Application")</f>
        <v/>
      </c>
      <c r="C685" s="6">
        <f>IFERROR(__xludf.DUMMYFUNCTION("""COMPUTED_VALUE"""),"Table Tool")</f>
        <v/>
      </c>
      <c r="D685" s="7">
        <f>IFERROR(__xludf.DUMMYFUNCTION("""COMPUTED_VALUE"""),"No task description")</f>
        <v/>
      </c>
      <c r="E68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85" s="7" t="inlineStr">
        <is>
          <t>Students are given tasks and tools, including Golabz apps for data visualization and table creation, with some tasks lacking descriptions.</t>
        </is>
      </c>
      <c r="G685" s="8" t="inlineStr">
        <is>
          <t>0</t>
        </is>
      </c>
      <c r="H685" s="8" t="inlineStr">
        <is>
          <t>1</t>
        </is>
      </c>
      <c r="I685" s="8" t="inlineStr">
        <is>
          <t>1</t>
        </is>
      </c>
      <c r="J685" s="8" t="inlineStr">
        <is>
          <t>1</t>
        </is>
      </c>
      <c r="K685" s="9" t="inlineStr">
        <is>
          <t>0</t>
        </is>
      </c>
      <c r="L685" s="9" t="inlineStr">
        <is>
          <t>1</t>
        </is>
      </c>
      <c r="M685" s="9" t="inlineStr">
        <is>
          <t>1</t>
        </is>
      </c>
      <c r="N685" s="9" t="inlineStr">
        <is>
          <t>1</t>
        </is>
      </c>
      <c r="O685" s="10" t="inlineStr">
        <is>
          <t>0</t>
        </is>
      </c>
      <c r="P685" s="10" t="inlineStr">
        <is>
          <t>0</t>
        </is>
      </c>
      <c r="Q685" s="10" t="inlineStr">
        <is>
          <t>0</t>
        </is>
      </c>
      <c r="R685" s="10" t="inlineStr">
        <is>
          <t>0</t>
        </is>
      </c>
      <c r="S685" s="10" t="inlineStr">
        <is>
          <t>0</t>
        </is>
      </c>
    </row>
    <row r="686" ht="217" customHeight="1">
      <c r="A686" s="6">
        <f>IFERROR(__xludf.DUMMYFUNCTION("""COMPUTED_VALUE"""),"UV light: friend or foe?")</f>
        <v/>
      </c>
      <c r="B686" s="6">
        <f>IFERROR(__xludf.DUMMYFUNCTION("""COMPUTED_VALUE"""),"Resource")</f>
        <v/>
      </c>
      <c r="C686" s="6">
        <f>IFERROR(__xludf.DUMMYFUNCTION("""COMPUTED_VALUE"""),"1.graasp")</f>
        <v/>
      </c>
      <c r="D686" s="7">
        <f>IFERROR(__xludf.DUMMYFUNCTION("""COMPUTED_VALUE"""),"&lt;p&gt;Are your ideias the same as before? If you compare both tables, does anything change or were your hypothesis correct to begin with?&lt;/p&gt;&lt;p&gt;&lt;br&gt;&lt;/p&gt;&lt;p&gt;Write down all your conclusions from the experiments, with valid arguments based on your results.&lt;/p&gt;")</f>
        <v/>
      </c>
      <c r="E686" s="7">
        <f>IFERROR(__xludf.DUMMYFUNCTION("""COMPUTED_VALUE"""),"No artifact embedded")</f>
        <v/>
      </c>
      <c r="F686" s="7" t="inlineStr">
        <is>
          <t>Students write lists of UV protection methods and draw conclusions from experiment results. Embedded artifacts include a table tool in the Golabz app/lab.</t>
        </is>
      </c>
      <c r="G686" s="8" t="inlineStr">
        <is>
          <t>0</t>
        </is>
      </c>
      <c r="H686" s="8" t="inlineStr">
        <is>
          <t>0</t>
        </is>
      </c>
      <c r="I686" s="8" t="inlineStr">
        <is>
          <t>1</t>
        </is>
      </c>
      <c r="J686" s="8" t="inlineStr">
        <is>
          <t>0</t>
        </is>
      </c>
      <c r="K686" s="9" t="inlineStr">
        <is>
          <t>1</t>
        </is>
      </c>
      <c r="L686" s="9" t="inlineStr">
        <is>
          <t>1</t>
        </is>
      </c>
      <c r="M686" s="9" t="inlineStr">
        <is>
          <t>0</t>
        </is>
      </c>
      <c r="N686" s="9" t="inlineStr">
        <is>
          <t>0</t>
        </is>
      </c>
      <c r="O686" s="10" t="inlineStr">
        <is>
          <t>0</t>
        </is>
      </c>
      <c r="P686" s="10" t="inlineStr">
        <is>
          <t>1</t>
        </is>
      </c>
      <c r="Q686" s="10" t="inlineStr">
        <is>
          <t>1</t>
        </is>
      </c>
      <c r="R686" s="10" t="inlineStr">
        <is>
          <t>1</t>
        </is>
      </c>
      <c r="S686" s="10" t="inlineStr">
        <is>
          <t>1</t>
        </is>
      </c>
    </row>
    <row r="687" ht="329" customHeight="1">
      <c r="A687" s="6">
        <f>IFERROR(__xludf.DUMMYFUNCTION("""COMPUTED_VALUE"""),"UV light: friend or foe?")</f>
        <v/>
      </c>
      <c r="B687" s="6">
        <f>IFERROR(__xludf.DUMMYFUNCTION("""COMPUTED_VALUE"""),"Application")</f>
        <v/>
      </c>
      <c r="C687" s="6">
        <f>IFERROR(__xludf.DUMMYFUNCTION("""COMPUTED_VALUE"""),"Input Box")</f>
        <v/>
      </c>
      <c r="D687" s="7">
        <f>IFERROR(__xludf.DUMMYFUNCTION("""COMPUTED_VALUE"""),"No task description")</f>
        <v/>
      </c>
      <c r="E68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87" s="7" t="inlineStr">
        <is>
          <t>Students are given tasks with specific apps/tools, such as Table tool and Input box, with instructions on usage and collaboration modes.</t>
        </is>
      </c>
      <c r="G687" s="8" t="inlineStr">
        <is>
          <t>0</t>
        </is>
      </c>
      <c r="H687" s="8" t="inlineStr">
        <is>
          <t>1</t>
        </is>
      </c>
      <c r="I687" s="8" t="inlineStr">
        <is>
          <t>1</t>
        </is>
      </c>
      <c r="J687" s="8" t="inlineStr">
        <is>
          <t>1</t>
        </is>
      </c>
      <c r="K687" s="9" t="inlineStr">
        <is>
          <t>1</t>
        </is>
      </c>
      <c r="L687" s="9" t="inlineStr">
        <is>
          <t>1</t>
        </is>
      </c>
      <c r="M687" s="9" t="inlineStr">
        <is>
          <t>1</t>
        </is>
      </c>
      <c r="N687" s="9" t="inlineStr">
        <is>
          <t>1</t>
        </is>
      </c>
      <c r="O687" s="10" t="inlineStr">
        <is>
          <t>0</t>
        </is>
      </c>
      <c r="P687" s="10" t="inlineStr">
        <is>
          <t>0</t>
        </is>
      </c>
      <c r="Q687" s="10" t="inlineStr">
        <is>
          <t>0</t>
        </is>
      </c>
      <c r="R687" s="10" t="inlineStr">
        <is>
          <t>0</t>
        </is>
      </c>
      <c r="S687" s="10" t="inlineStr">
        <is>
          <t>1</t>
        </is>
      </c>
    </row>
    <row r="688" ht="25" customHeight="1">
      <c r="A688" s="6">
        <f>IFERROR(__xludf.DUMMYFUNCTION("""COMPUTED_VALUE"""),"UV light: friend or foe?")</f>
        <v/>
      </c>
      <c r="B688" s="6">
        <f>IFERROR(__xludf.DUMMYFUNCTION("""COMPUTED_VALUE"""),"Space")</f>
        <v/>
      </c>
      <c r="C688" s="6">
        <f>IFERROR(__xludf.DUMMYFUNCTION("""COMPUTED_VALUE"""),"Discussion")</f>
        <v/>
      </c>
      <c r="D688" s="7">
        <f>IFERROR(__xludf.DUMMYFUNCTION("""COMPUTED_VALUE"""),"No task description")</f>
        <v/>
      </c>
      <c r="E688" s="7">
        <f>IFERROR(__xludf.DUMMYFUNCTION("""COMPUTED_VALUE"""),"No artifact embedded")</f>
        <v/>
      </c>
      <c r="F688" s="7" t="inlineStr">
        <is>
          <t>Students compare tables, draw conclusions, and write arguments based on results. Embedded artifacts include a note-taking app with optional collaboration mode.</t>
        </is>
      </c>
      <c r="G688" s="8" t="inlineStr">
        <is>
          <t>1</t>
        </is>
      </c>
      <c r="H688" s="8" t="inlineStr">
        <is>
          <t>0</t>
        </is>
      </c>
      <c r="I688" s="8" t="inlineStr">
        <is>
          <t>0</t>
        </is>
      </c>
      <c r="J688" s="8" t="inlineStr">
        <is>
          <t>0</t>
        </is>
      </c>
      <c r="K688" s="9" t="inlineStr">
        <is>
          <t>0</t>
        </is>
      </c>
      <c r="L688" s="9" t="inlineStr">
        <is>
          <t>0</t>
        </is>
      </c>
      <c r="M688" s="9" t="inlineStr">
        <is>
          <t>0</t>
        </is>
      </c>
      <c r="N688" s="9" t="inlineStr">
        <is>
          <t>0</t>
        </is>
      </c>
      <c r="O688" s="10" t="inlineStr">
        <is>
          <t>0</t>
        </is>
      </c>
      <c r="P688" s="10" t="inlineStr">
        <is>
          <t>0</t>
        </is>
      </c>
      <c r="Q688" s="10" t="inlineStr">
        <is>
          <t>0</t>
        </is>
      </c>
      <c r="R688" s="10" t="inlineStr">
        <is>
          <t>0</t>
        </is>
      </c>
      <c r="S688" s="10" t="inlineStr">
        <is>
          <t>0</t>
        </is>
      </c>
    </row>
    <row r="689" ht="362" customHeight="1">
      <c r="A689" s="6">
        <f>IFERROR(__xludf.DUMMYFUNCTION("""COMPUTED_VALUE"""),"UV light: friend or foe?")</f>
        <v/>
      </c>
      <c r="B689" s="6">
        <f>IFERROR(__xludf.DUMMYFUNCTION("""COMPUTED_VALUE"""),"Resource")</f>
        <v/>
      </c>
      <c r="C689" s="6">
        <f>IFERROR(__xludf.DUMMYFUNCTION("""COMPUTED_VALUE"""),"2.graasp")</f>
        <v/>
      </c>
      <c r="D689" s="7">
        <f>IFERROR(__xludf.DUMMYFUNCTION("""COMPUTED_VALUE"""),"&lt;p&gt;Great work dear scientist!&lt;/p&gt;&lt;p&gt;&lt;br&gt;&lt;/p&gt;&lt;p&gt;Now, here is a challenge for you and for your colleagues:&lt;/p&gt;&lt;p&gt;&lt;br&gt;&lt;/p&gt;&lt;p&gt;In this activity you have learned about the benefits and the dangers of UV rays, you have evaluated the level of awareness of your co"&amp;"mmunity, you have learned about the different UV levels throughout the day and in other places of the world and you have learned about the effective ways of protecting the skin against UV damage.&lt;/p&gt;")</f>
        <v/>
      </c>
      <c r="E689" s="7">
        <f>IFERROR(__xludf.DUMMYFUNCTION("""COMPUTED_VALUE"""),"No artifact embedded")</f>
        <v/>
      </c>
      <c r="F689" s="7" t="inlineStr">
        <is>
          <t>Students received tasks with no descriptions, except Item3. Embedded artifacts include Golabz app/lab for note-taking and collaboration (Item1) and none in Items 2 and 3.</t>
        </is>
      </c>
      <c r="G689" s="8" t="inlineStr">
        <is>
          <t>0</t>
        </is>
      </c>
      <c r="H689" s="8" t="inlineStr">
        <is>
          <t>0</t>
        </is>
      </c>
      <c r="I689" s="8" t="inlineStr">
        <is>
          <t>0</t>
        </is>
      </c>
      <c r="J689" s="8" t="inlineStr">
        <is>
          <t>0</t>
        </is>
      </c>
      <c r="K689" s="9" t="inlineStr">
        <is>
          <t>0</t>
        </is>
      </c>
      <c r="L689" s="9" t="inlineStr">
        <is>
          <t>0</t>
        </is>
      </c>
      <c r="M689" s="9" t="inlineStr">
        <is>
          <t>1</t>
        </is>
      </c>
      <c r="N689" s="9" t="inlineStr">
        <is>
          <t>1</t>
        </is>
      </c>
      <c r="O689" s="10" t="inlineStr">
        <is>
          <t>0</t>
        </is>
      </c>
      <c r="P689" s="10" t="inlineStr">
        <is>
          <t>0</t>
        </is>
      </c>
      <c r="Q689" s="10" t="inlineStr">
        <is>
          <t>0</t>
        </is>
      </c>
      <c r="R689" s="10" t="inlineStr">
        <is>
          <t>0</t>
        </is>
      </c>
      <c r="S689" s="10" t="inlineStr">
        <is>
          <t>1</t>
        </is>
      </c>
    </row>
    <row r="690" ht="121" customHeight="1">
      <c r="A690" s="6">
        <f>IFERROR(__xludf.DUMMYFUNCTION("""COMPUTED_VALUE"""),"UV light: friend or foe?")</f>
        <v/>
      </c>
      <c r="B690" s="6">
        <f>IFERROR(__xludf.DUMMYFUNCTION("""COMPUTED_VALUE"""),"Resource")</f>
        <v/>
      </c>
      <c r="C690" s="6">
        <f>IFERROR(__xludf.DUMMYFUNCTION("""COMPUTED_VALUE"""),"hands-2847508_640.jpg")</f>
        <v/>
      </c>
      <c r="D690" s="7">
        <f>IFERROR(__xludf.DUMMYFUNCTION("""COMPUTED_VALUE"""),"No task description")</f>
        <v/>
      </c>
      <c r="E690" s="7">
        <f>IFERROR(__xludf.DUMMYFUNCTION("""COMPUTED_VALUE"""),"image/jpeg – A digital photograph or web image stored in a compressed format, often used for photography and web graphics.")</f>
        <v/>
      </c>
      <c r="F690" s="7" t="inlineStr">
        <is>
          <t>Students received tasks on UV rays, with one item having a detailed description and no artifacts, while another had an embedded JPEG image.</t>
        </is>
      </c>
      <c r="G690" s="8" t="inlineStr">
        <is>
          <t>1</t>
        </is>
      </c>
      <c r="H690" s="8" t="inlineStr">
        <is>
          <t>0</t>
        </is>
      </c>
      <c r="I690" s="8" t="inlineStr">
        <is>
          <t>0</t>
        </is>
      </c>
      <c r="J690" s="8" t="inlineStr">
        <is>
          <t>0</t>
        </is>
      </c>
      <c r="K690" s="9" t="inlineStr">
        <is>
          <t>0</t>
        </is>
      </c>
      <c r="L690" s="9" t="inlineStr">
        <is>
          <t>0</t>
        </is>
      </c>
      <c r="M690" s="9" t="inlineStr">
        <is>
          <t>0</t>
        </is>
      </c>
      <c r="N690" s="9" t="inlineStr">
        <is>
          <t>0</t>
        </is>
      </c>
      <c r="O690" s="10" t="inlineStr">
        <is>
          <t>0</t>
        </is>
      </c>
      <c r="P690" s="10" t="inlineStr">
        <is>
          <t>0</t>
        </is>
      </c>
      <c r="Q690" s="10" t="inlineStr">
        <is>
          <t>0</t>
        </is>
      </c>
      <c r="R690" s="10" t="inlineStr">
        <is>
          <t>0</t>
        </is>
      </c>
      <c r="S690" s="10" t="inlineStr">
        <is>
          <t>0</t>
        </is>
      </c>
    </row>
    <row r="691" ht="362" customHeight="1">
      <c r="A691" s="6">
        <f>IFERROR(__xludf.DUMMYFUNCTION("""COMPUTED_VALUE"""),"UV light: friend or foe?")</f>
        <v/>
      </c>
      <c r="B691" s="6">
        <f>IFERROR(__xludf.DUMMYFUNCTION("""COMPUTED_VALUE"""),"Resource")</f>
        <v/>
      </c>
      <c r="C691" s="6">
        <f>IFERROR(__xludf.DUMMYFUNCTION("""COMPUTED_VALUE"""),"1.graasp")</f>
        <v/>
      </c>
      <c r="D691" s="7">
        <f>IFERROR(__xludf.DUMMYFUNCTION("""COMPUTED_VALUE"""),"&lt;p&gt;So now, collaborate with your colleagues, and if possible, with students from other places of the world (through the globallab project) to create an awareness campaign and disseminate it to your family and community. This can be:&lt;/p&gt;&lt;p&gt;An exhibition&lt;br"&amp;"&gt;A school fair&lt;br&gt;A theater&lt;br&gt;A leaflet&lt;br&gt;A book&lt;br&gt;Etc.&lt;br&gt;Discuss with your colleagues and teachers about what is the best strategy for your community and put your hands into action!&lt;/p&gt;")</f>
        <v/>
      </c>
      <c r="E691" s="7">
        <f>IFERROR(__xludf.DUMMYFUNCTION("""COMPUTED_VALUE"""),"No artifact embedded")</f>
        <v/>
      </c>
      <c r="F691" s="7" t="inlineStr">
        <is>
          <t>Students learn about UV rays, evaluate community awareness, and create an awareness campaign. Embedded artifacts include a digital photograph/image.</t>
        </is>
      </c>
      <c r="G691" s="8" t="inlineStr">
        <is>
          <t>0</t>
        </is>
      </c>
      <c r="H691" s="8" t="inlineStr">
        <is>
          <t>1</t>
        </is>
      </c>
      <c r="I691" s="8" t="inlineStr">
        <is>
          <t>1</t>
        </is>
      </c>
      <c r="J691" s="8" t="inlineStr">
        <is>
          <t>1</t>
        </is>
      </c>
      <c r="K691" s="9" t="inlineStr">
        <is>
          <t>0</t>
        </is>
      </c>
      <c r="L691" s="9" t="inlineStr">
        <is>
          <t>0</t>
        </is>
      </c>
      <c r="M691" s="9" t="inlineStr">
        <is>
          <t>1</t>
        </is>
      </c>
      <c r="N691" s="9" t="inlineStr">
        <is>
          <t>1</t>
        </is>
      </c>
      <c r="O691" s="10" t="inlineStr">
        <is>
          <t>0</t>
        </is>
      </c>
      <c r="P691" s="10" t="inlineStr">
        <is>
          <t>0</t>
        </is>
      </c>
      <c r="Q691" s="10" t="inlineStr">
        <is>
          <t>0</t>
        </is>
      </c>
      <c r="R691" s="10" t="inlineStr">
        <is>
          <t>0</t>
        </is>
      </c>
      <c r="S691" s="10" t="inlineStr">
        <is>
          <t>1</t>
        </is>
      </c>
    </row>
    <row r="692" ht="409.5" customHeight="1">
      <c r="A692" s="6">
        <f>IFERROR(__xludf.DUMMYFUNCTION("""COMPUTED_VALUE"""),"Why I don't prefer vinegar on my fries")</f>
        <v/>
      </c>
      <c r="B692" s="6">
        <f>IFERROR(__xludf.DUMMYFUNCTION("""COMPUTED_VALUE"""),"Space")</f>
        <v/>
      </c>
      <c r="C692" s="6">
        <f>IFERROR(__xludf.DUMMYFUNCTION("""COMPUTED_VALUE"""),"Orientation")</f>
        <v/>
      </c>
      <c r="D692" s="7">
        <f>IFERROR(__xludf.DUMMYFUNCTION("""COMPUTED_VALUE"""),"&lt;p&gt;Take a look at the photograph of the statue, which is a part of the Parthenon of the Acropolis of Athens and consider the following question &lt;/p&gt;&lt;p&gt;""How do you think the statue came to be like this?"" &lt;/p&gt;&lt;p&gt;and then as you investigate this question c"&amp;"onsider another for our discussion later.&lt;/p&gt;&lt;p&gt; ""Earth is a system of systems which influences and is influenced by life on the planet"".&lt;/p&gt;&lt;p&gt;&lt;br&gt;&lt;/p&gt;&lt;p&gt;Put the thoughts about the first question from your team into the space below, and say why.&lt;/p&gt;")</f>
        <v/>
      </c>
      <c r="E692" s="7">
        <f>IFERROR(__xludf.DUMMYFUNCTION("""COMPUTED_VALUE"""),"No artifact embedded")</f>
        <v/>
      </c>
      <c r="F692" s="7" t="inlineStr">
        <is>
          <t>Students are given tasks: no description (Item1), create awareness campaign (Item2), and analyze a statue photograph (Item3). Embedded artifacts include a JPEG image (Item1) and none in Items 2-3.</t>
        </is>
      </c>
      <c r="G692" s="8" t="inlineStr">
        <is>
          <t>0</t>
        </is>
      </c>
      <c r="H692" s="8" t="inlineStr">
        <is>
          <t>0</t>
        </is>
      </c>
      <c r="I692" s="8" t="inlineStr">
        <is>
          <t>1</t>
        </is>
      </c>
      <c r="J692" s="8" t="inlineStr">
        <is>
          <t>0</t>
        </is>
      </c>
      <c r="K692" s="9" t="inlineStr">
        <is>
          <t>0</t>
        </is>
      </c>
      <c r="L692" s="9" t="inlineStr">
        <is>
          <t>0</t>
        </is>
      </c>
      <c r="M692" s="9" t="inlineStr">
        <is>
          <t>1</t>
        </is>
      </c>
      <c r="N692" s="9" t="inlineStr">
        <is>
          <t>1</t>
        </is>
      </c>
      <c r="O692" s="10" t="inlineStr">
        <is>
          <t>1</t>
        </is>
      </c>
      <c r="P692" s="10" t="inlineStr">
        <is>
          <t>1</t>
        </is>
      </c>
      <c r="Q692" s="10" t="inlineStr">
        <is>
          <t>1</t>
        </is>
      </c>
      <c r="R692" s="10" t="inlineStr">
        <is>
          <t>0</t>
        </is>
      </c>
      <c r="S692" s="10" t="inlineStr">
        <is>
          <t>1</t>
        </is>
      </c>
    </row>
    <row r="693" ht="121" customHeight="1">
      <c r="A693" s="6">
        <f>IFERROR(__xludf.DUMMYFUNCTION("""COMPUTED_VALUE"""),"Why I don't prefer vinegar on my fries")</f>
        <v/>
      </c>
      <c r="B693" s="6">
        <f>IFERROR(__xludf.DUMMYFUNCTION("""COMPUTED_VALUE"""),"Resource")</f>
        <v/>
      </c>
      <c r="C693" s="6">
        <f>IFERROR(__xludf.DUMMYFUNCTION("""COMPUTED_VALUE"""),"effect of acid rain on monuments.jpg")</f>
        <v/>
      </c>
      <c r="D693" s="7">
        <f>IFERROR(__xludf.DUMMYFUNCTION("""COMPUTED_VALUE"""),"No task description")</f>
        <v/>
      </c>
      <c r="E693" s="7">
        <f>IFERROR(__xludf.DUMMYFUNCTION("""COMPUTED_VALUE"""),"image/jpeg – A digital photograph or web image stored in a compressed format, often used for photography and web graphics.")</f>
        <v/>
      </c>
      <c r="F693" s="7" t="inlineStr">
        <is>
          <t>Students collaborate on awareness campaigns and discuss strategies. Items 1 and 2 have no embedded artifacts, while Item 3 has a JPEG image.</t>
        </is>
      </c>
      <c r="G693" s="8" t="inlineStr">
        <is>
          <t>1</t>
        </is>
      </c>
      <c r="H693" s="8" t="inlineStr">
        <is>
          <t>0</t>
        </is>
      </c>
      <c r="I693" s="8" t="inlineStr">
        <is>
          <t>0</t>
        </is>
      </c>
      <c r="J693" s="8" t="inlineStr">
        <is>
          <t>0</t>
        </is>
      </c>
      <c r="K693" s="9" t="inlineStr">
        <is>
          <t>0</t>
        </is>
      </c>
      <c r="L693" s="9" t="inlineStr">
        <is>
          <t>0</t>
        </is>
      </c>
      <c r="M693" s="9" t="inlineStr">
        <is>
          <t>0</t>
        </is>
      </c>
      <c r="N693" s="9" t="inlineStr">
        <is>
          <t>0</t>
        </is>
      </c>
      <c r="O693" s="10" t="inlineStr">
        <is>
          <t>0</t>
        </is>
      </c>
      <c r="P693" s="10" t="inlineStr">
        <is>
          <t>0</t>
        </is>
      </c>
      <c r="Q693" s="10" t="inlineStr">
        <is>
          <t>0</t>
        </is>
      </c>
      <c r="R693" s="10" t="inlineStr">
        <is>
          <t>0</t>
        </is>
      </c>
      <c r="S693" s="10" t="inlineStr">
        <is>
          <t>0</t>
        </is>
      </c>
    </row>
    <row r="694" ht="193" customHeight="1">
      <c r="A694" s="6">
        <f>IFERROR(__xludf.DUMMYFUNCTION("""COMPUTED_VALUE"""),"Why I don't prefer vinegar on my fries")</f>
        <v/>
      </c>
      <c r="B694" s="6">
        <f>IFERROR(__xludf.DUMMYFUNCTION("""COMPUTED_VALUE"""),"Application")</f>
        <v/>
      </c>
      <c r="C694" s="6">
        <f>IFERROR(__xludf.DUMMYFUNCTION("""COMPUTED_VALUE"""),"Shared Wiki")</f>
        <v/>
      </c>
      <c r="D694" s="7">
        <f>IFERROR(__xludf.DUMMYFUNCTION("""COMPUTED_VALUE"""),"No task description")</f>
        <v/>
      </c>
      <c r="E694"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94" s="7" t="inlineStr">
        <is>
          <t>Students consider a statue's deterioration, then discuss Earth as a system. Embedded artifacts include a JPEG image and a collaborative wiki app.</t>
        </is>
      </c>
      <c r="G694" s="8" t="inlineStr">
        <is>
          <t>0</t>
        </is>
      </c>
      <c r="H694" s="8" t="inlineStr">
        <is>
          <t>1</t>
        </is>
      </c>
      <c r="I694" s="8" t="inlineStr">
        <is>
          <t>1</t>
        </is>
      </c>
      <c r="J694" s="8" t="inlineStr">
        <is>
          <t>1</t>
        </is>
      </c>
      <c r="K694" s="9" t="inlineStr">
        <is>
          <t>0</t>
        </is>
      </c>
      <c r="L694" s="9" t="inlineStr">
        <is>
          <t>0</t>
        </is>
      </c>
      <c r="M694" s="9" t="inlineStr">
        <is>
          <t>1</t>
        </is>
      </c>
      <c r="N694" s="9" t="inlineStr">
        <is>
          <t>1</t>
        </is>
      </c>
      <c r="O694" s="10" t="inlineStr">
        <is>
          <t>0</t>
        </is>
      </c>
      <c r="P694" s="10" t="inlineStr">
        <is>
          <t>0</t>
        </is>
      </c>
      <c r="Q694" s="10" t="inlineStr">
        <is>
          <t>0</t>
        </is>
      </c>
      <c r="R694" s="10" t="inlineStr">
        <is>
          <t>0</t>
        </is>
      </c>
      <c r="S694" s="10" t="inlineStr">
        <is>
          <t>1</t>
        </is>
      </c>
    </row>
    <row r="695" ht="193" customHeight="1">
      <c r="A695" s="6">
        <f>IFERROR(__xludf.DUMMYFUNCTION("""COMPUTED_VALUE"""),"Why I don't prefer vinegar on my fries")</f>
        <v/>
      </c>
      <c r="B695" s="6">
        <f>IFERROR(__xludf.DUMMYFUNCTION("""COMPUTED_VALUE"""),"Space")</f>
        <v/>
      </c>
      <c r="C695" s="6">
        <f>IFERROR(__xludf.DUMMYFUNCTION("""COMPUTED_VALUE"""),"Conceptualisation")</f>
        <v/>
      </c>
      <c r="D695" s="7">
        <f>IFERROR(__xludf.DUMMYFUNCTION("""COMPUTED_VALUE"""),"&lt;p&gt;Take a look at the video and explore the interactive picture before you and your team use the hypothesis scratchpad to develop an hypothesis ""educated guess"" as to why the statue changed. &lt;/p&gt;&lt;p&gt;&lt;br&gt;&lt;/p&gt;")</f>
        <v/>
      </c>
      <c r="E695" s="7">
        <f>IFERROR(__xludf.DUMMYFUNCTION("""COMPUTED_VALUE"""),"No artifact embedded")</f>
        <v/>
      </c>
      <c r="F695" s="7" t="inlineStr">
        <is>
          <t>Students received tasks with embedded artifacts, including images and collaborative wiki apps, to complete activities such as developing hypotheses.</t>
        </is>
      </c>
      <c r="G695" s="8" t="inlineStr">
        <is>
          <t>0</t>
        </is>
      </c>
      <c r="H695" s="8" t="inlineStr">
        <is>
          <t>1</t>
        </is>
      </c>
      <c r="I695" s="8" t="inlineStr">
        <is>
          <t>1</t>
        </is>
      </c>
      <c r="J695" s="8" t="inlineStr">
        <is>
          <t>1</t>
        </is>
      </c>
      <c r="K695" s="9" t="inlineStr">
        <is>
          <t>0</t>
        </is>
      </c>
      <c r="L695" s="9" t="inlineStr">
        <is>
          <t>0</t>
        </is>
      </c>
      <c r="M695" s="9" t="inlineStr">
        <is>
          <t>1</t>
        </is>
      </c>
      <c r="N695" s="9" t="inlineStr">
        <is>
          <t>1</t>
        </is>
      </c>
      <c r="O695" s="10" t="inlineStr">
        <is>
          <t>1</t>
        </is>
      </c>
      <c r="P695" s="10" t="inlineStr">
        <is>
          <t>1</t>
        </is>
      </c>
      <c r="Q695" s="10" t="inlineStr">
        <is>
          <t>1</t>
        </is>
      </c>
      <c r="R695" s="10" t="inlineStr">
        <is>
          <t>0</t>
        </is>
      </c>
      <c r="S695" s="10" t="inlineStr">
        <is>
          <t>0</t>
        </is>
      </c>
    </row>
    <row r="696" ht="121" customHeight="1">
      <c r="A696" s="6">
        <f>IFERROR(__xludf.DUMMYFUNCTION("""COMPUTED_VALUE"""),"Why I don't prefer vinegar on my fries")</f>
        <v/>
      </c>
      <c r="B696" s="6">
        <f>IFERROR(__xludf.DUMMYFUNCTION("""COMPUTED_VALUE"""),"Resource")</f>
        <v/>
      </c>
      <c r="C696" s="6">
        <f>IFERROR(__xludf.DUMMYFUNCTION("""COMPUTED_VALUE"""),"acid rain effects on buildings")</f>
        <v/>
      </c>
      <c r="D696" s="7">
        <f>IFERROR(__xludf.DUMMYFUNCTION("""COMPUTED_VALUE"""),"No task description")</f>
        <v/>
      </c>
      <c r="E696" s="7">
        <f>IFERROR(__xludf.DUMMYFUNCTION("""COMPUTED_VALUE"""),"youtube.com: A widely known video-sharing platform where users can watch videos on a vast array of topics, including educational content.")</f>
        <v/>
      </c>
      <c r="F696" s="7" t="inlineStr">
        <is>
          <t>Students were given tasks and tools like Golabz app and YouTube to collaborate and develop hypotheses.</t>
        </is>
      </c>
      <c r="G696" s="8" t="inlineStr">
        <is>
          <t>1</t>
        </is>
      </c>
      <c r="H696" s="8" t="inlineStr">
        <is>
          <t>0</t>
        </is>
      </c>
      <c r="I696" s="8" t="inlineStr">
        <is>
          <t>0</t>
        </is>
      </c>
      <c r="J696" s="8" t="inlineStr">
        <is>
          <t>0</t>
        </is>
      </c>
      <c r="K696" s="9" t="inlineStr">
        <is>
          <t>0</t>
        </is>
      </c>
      <c r="L696" s="9" t="inlineStr">
        <is>
          <t>0</t>
        </is>
      </c>
      <c r="M696" s="9" t="inlineStr">
        <is>
          <t>0</t>
        </is>
      </c>
      <c r="N696" s="9" t="inlineStr">
        <is>
          <t>0</t>
        </is>
      </c>
      <c r="O696" s="10" t="inlineStr">
        <is>
          <t>0</t>
        </is>
      </c>
      <c r="P696" s="10" t="inlineStr">
        <is>
          <t>0</t>
        </is>
      </c>
      <c r="Q696" s="10" t="inlineStr">
        <is>
          <t>0</t>
        </is>
      </c>
      <c r="R696" s="10" t="inlineStr">
        <is>
          <t>0</t>
        </is>
      </c>
      <c r="S696" s="10" t="inlineStr">
        <is>
          <t>0</t>
        </is>
      </c>
    </row>
    <row r="697" ht="85" customHeight="1">
      <c r="A697" s="6">
        <f>IFERROR(__xludf.DUMMYFUNCTION("""COMPUTED_VALUE"""),"Why I don't prefer vinegar on my fries")</f>
        <v/>
      </c>
      <c r="B697" s="6">
        <f>IFERROR(__xludf.DUMMYFUNCTION("""COMPUTED_VALUE"""),"Resource")</f>
        <v/>
      </c>
      <c r="C697" s="6">
        <f>IFERROR(__xludf.DUMMYFUNCTION("""COMPUTED_VALUE"""),"pH Scale")</f>
        <v/>
      </c>
      <c r="D697" s="7">
        <f>IFERROR(__xludf.DUMMYFUNCTION("""COMPUTED_VALUE"""),"View the interactive image by Mark Rocha.")</f>
        <v/>
      </c>
      <c r="E697" s="7">
        <f>IFERROR(__xludf.DUMMYFUNCTION("""COMPUTED_VALUE"""),"thinglink.com: Allows users to create interactive images and videos by adding links and annotations.")</f>
        <v/>
      </c>
      <c r="F697" s="7" t="inlineStr">
        <is>
          <t>Students develop hypotheses using video, interactive picture, and scratchpad. Embedded artifacts include YouTube and Thinglink.</t>
        </is>
      </c>
      <c r="G697" s="8" t="inlineStr">
        <is>
          <t>1</t>
        </is>
      </c>
      <c r="H697" s="8" t="inlineStr">
        <is>
          <t>0</t>
        </is>
      </c>
      <c r="I697" s="8" t="inlineStr">
        <is>
          <t>0</t>
        </is>
      </c>
      <c r="J697" s="8" t="inlineStr">
        <is>
          <t>1</t>
        </is>
      </c>
      <c r="K697" s="9" t="inlineStr">
        <is>
          <t>1</t>
        </is>
      </c>
      <c r="L697" s="9" t="inlineStr">
        <is>
          <t>0</t>
        </is>
      </c>
      <c r="M697" s="9" t="inlineStr">
        <is>
          <t>0</t>
        </is>
      </c>
      <c r="N697" s="9" t="inlineStr">
        <is>
          <t>0</t>
        </is>
      </c>
      <c r="O697" s="10" t="inlineStr">
        <is>
          <t>0</t>
        </is>
      </c>
      <c r="P697" s="10" t="inlineStr">
        <is>
          <t>0</t>
        </is>
      </c>
      <c r="Q697" s="10" t="inlineStr">
        <is>
          <t>0</t>
        </is>
      </c>
      <c r="R697" s="10" t="inlineStr">
        <is>
          <t>0</t>
        </is>
      </c>
      <c r="S697" s="10" t="inlineStr">
        <is>
          <t>0</t>
        </is>
      </c>
    </row>
    <row r="698" ht="409.5" customHeight="1">
      <c r="A698" s="6">
        <f>IFERROR(__xludf.DUMMYFUNCTION("""COMPUTED_VALUE"""),"Why I don't prefer vinegar on my fries")</f>
        <v/>
      </c>
      <c r="B698" s="6">
        <f>IFERROR(__xludf.DUMMYFUNCTION("""COMPUTED_VALUE"""),"Application")</f>
        <v/>
      </c>
      <c r="C698" s="6">
        <f>IFERROR(__xludf.DUMMYFUNCTION("""COMPUTED_VALUE"""),"Hypothesis Scratchpad")</f>
        <v/>
      </c>
      <c r="D698" s="7">
        <f>IFERROR(__xludf.DUMMYFUNCTION("""COMPUTED_VALUE"""),"No task description")</f>
        <v/>
      </c>
      <c r="E69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98" s="7" t="inlineStr">
        <is>
          <t>Students were given tasks with interactive tools: YouTube, Thinglink, and Golabz app/lab, with varying levels of guidance.</t>
        </is>
      </c>
      <c r="G698" s="8" t="inlineStr">
        <is>
          <t>0</t>
        </is>
      </c>
      <c r="H698" s="8" t="inlineStr">
        <is>
          <t>1</t>
        </is>
      </c>
      <c r="I698" s="8" t="inlineStr">
        <is>
          <t>1</t>
        </is>
      </c>
      <c r="J698" s="8" t="inlineStr">
        <is>
          <t>1</t>
        </is>
      </c>
      <c r="K698" s="9" t="inlineStr">
        <is>
          <t>1</t>
        </is>
      </c>
      <c r="L698" s="9" t="inlineStr">
        <is>
          <t>1</t>
        </is>
      </c>
      <c r="M698" s="9" t="inlineStr">
        <is>
          <t>1</t>
        </is>
      </c>
      <c r="N698" s="9" t="inlineStr">
        <is>
          <t>1</t>
        </is>
      </c>
      <c r="O698" s="10" t="inlineStr">
        <is>
          <t>0</t>
        </is>
      </c>
      <c r="P698" s="10" t="inlineStr">
        <is>
          <t>1</t>
        </is>
      </c>
      <c r="Q698" s="10" t="inlineStr">
        <is>
          <t>1</t>
        </is>
      </c>
      <c r="R698" s="10" t="inlineStr">
        <is>
          <t>0</t>
        </is>
      </c>
      <c r="S698" s="10" t="inlineStr">
        <is>
          <t>0</t>
        </is>
      </c>
    </row>
    <row r="699" ht="73" customHeight="1">
      <c r="A699" s="6">
        <f>IFERROR(__xludf.DUMMYFUNCTION("""COMPUTED_VALUE"""),"Why I don't prefer vinegar on my fries")</f>
        <v/>
      </c>
      <c r="B699" s="6">
        <f>IFERROR(__xludf.DUMMYFUNCTION("""COMPUTED_VALUE"""),"Space")</f>
        <v/>
      </c>
      <c r="C699" s="6">
        <f>IFERROR(__xludf.DUMMYFUNCTION("""COMPUTED_VALUE"""),"Investigation")</f>
        <v/>
      </c>
      <c r="D699" s="7">
        <f>IFERROR(__xludf.DUMMYFUNCTION("""COMPUTED_VALUE"""),"&lt;p&gt;Acids and Bases can be dangerous so look over the video below . &lt;/p&gt;")</f>
        <v/>
      </c>
      <c r="E699" s="7">
        <f>IFERROR(__xludf.DUMMYFUNCTION("""COMPUTED_VALUE"""),"No artifact embedded")</f>
        <v/>
      </c>
      <c r="F699" s="7" t="inlineStr">
        <is>
          <t>Students are given tasks with interactive images, videos, and apps to create hypotheses and explore concepts like acids and bases, using tools like Thinglink and Golabz.</t>
        </is>
      </c>
      <c r="G699" s="8" t="inlineStr">
        <is>
          <t>1</t>
        </is>
      </c>
      <c r="H699" s="8" t="inlineStr">
        <is>
          <t>0</t>
        </is>
      </c>
      <c r="I699" s="8" t="inlineStr">
        <is>
          <t>0</t>
        </is>
      </c>
      <c r="J699" s="8" t="inlineStr">
        <is>
          <t>0</t>
        </is>
      </c>
      <c r="K699" s="9" t="inlineStr">
        <is>
          <t>1</t>
        </is>
      </c>
      <c r="L699" s="9" t="inlineStr">
        <is>
          <t>0</t>
        </is>
      </c>
      <c r="M699" s="9" t="inlineStr">
        <is>
          <t>0</t>
        </is>
      </c>
      <c r="N699" s="9" t="inlineStr">
        <is>
          <t>0</t>
        </is>
      </c>
      <c r="O699" s="10" t="inlineStr">
        <is>
          <t>0</t>
        </is>
      </c>
      <c r="P699" s="10" t="inlineStr">
        <is>
          <t>0</t>
        </is>
      </c>
      <c r="Q699" s="10" t="inlineStr">
        <is>
          <t>0</t>
        </is>
      </c>
      <c r="R699" s="10" t="inlineStr">
        <is>
          <t>0</t>
        </is>
      </c>
      <c r="S699" s="10" t="inlineStr">
        <is>
          <t>0</t>
        </is>
      </c>
    </row>
    <row r="700" ht="121" customHeight="1">
      <c r="A700" s="6">
        <f>IFERROR(__xludf.DUMMYFUNCTION("""COMPUTED_VALUE"""),"Why I don't prefer vinegar on my fries")</f>
        <v/>
      </c>
      <c r="B700" s="6">
        <f>IFERROR(__xludf.DUMMYFUNCTION("""COMPUTED_VALUE"""),"Resource")</f>
        <v/>
      </c>
      <c r="C700" s="6">
        <f>IFERROR(__xludf.DUMMYFUNCTION("""COMPUTED_VALUE"""),"Tim &amp; Moby Acids and Bases")</f>
        <v/>
      </c>
      <c r="D700" s="7">
        <f>IFERROR(__xludf.DUMMYFUNCTION("""COMPUTED_VALUE"""),"No task description")</f>
        <v/>
      </c>
      <c r="E700" s="7">
        <f>IFERROR(__xludf.DUMMYFUNCTION("""COMPUTED_VALUE"""),"youtube.com: A widely known video-sharing platform where users can watch videos on a vast array of topics, including educational content.")</f>
        <v/>
      </c>
      <c r="F700" s="7" t="inlineStr">
        <is>
          <t>Students received tasks and used tools like the Hypothesis Scratchpad and YouTube for learning.</t>
        </is>
      </c>
      <c r="G700" s="8" t="inlineStr">
        <is>
          <t>1</t>
        </is>
      </c>
      <c r="H700" s="8" t="inlineStr">
        <is>
          <t>0</t>
        </is>
      </c>
      <c r="I700" s="8" t="inlineStr">
        <is>
          <t>0</t>
        </is>
      </c>
      <c r="J700" s="8" t="inlineStr">
        <is>
          <t>0</t>
        </is>
      </c>
      <c r="K700" s="9" t="inlineStr">
        <is>
          <t>0</t>
        </is>
      </c>
      <c r="L700" s="9" t="inlineStr">
        <is>
          <t>0</t>
        </is>
      </c>
      <c r="M700" s="9" t="inlineStr">
        <is>
          <t>0</t>
        </is>
      </c>
      <c r="N700" s="9" t="inlineStr">
        <is>
          <t>0</t>
        </is>
      </c>
      <c r="O700" s="10" t="inlineStr">
        <is>
          <t>0</t>
        </is>
      </c>
      <c r="P700" s="10" t="inlineStr">
        <is>
          <t>0</t>
        </is>
      </c>
      <c r="Q700" s="10" t="inlineStr">
        <is>
          <t>0</t>
        </is>
      </c>
      <c r="R700" s="10" t="inlineStr">
        <is>
          <t>0</t>
        </is>
      </c>
      <c r="S700" s="10" t="inlineStr">
        <is>
          <t>0</t>
        </is>
      </c>
    </row>
    <row r="701" ht="37" customHeight="1">
      <c r="A701" s="6">
        <f>IFERROR(__xludf.DUMMYFUNCTION("""COMPUTED_VALUE"""),"Why I don't prefer vinegar on my fries")</f>
        <v/>
      </c>
      <c r="B701" s="6">
        <f>IFERROR(__xludf.DUMMYFUNCTION("""COMPUTED_VALUE"""),"Resource")</f>
        <v/>
      </c>
      <c r="C701" s="6">
        <f>IFERROR(__xludf.DUMMYFUNCTION("""COMPUTED_VALUE"""),"1st.graasp")</f>
        <v/>
      </c>
      <c r="D701" s="7">
        <f>IFERROR(__xludf.DUMMYFUNCTION("""COMPUTED_VALUE"""),"&lt;p&gt; Complete the short multiple choice quiz.&lt;/p&gt;")</f>
        <v/>
      </c>
      <c r="E701" s="7">
        <f>IFERROR(__xludf.DUMMYFUNCTION("""COMPUTED_VALUE"""),"No artifact embedded")</f>
        <v/>
      </c>
      <c r="F701" s="7" t="inlineStr">
        <is>
          <t>Students were instructed to review a video and complete a quiz. Embedded artifacts include a YouTube video link.</t>
        </is>
      </c>
      <c r="G701" s="8" t="inlineStr">
        <is>
          <t>0</t>
        </is>
      </c>
      <c r="H701" s="8" t="inlineStr">
        <is>
          <t>0</t>
        </is>
      </c>
      <c r="I701" s="8" t="inlineStr">
        <is>
          <t>0</t>
        </is>
      </c>
      <c r="J701" s="8" t="inlineStr">
        <is>
          <t>0</t>
        </is>
      </c>
      <c r="K701" s="9" t="inlineStr">
        <is>
          <t>1</t>
        </is>
      </c>
      <c r="L701" s="9" t="inlineStr">
        <is>
          <t>0</t>
        </is>
      </c>
      <c r="M701" s="9" t="inlineStr">
        <is>
          <t>0</t>
        </is>
      </c>
      <c r="N701" s="9" t="inlineStr">
        <is>
          <t>0</t>
        </is>
      </c>
      <c r="O701" s="10" t="inlineStr">
        <is>
          <t>0</t>
        </is>
      </c>
      <c r="P701" s="10" t="inlineStr">
        <is>
          <t>0</t>
        </is>
      </c>
      <c r="Q701" s="10" t="inlineStr">
        <is>
          <t>0</t>
        </is>
      </c>
      <c r="R701" s="10" t="inlineStr">
        <is>
          <t>0</t>
        </is>
      </c>
      <c r="S701" s="10" t="inlineStr">
        <is>
          <t>0</t>
        </is>
      </c>
    </row>
    <row r="702" ht="296" customHeight="1">
      <c r="A702" s="6">
        <f>IFERROR(__xludf.DUMMYFUNCTION("""COMPUTED_VALUE"""),"Why I don't prefer vinegar on my fries")</f>
        <v/>
      </c>
      <c r="B702" s="6">
        <f>IFERROR(__xludf.DUMMYFUNCTION("""COMPUTED_VALUE"""),"Application")</f>
        <v/>
      </c>
      <c r="C702" s="6">
        <f>IFERROR(__xludf.DUMMYFUNCTION("""COMPUTED_VALUE"""),"Quiz 1")</f>
        <v/>
      </c>
      <c r="D702" s="7">
        <f>IFERROR(__xludf.DUMMYFUNCTION("""COMPUTED_VALUE"""),"&lt;p&gt;You must complete the quiz before you can attempt the investigation&lt;/p&gt;")</f>
        <v/>
      </c>
      <c r="E702"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2" s="7" t="inlineStr">
        <is>
          <t>Students complete tasks with varying instructions and embedded artifacts, including a video platform and quiz apps.</t>
        </is>
      </c>
      <c r="G702" s="8" t="inlineStr">
        <is>
          <t>0</t>
        </is>
      </c>
      <c r="H702" s="8" t="inlineStr">
        <is>
          <t>0</t>
        </is>
      </c>
      <c r="I702" s="8" t="inlineStr">
        <is>
          <t>0</t>
        </is>
      </c>
      <c r="J702" s="8" t="inlineStr">
        <is>
          <t>1</t>
        </is>
      </c>
      <c r="K702" s="9" t="inlineStr">
        <is>
          <t>1</t>
        </is>
      </c>
      <c r="L702" s="9" t="inlineStr">
        <is>
          <t>0</t>
        </is>
      </c>
      <c r="M702" s="9" t="inlineStr">
        <is>
          <t>0</t>
        </is>
      </c>
      <c r="N702" s="9" t="inlineStr">
        <is>
          <t>0</t>
        </is>
      </c>
      <c r="O702" s="10" t="inlineStr">
        <is>
          <t>0</t>
        </is>
      </c>
      <c r="P702" s="10" t="inlineStr">
        <is>
          <t>0</t>
        </is>
      </c>
      <c r="Q702" s="10" t="inlineStr">
        <is>
          <t>0</t>
        </is>
      </c>
      <c r="R702" s="10" t="inlineStr">
        <is>
          <t>0</t>
        </is>
      </c>
      <c r="S702" s="10" t="inlineStr">
        <is>
          <t>0</t>
        </is>
      </c>
    </row>
    <row r="703" ht="296" customHeight="1">
      <c r="A703" s="6">
        <f>IFERROR(__xludf.DUMMYFUNCTION("""COMPUTED_VALUE"""),"Why I don't prefer vinegar on my fries")</f>
        <v/>
      </c>
      <c r="B703" s="6">
        <f>IFERROR(__xludf.DUMMYFUNCTION("""COMPUTED_VALUE"""),"Application")</f>
        <v/>
      </c>
      <c r="C703" s="6">
        <f>IFERROR(__xludf.DUMMYFUNCTION("""COMPUTED_VALUE"""),"Quiz 2")</f>
        <v/>
      </c>
      <c r="D703" s="7">
        <f>IFERROR(__xludf.DUMMYFUNCTION("""COMPUTED_VALUE"""),"No task description")</f>
        <v/>
      </c>
      <c r="E70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3" s="7" t="inlineStr">
        <is>
          <t>Students complete a short multiple choice quiz using the Golabz app, with interactive question editing.</t>
        </is>
      </c>
      <c r="G703" s="8" t="inlineStr">
        <is>
          <t>1</t>
        </is>
      </c>
      <c r="H703" s="8" t="inlineStr">
        <is>
          <t>0</t>
        </is>
      </c>
      <c r="I703" s="8" t="inlineStr">
        <is>
          <t>0</t>
        </is>
      </c>
      <c r="J703" s="8" t="inlineStr">
        <is>
          <t>1</t>
        </is>
      </c>
      <c r="K703" s="9" t="inlineStr">
        <is>
          <t>1</t>
        </is>
      </c>
      <c r="L703" s="9" t="inlineStr">
        <is>
          <t>0</t>
        </is>
      </c>
      <c r="M703" s="9" t="inlineStr">
        <is>
          <t>0</t>
        </is>
      </c>
      <c r="N703" s="9" t="inlineStr">
        <is>
          <t>0</t>
        </is>
      </c>
      <c r="O703" s="10" t="inlineStr">
        <is>
          <t>0</t>
        </is>
      </c>
      <c r="P703" s="10" t="inlineStr">
        <is>
          <t>0</t>
        </is>
      </c>
      <c r="Q703" s="10" t="inlineStr">
        <is>
          <t>0</t>
        </is>
      </c>
      <c r="R703" s="10" t="inlineStr">
        <is>
          <t>0</t>
        </is>
      </c>
      <c r="S703" s="10" t="inlineStr">
        <is>
          <t>0</t>
        </is>
      </c>
    </row>
    <row r="704" ht="296" customHeight="1">
      <c r="A704" s="6">
        <f>IFERROR(__xludf.DUMMYFUNCTION("""COMPUTED_VALUE"""),"Why I don't prefer vinegar on my fries")</f>
        <v/>
      </c>
      <c r="B704" s="6">
        <f>IFERROR(__xludf.DUMMYFUNCTION("""COMPUTED_VALUE"""),"Application")</f>
        <v/>
      </c>
      <c r="C704" s="6">
        <f>IFERROR(__xludf.DUMMYFUNCTION("""COMPUTED_VALUE"""),"Quiz Hypothesis")</f>
        <v/>
      </c>
      <c r="D704" s="7">
        <f>IFERROR(__xludf.DUMMYFUNCTION("""COMPUTED_VALUE"""),"No task description")</f>
        <v/>
      </c>
      <c r="E7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4" s="7" t="inlineStr">
        <is>
          <t>Students must complete a quiz. Embedded artifact: Golabz quiz app with interactive question editing.</t>
        </is>
      </c>
      <c r="G704" s="8" t="inlineStr">
        <is>
          <t>0</t>
        </is>
      </c>
      <c r="H704" s="8" t="inlineStr">
        <is>
          <t>0</t>
        </is>
      </c>
      <c r="I704" s="8" t="inlineStr">
        <is>
          <t>0</t>
        </is>
      </c>
      <c r="J704" s="8" t="inlineStr">
        <is>
          <t>1</t>
        </is>
      </c>
      <c r="K704" s="9" t="inlineStr">
        <is>
          <t>1</t>
        </is>
      </c>
      <c r="L704" s="9" t="inlineStr">
        <is>
          <t>0</t>
        </is>
      </c>
      <c r="M704" s="9" t="inlineStr">
        <is>
          <t>0</t>
        </is>
      </c>
      <c r="N704" s="9" t="inlineStr">
        <is>
          <t>0</t>
        </is>
      </c>
      <c r="O704" s="10" t="inlineStr">
        <is>
          <t>0</t>
        </is>
      </c>
      <c r="P704" s="10" t="inlineStr">
        <is>
          <t>0</t>
        </is>
      </c>
      <c r="Q704" s="10" t="inlineStr">
        <is>
          <t>0</t>
        </is>
      </c>
      <c r="R704" s="10" t="inlineStr">
        <is>
          <t>0</t>
        </is>
      </c>
      <c r="S704" s="10" t="inlineStr">
        <is>
          <t>0</t>
        </is>
      </c>
    </row>
    <row r="705" ht="85" customHeight="1">
      <c r="A705" s="6">
        <f>IFERROR(__xludf.DUMMYFUNCTION("""COMPUTED_VALUE"""),"Why I don't prefer vinegar on my fries")</f>
        <v/>
      </c>
      <c r="B705" s="6">
        <f>IFERROR(__xludf.DUMMYFUNCTION("""COMPUTED_VALUE"""),"Resource")</f>
        <v/>
      </c>
      <c r="C705" s="6">
        <f>IFERROR(__xludf.DUMMYFUNCTION("""COMPUTED_VALUE"""),"2nd.graasp")</f>
        <v/>
      </c>
      <c r="D705" s="7">
        <f>IFERROR(__xludf.DUMMYFUNCTION("""COMPUTED_VALUE"""),"&lt;p&gt;Use the app to investigate some substances to see whether they are acidic or basic...enjoy.&lt;/p&gt;")</f>
        <v/>
      </c>
      <c r="E705" s="7">
        <f>IFERROR(__xludf.DUMMYFUNCTION("""COMPUTED_VALUE"""),"No artifact embedded")</f>
        <v/>
      </c>
      <c r="F705" s="7" t="inlineStr">
        <is>
          <t>Students were given tasks with Golabz app descriptions, except for Item 3, which instructed investigating substances.</t>
        </is>
      </c>
      <c r="G705" s="8" t="inlineStr">
        <is>
          <t>0</t>
        </is>
      </c>
      <c r="H705" s="8" t="inlineStr">
        <is>
          <t>1</t>
        </is>
      </c>
      <c r="I705" s="8" t="inlineStr">
        <is>
          <t>0</t>
        </is>
      </c>
      <c r="J705" s="8" t="inlineStr">
        <is>
          <t>1</t>
        </is>
      </c>
      <c r="K705" s="9" t="inlineStr">
        <is>
          <t>1</t>
        </is>
      </c>
      <c r="L705" s="9" t="inlineStr">
        <is>
          <t>1</t>
        </is>
      </c>
      <c r="M705" s="9" t="inlineStr">
        <is>
          <t>0</t>
        </is>
      </c>
      <c r="N705" s="9" t="inlineStr">
        <is>
          <t>0</t>
        </is>
      </c>
      <c r="O705" s="10" t="inlineStr">
        <is>
          <t>1</t>
        </is>
      </c>
      <c r="P705" s="10" t="inlineStr">
        <is>
          <t>0</t>
        </is>
      </c>
      <c r="Q705" s="10" t="inlineStr">
        <is>
          <t>1</t>
        </is>
      </c>
      <c r="R705" s="10" t="inlineStr">
        <is>
          <t>0</t>
        </is>
      </c>
      <c r="S705" s="10" t="inlineStr">
        <is>
          <t>0</t>
        </is>
      </c>
    </row>
    <row r="706" ht="133" customHeight="1">
      <c r="A706" s="6">
        <f>IFERROR(__xludf.DUMMYFUNCTION("""COMPUTED_VALUE"""),"Why I don't prefer vinegar on my fries")</f>
        <v/>
      </c>
      <c r="B706" s="6">
        <f>IFERROR(__xludf.DUMMYFUNCTION("""COMPUTED_VALUE"""),"Resource")</f>
        <v/>
      </c>
      <c r="C706" s="6">
        <f>IFERROR(__xludf.DUMMYFUNCTION("""COMPUTED_VALUE"""),"‪pH Scale: Basics‬ 1.2.10")</f>
        <v/>
      </c>
      <c r="D706" s="7">
        <f>IFERROR(__xludf.DUMMYFUNCTION("""COMPUTED_VALUE"""),"No task description")</f>
        <v/>
      </c>
      <c r="E706" s="7">
        <f>IFERROR(__xludf.DUMMYFUNCTION("""COMPUTED_VALUE"""),"Artifact from phet.colorado.edu: Provides interactive science and math simulations, such as those on greenhouse effects and natural selection.")</f>
        <v/>
      </c>
      <c r="F706" s="7" t="inlineStr">
        <is>
          <t>Students were given tasks with descriptions and used interactive artifacts like Golabz app and PhET simulations to complete them.</t>
        </is>
      </c>
      <c r="G706" s="8" t="inlineStr">
        <is>
          <t>0</t>
        </is>
      </c>
      <c r="H706" s="8" t="inlineStr">
        <is>
          <t>1</t>
        </is>
      </c>
      <c r="I706" s="8" t="inlineStr">
        <is>
          <t>0</t>
        </is>
      </c>
      <c r="J706" s="8" t="inlineStr">
        <is>
          <t>1</t>
        </is>
      </c>
      <c r="K706" s="9" t="inlineStr">
        <is>
          <t>0</t>
        </is>
      </c>
      <c r="L706" s="9" t="inlineStr">
        <is>
          <t>0</t>
        </is>
      </c>
      <c r="M706" s="9" t="inlineStr">
        <is>
          <t>0</t>
        </is>
      </c>
      <c r="N706" s="9" t="inlineStr">
        <is>
          <t>0</t>
        </is>
      </c>
      <c r="O706" s="10" t="inlineStr">
        <is>
          <t>0</t>
        </is>
      </c>
      <c r="P706" s="10" t="inlineStr">
        <is>
          <t>0</t>
        </is>
      </c>
      <c r="Q706" s="10" t="inlineStr">
        <is>
          <t>1</t>
        </is>
      </c>
      <c r="R706" s="10" t="inlineStr">
        <is>
          <t>0</t>
        </is>
      </c>
      <c r="S706" s="10" t="inlineStr">
        <is>
          <t>0</t>
        </is>
      </c>
    </row>
    <row r="707" ht="296" customHeight="1">
      <c r="A707" s="6">
        <f>IFERROR(__xludf.DUMMYFUNCTION("""COMPUTED_VALUE"""),"Why I don't prefer vinegar on my fries")</f>
        <v/>
      </c>
      <c r="B707" s="6">
        <f>IFERROR(__xludf.DUMMYFUNCTION("""COMPUTED_VALUE"""),"Application")</f>
        <v/>
      </c>
      <c r="C707" s="6">
        <f>IFERROR(__xludf.DUMMYFUNCTION("""COMPUTED_VALUE"""),"Quiz 3")</f>
        <v/>
      </c>
      <c r="D707" s="7">
        <f>IFERROR(__xludf.DUMMYFUNCTION("""COMPUTED_VALUE"""),"No task description")</f>
        <v/>
      </c>
      <c r="E7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7" s="7" t="inlineStr">
        <is>
          <t>Students investigate substances using an app. Embedded artifacts include PhET simulations and Golabz quiz app with interactive question types.</t>
        </is>
      </c>
      <c r="G707" s="8" t="inlineStr">
        <is>
          <t>1</t>
        </is>
      </c>
      <c r="H707" s="8" t="inlineStr">
        <is>
          <t>0</t>
        </is>
      </c>
      <c r="I707" s="8" t="inlineStr">
        <is>
          <t>0</t>
        </is>
      </c>
      <c r="J707" s="8" t="inlineStr">
        <is>
          <t>1</t>
        </is>
      </c>
      <c r="K707" s="9" t="inlineStr">
        <is>
          <t>1</t>
        </is>
      </c>
      <c r="L707" s="9" t="inlineStr">
        <is>
          <t>0</t>
        </is>
      </c>
      <c r="M707" s="9" t="inlineStr">
        <is>
          <t>0</t>
        </is>
      </c>
      <c r="N707" s="9" t="inlineStr">
        <is>
          <t>0</t>
        </is>
      </c>
      <c r="O707" s="10" t="inlineStr">
        <is>
          <t>0</t>
        </is>
      </c>
      <c r="P707" s="10" t="inlineStr">
        <is>
          <t>0</t>
        </is>
      </c>
      <c r="Q707" s="10" t="inlineStr">
        <is>
          <t>0</t>
        </is>
      </c>
      <c r="R707" s="10" t="inlineStr">
        <is>
          <t>0</t>
        </is>
      </c>
      <c r="S707" s="10" t="inlineStr">
        <is>
          <t>0</t>
        </is>
      </c>
    </row>
    <row r="708" ht="296" customHeight="1">
      <c r="A708" s="6">
        <f>IFERROR(__xludf.DUMMYFUNCTION("""COMPUTED_VALUE"""),"Why I don't prefer vinegar on my fries")</f>
        <v/>
      </c>
      <c r="B708" s="6">
        <f>IFERROR(__xludf.DUMMYFUNCTION("""COMPUTED_VALUE"""),"Application")</f>
        <v/>
      </c>
      <c r="C708" s="6">
        <f>IFERROR(__xludf.DUMMYFUNCTION("""COMPUTED_VALUE"""),"Quiz 4")</f>
        <v/>
      </c>
      <c r="D708" s="7">
        <f>IFERROR(__xludf.DUMMYFUNCTION("""COMPUTED_VALUE"""),"No task description")</f>
        <v/>
      </c>
      <c r="E70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8" s="7" t="inlineStr">
        <is>
          <t>No task descriptions are provided. Embedded artifacts include PhET simulations and Golabz quiz apps with interactive question types.</t>
        </is>
      </c>
      <c r="G708" s="8" t="inlineStr">
        <is>
          <t>1</t>
        </is>
      </c>
      <c r="H708" s="8" t="inlineStr">
        <is>
          <t>0</t>
        </is>
      </c>
      <c r="I708" s="8" t="inlineStr">
        <is>
          <t>0</t>
        </is>
      </c>
      <c r="J708" s="8" t="inlineStr">
        <is>
          <t>1</t>
        </is>
      </c>
      <c r="K708" s="9" t="inlineStr">
        <is>
          <t>1</t>
        </is>
      </c>
      <c r="L708" s="9" t="inlineStr">
        <is>
          <t>0</t>
        </is>
      </c>
      <c r="M708" s="9" t="inlineStr">
        <is>
          <t>0</t>
        </is>
      </c>
      <c r="N708" s="9" t="inlineStr">
        <is>
          <t>0</t>
        </is>
      </c>
      <c r="O708" s="10" t="inlineStr">
        <is>
          <t>0</t>
        </is>
      </c>
      <c r="P708" s="10" t="inlineStr">
        <is>
          <t>0</t>
        </is>
      </c>
      <c r="Q708" s="10" t="inlineStr">
        <is>
          <t>0</t>
        </is>
      </c>
      <c r="R708" s="10" t="inlineStr">
        <is>
          <t>0</t>
        </is>
      </c>
      <c r="S708" s="10" t="inlineStr">
        <is>
          <t>0</t>
        </is>
      </c>
    </row>
    <row r="709" ht="296" customHeight="1">
      <c r="A709" s="6">
        <f>IFERROR(__xludf.DUMMYFUNCTION("""COMPUTED_VALUE"""),"Why I don't prefer vinegar on my fries")</f>
        <v/>
      </c>
      <c r="B709" s="6">
        <f>IFERROR(__xludf.DUMMYFUNCTION("""COMPUTED_VALUE"""),"Application")</f>
        <v/>
      </c>
      <c r="C709" s="6">
        <f>IFERROR(__xludf.DUMMYFUNCTION("""COMPUTED_VALUE"""),"Quiz 5")</f>
        <v/>
      </c>
      <c r="D709" s="7">
        <f>IFERROR(__xludf.DUMMYFUNCTION("""COMPUTED_VALUE"""),"No task description")</f>
        <v/>
      </c>
      <c r="E70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9" s="7" t="inlineStr">
        <is>
          <t>No task descriptions are provided, but all items have an embedded Golabz app/lab for creating quizzes with various question types.</t>
        </is>
      </c>
      <c r="G709" s="8" t="inlineStr">
        <is>
          <t>0</t>
        </is>
      </c>
      <c r="H709" s="8" t="inlineStr">
        <is>
          <t>0</t>
        </is>
      </c>
      <c r="I709" s="8" t="inlineStr">
        <is>
          <t>0</t>
        </is>
      </c>
      <c r="J709" s="8" t="inlineStr">
        <is>
          <t>1</t>
        </is>
      </c>
      <c r="K709" s="9" t="inlineStr">
        <is>
          <t>1</t>
        </is>
      </c>
      <c r="L709" s="9" t="inlineStr">
        <is>
          <t>0</t>
        </is>
      </c>
      <c r="M709" s="9" t="inlineStr">
        <is>
          <t>0</t>
        </is>
      </c>
      <c r="N709" s="9" t="inlineStr">
        <is>
          <t>0</t>
        </is>
      </c>
      <c r="O709" s="10" t="inlineStr">
        <is>
          <t>0</t>
        </is>
      </c>
      <c r="P709" s="10" t="inlineStr">
        <is>
          <t>0</t>
        </is>
      </c>
      <c r="Q709" s="10" t="inlineStr">
        <is>
          <t>0</t>
        </is>
      </c>
      <c r="R709" s="10" t="inlineStr">
        <is>
          <t>0</t>
        </is>
      </c>
      <c r="S709" s="10" t="inlineStr">
        <is>
          <t>0</t>
        </is>
      </c>
    </row>
    <row r="710" ht="296" customHeight="1">
      <c r="A710" s="6">
        <f>IFERROR(__xludf.DUMMYFUNCTION("""COMPUTED_VALUE"""),"Why I don't prefer vinegar on my fries")</f>
        <v/>
      </c>
      <c r="B710" s="6">
        <f>IFERROR(__xludf.DUMMYFUNCTION("""COMPUTED_VALUE"""),"Application")</f>
        <v/>
      </c>
      <c r="C710" s="6">
        <f>IFERROR(__xludf.DUMMYFUNCTION("""COMPUTED_VALUE"""),"Quiz 6")</f>
        <v/>
      </c>
      <c r="D710" s="7">
        <f>IFERROR(__xludf.DUMMYFUNCTION("""COMPUTED_VALUE"""),"No task description")</f>
        <v/>
      </c>
      <c r="E71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10" s="7" t="inlineStr">
        <is>
          <t>No task descriptions are provided; Golabz app/lab allows teachers to create interactive quizzes with various question types.</t>
        </is>
      </c>
      <c r="G710" s="8" t="inlineStr">
        <is>
          <t>0</t>
        </is>
      </c>
      <c r="H710" s="8" t="inlineStr">
        <is>
          <t>0</t>
        </is>
      </c>
      <c r="I710" s="8" t="inlineStr">
        <is>
          <t>0</t>
        </is>
      </c>
      <c r="J710" s="8" t="inlineStr">
        <is>
          <t>1</t>
        </is>
      </c>
      <c r="K710" s="9" t="inlineStr">
        <is>
          <t>1</t>
        </is>
      </c>
      <c r="L710" s="9" t="inlineStr">
        <is>
          <t>0</t>
        </is>
      </c>
      <c r="M710" s="9" t="inlineStr">
        <is>
          <t>0</t>
        </is>
      </c>
      <c r="N710" s="9" t="inlineStr">
        <is>
          <t>0</t>
        </is>
      </c>
      <c r="O710" s="10" t="inlineStr">
        <is>
          <t>0</t>
        </is>
      </c>
      <c r="P710" s="10" t="inlineStr">
        <is>
          <t>0</t>
        </is>
      </c>
      <c r="Q710" s="10" t="inlineStr">
        <is>
          <t>0</t>
        </is>
      </c>
      <c r="R710" s="10" t="inlineStr">
        <is>
          <t>0</t>
        </is>
      </c>
      <c r="S710" s="10" t="inlineStr">
        <is>
          <t>0</t>
        </is>
      </c>
    </row>
    <row r="711" ht="97" customHeight="1">
      <c r="A711" s="6">
        <f>IFERROR(__xludf.DUMMYFUNCTION("""COMPUTED_VALUE"""),"Why I don't prefer vinegar on my fries")</f>
        <v/>
      </c>
      <c r="B711" s="6">
        <f>IFERROR(__xludf.DUMMYFUNCTION("""COMPUTED_VALUE"""),"Resource")</f>
        <v/>
      </c>
      <c r="C711" s="6">
        <f>IFERROR(__xludf.DUMMYFUNCTION("""COMPUTED_VALUE"""),"3rd.graasp")</f>
        <v/>
      </c>
      <c r="D711" s="7">
        <f>IFERROR(__xludf.DUMMYFUNCTION("""COMPUTED_VALUE"""),"&lt;p&gt;When you understand what an acid or a base is,  review the video on the chemical reaction of HCl on CaCO3.&lt;/p&gt;")</f>
        <v/>
      </c>
      <c r="E711" s="7">
        <f>IFERROR(__xludf.DUMMYFUNCTION("""COMPUTED_VALUE"""),"No artifact embedded")</f>
        <v/>
      </c>
      <c r="F711" s="7" t="inlineStr">
        <is>
          <t>No task descriptions for Items 1 and 2. Item 3 instructs reviewing a video on HCl and CaCO3 reaction. Embedded artifacts are Golabz quiz apps in Items 1 and 2.</t>
        </is>
      </c>
      <c r="G711" s="8" t="inlineStr">
        <is>
          <t>1</t>
        </is>
      </c>
      <c r="H711" s="8" t="inlineStr">
        <is>
          <t>0</t>
        </is>
      </c>
      <c r="I711" s="8" t="inlineStr">
        <is>
          <t>0</t>
        </is>
      </c>
      <c r="J711" s="8" t="inlineStr">
        <is>
          <t>0</t>
        </is>
      </c>
      <c r="K711" s="9" t="inlineStr">
        <is>
          <t>1</t>
        </is>
      </c>
      <c r="L711" s="9" t="inlineStr">
        <is>
          <t>0</t>
        </is>
      </c>
      <c r="M711" s="9" t="inlineStr">
        <is>
          <t>0</t>
        </is>
      </c>
      <c r="N711" s="9" t="inlineStr">
        <is>
          <t>0</t>
        </is>
      </c>
      <c r="O711" s="10" t="inlineStr">
        <is>
          <t>0</t>
        </is>
      </c>
      <c r="P711" s="10" t="inlineStr">
        <is>
          <t>0</t>
        </is>
      </c>
      <c r="Q711" s="10" t="inlineStr">
        <is>
          <t>0</t>
        </is>
      </c>
      <c r="R711" s="10" t="inlineStr">
        <is>
          <t>0</t>
        </is>
      </c>
      <c r="S711" s="10" t="inlineStr">
        <is>
          <t>0</t>
        </is>
      </c>
    </row>
    <row r="712" ht="145" customHeight="1">
      <c r="A712" s="6">
        <f>IFERROR(__xludf.DUMMYFUNCTION("""COMPUTED_VALUE"""),"Why I don't prefer vinegar on my fries")</f>
        <v/>
      </c>
      <c r="B712" s="6">
        <f>IFERROR(__xludf.DUMMYFUNCTION("""COMPUTED_VALUE"""),"Resource")</f>
        <v/>
      </c>
      <c r="C712" s="6">
        <f>IFERROR(__xludf.DUMMYFUNCTION("""COMPUTED_VALUE"""),"Chemical reaction of marble to acid")</f>
        <v/>
      </c>
      <c r="D712" s="7">
        <f>IFERROR(__xludf.DUMMYFUNCTION("""COMPUTED_VALUE"""),"&lt;p&gt;Most marble is composed of Calcium Carbonate, CaCO3, a mineral that reacts with cold, dilute, hydrochloric acid.  &lt;/p&gt;&lt;p&gt;&lt;br&gt;&lt;/p&gt;")</f>
        <v/>
      </c>
      <c r="E712" s="7">
        <f>IFERROR(__xludf.DUMMYFUNCTION("""COMPUTED_VALUE"""),"youtube.com: A widely known video-sharing platform where users can watch videos on a vast array of topics, including educational content.")</f>
        <v/>
      </c>
      <c r="F712" s="7" t="inlineStr">
        <is>
          <t>Students were given tasks and access to artifacts like the Golabz quiz app and YouTube for learning about acids, bases, and chemical reactions.</t>
        </is>
      </c>
      <c r="G712" s="8" t="inlineStr">
        <is>
          <t>1</t>
        </is>
      </c>
      <c r="H712" s="8" t="inlineStr">
        <is>
          <t>0</t>
        </is>
      </c>
      <c r="I712" s="8" t="inlineStr">
        <is>
          <t>0</t>
        </is>
      </c>
      <c r="J712" s="8" t="inlineStr">
        <is>
          <t>0</t>
        </is>
      </c>
      <c r="K712" s="9" t="inlineStr">
        <is>
          <t>0</t>
        </is>
      </c>
      <c r="L712" s="9" t="inlineStr">
        <is>
          <t>0</t>
        </is>
      </c>
      <c r="M712" s="9" t="inlineStr">
        <is>
          <t>0</t>
        </is>
      </c>
      <c r="N712" s="9" t="inlineStr">
        <is>
          <t>0</t>
        </is>
      </c>
      <c r="O712" s="10" t="inlineStr">
        <is>
          <t>0</t>
        </is>
      </c>
      <c r="P712" s="10" t="inlineStr">
        <is>
          <t>0</t>
        </is>
      </c>
      <c r="Q712" s="10" t="inlineStr">
        <is>
          <t>0</t>
        </is>
      </c>
      <c r="R712" s="10" t="inlineStr">
        <is>
          <t>0</t>
        </is>
      </c>
      <c r="S712" s="10" t="inlineStr">
        <is>
          <t>0</t>
        </is>
      </c>
    </row>
    <row r="713" ht="409.5" customHeight="1">
      <c r="A713" s="6">
        <f>IFERROR(__xludf.DUMMYFUNCTION("""COMPUTED_VALUE"""),"Why I don't prefer vinegar on my fries")</f>
        <v/>
      </c>
      <c r="B713" s="6">
        <f>IFERROR(__xludf.DUMMYFUNCTION("""COMPUTED_VALUE"""),"Resource")</f>
        <v/>
      </c>
      <c r="C713" s="6">
        <f>IFERROR(__xludf.DUMMYFUNCTION("""COMPUTED_VALUE"""),"4th.graasp")</f>
        <v/>
      </c>
      <c r="D713" s="7">
        <f>IFERROR(__xludf.DUMMYFUNCTION("""COMPUTED_VALUE"""),"&lt;p&gt;Design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cm&lt;"&amp;"span&gt;&lt;/span&gt;&lt;span&gt;&lt;/span&gt;&lt;span&gt;&lt;/span&gt;3&lt;span&gt;&lt;/span&gt;&lt;span&gt;&lt;/span&gt;&lt;span&gt;&lt;/span&gt;^3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mm)&lt;/li&gt;&lt;li&gt;timer&lt;/li&gt;&lt;li&gt;dropper&lt;/li&gt;&lt;li&gt;camera&lt;/li&gt;&lt;li&gt;"&amp;"gloves&lt;/li&gt;&lt;li&gt;goggles&lt;/li&gt;&lt;li&gt;white coat&lt;/li&gt;&lt;/ul&gt;&lt;p&gt;When you are finished with the discussion of your procedure, please submit the steps you are going to follow in order to do the experiment. When your procedure is approved you may begin your experiment"&amp;".&lt;/p&gt;")</f>
        <v/>
      </c>
      <c r="E713" s="7">
        <f>IFERROR(__xludf.DUMMYFUNCTION("""COMPUTED_VALUE"""),"No artifact embedded")</f>
        <v/>
      </c>
      <c r="F713" s="7" t="inlineStr">
        <is>
          <t>Students review acid-base concepts, watch a video on HCl and CaCO3 reactions, and design an experiment to measure the effect of HCl on CaCO3 mass, with provided equipment.</t>
        </is>
      </c>
      <c r="G713" s="8" t="inlineStr">
        <is>
          <t>0</t>
        </is>
      </c>
      <c r="H713" s="8" t="inlineStr">
        <is>
          <t>1</t>
        </is>
      </c>
      <c r="I713" s="8" t="inlineStr">
        <is>
          <t>1</t>
        </is>
      </c>
      <c r="J713" s="8" t="inlineStr">
        <is>
          <t>0</t>
        </is>
      </c>
      <c r="K713" s="9" t="inlineStr">
        <is>
          <t>1</t>
        </is>
      </c>
      <c r="L713" s="9" t="inlineStr">
        <is>
          <t>1</t>
        </is>
      </c>
      <c r="M713" s="9" t="inlineStr">
        <is>
          <t>0</t>
        </is>
      </c>
      <c r="N713" s="9" t="inlineStr">
        <is>
          <t>0</t>
        </is>
      </c>
      <c r="O713" s="10" t="inlineStr">
        <is>
          <t>1</t>
        </is>
      </c>
      <c r="P713" s="10" t="inlineStr">
        <is>
          <t>1</t>
        </is>
      </c>
      <c r="Q713" s="10" t="inlineStr">
        <is>
          <t>1</t>
        </is>
      </c>
      <c r="R713" s="10" t="inlineStr">
        <is>
          <t>0</t>
        </is>
      </c>
      <c r="S713" s="10" t="inlineStr">
        <is>
          <t>1</t>
        </is>
      </c>
    </row>
    <row r="714" ht="329" customHeight="1">
      <c r="A714" s="6">
        <f>IFERROR(__xludf.DUMMYFUNCTION("""COMPUTED_VALUE"""),"Why I don't prefer vinegar on my fries")</f>
        <v/>
      </c>
      <c r="B714" s="6">
        <f>IFERROR(__xludf.DUMMYFUNCTION("""COMPUTED_VALUE"""),"Application")</f>
        <v/>
      </c>
      <c r="C714" s="6">
        <f>IFERROR(__xludf.DUMMYFUNCTION("""COMPUTED_VALUE"""),"Input Box")</f>
        <v/>
      </c>
      <c r="D714" s="7">
        <f>IFERROR(__xludf.DUMMYFUNCTION("""COMPUTED_VALUE"""),"No task description")</f>
        <v/>
      </c>
      <c r="E71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4" s="7" t="inlineStr">
        <is>
          <t>Students are instructed to design and conduct experiments on CaCO3 reaction with HCl. Embedded artifacts include a YouTube video and the Golabz app/lab for note-taking and collaboration.</t>
        </is>
      </c>
      <c r="G714" s="8" t="inlineStr">
        <is>
          <t>0</t>
        </is>
      </c>
      <c r="H714" s="8" t="inlineStr">
        <is>
          <t>1</t>
        </is>
      </c>
      <c r="I714" s="8" t="inlineStr">
        <is>
          <t>1</t>
        </is>
      </c>
      <c r="J714" s="8" t="inlineStr">
        <is>
          <t>1</t>
        </is>
      </c>
      <c r="K714" s="9" t="inlineStr">
        <is>
          <t>0</t>
        </is>
      </c>
      <c r="L714" s="9" t="inlineStr">
        <is>
          <t>1</t>
        </is>
      </c>
      <c r="M714" s="9" t="inlineStr">
        <is>
          <t>1</t>
        </is>
      </c>
      <c r="N714" s="9" t="inlineStr">
        <is>
          <t>1</t>
        </is>
      </c>
      <c r="O714" s="10" t="inlineStr">
        <is>
          <t>0</t>
        </is>
      </c>
      <c r="P714" s="10" t="inlineStr">
        <is>
          <t>0</t>
        </is>
      </c>
      <c r="Q714" s="10" t="inlineStr">
        <is>
          <t>0</t>
        </is>
      </c>
      <c r="R714" s="10" t="inlineStr">
        <is>
          <t>0</t>
        </is>
      </c>
      <c r="S714" s="10" t="inlineStr">
        <is>
          <t>1</t>
        </is>
      </c>
    </row>
    <row r="715" ht="97" customHeight="1">
      <c r="A715" s="6">
        <f>IFERROR(__xludf.DUMMYFUNCTION("""COMPUTED_VALUE"""),"Why I don't prefer vinegar on my fries")</f>
        <v/>
      </c>
      <c r="B715" s="6">
        <f>IFERROR(__xludf.DUMMYFUNCTION("""COMPUTED_VALUE"""),"Resource")</f>
        <v/>
      </c>
      <c r="C715" s="6">
        <f>IFERROR(__xludf.DUMMYFUNCTION("""COMPUTED_VALUE"""),"5th.graasp")</f>
        <v/>
      </c>
      <c r="D715" s="7">
        <f>IFERROR(__xludf.DUMMYFUNCTION("""COMPUTED_VALUE"""),"&lt;p&gt;Complete your experiment and record it as a video lasting no more than 2 minutes. Upload your video below&lt;/p&gt;")</f>
        <v/>
      </c>
      <c r="E715" s="7">
        <f>IFERROR(__xludf.DUMMYFUNCTION("""COMPUTED_VALUE"""),"No artifact embedded")</f>
        <v/>
      </c>
      <c r="F715" s="7" t="inlineStr">
        <is>
          <t>Students design an experiment to measure HCl's effect on CaCO3, submit their procedure, conduct the experiment, and record a 2-minute video. Embedded artifacts include the Golabz app/lab for note-taking.</t>
        </is>
      </c>
      <c r="G715" s="8" t="inlineStr">
        <is>
          <t>0</t>
        </is>
      </c>
      <c r="H715" s="8" t="inlineStr">
        <is>
          <t>1</t>
        </is>
      </c>
      <c r="I715" s="8" t="inlineStr">
        <is>
          <t>1</t>
        </is>
      </c>
      <c r="J715" s="8" t="inlineStr">
        <is>
          <t>0</t>
        </is>
      </c>
      <c r="K715" s="9" t="inlineStr">
        <is>
          <t>0</t>
        </is>
      </c>
      <c r="L715" s="9" t="inlineStr">
        <is>
          <t>1</t>
        </is>
      </c>
      <c r="M715" s="9" t="inlineStr">
        <is>
          <t>0</t>
        </is>
      </c>
      <c r="N715" s="9" t="inlineStr">
        <is>
          <t>0</t>
        </is>
      </c>
      <c r="O715" s="10" t="inlineStr">
        <is>
          <t>0</t>
        </is>
      </c>
      <c r="P715" s="10" t="inlineStr">
        <is>
          <t>0</t>
        </is>
      </c>
      <c r="Q715" s="10" t="inlineStr">
        <is>
          <t>1</t>
        </is>
      </c>
      <c r="R715" s="10" t="inlineStr">
        <is>
          <t>0</t>
        </is>
      </c>
      <c r="S715" s="10" t="inlineStr">
        <is>
          <t>0</t>
        </is>
      </c>
    </row>
    <row r="716" ht="157" customHeight="1">
      <c r="A716" s="6">
        <f>IFERROR(__xludf.DUMMYFUNCTION("""COMPUTED_VALUE"""),"Why I don't prefer vinegar on my fries")</f>
        <v/>
      </c>
      <c r="B716" s="6">
        <f>IFERROR(__xludf.DUMMYFUNCTION("""COMPUTED_VALUE"""),"Application")</f>
        <v/>
      </c>
      <c r="C716" s="6">
        <f>IFERROR(__xludf.DUMMYFUNCTION("""COMPUTED_VALUE"""),"File Drop")</f>
        <v/>
      </c>
      <c r="D716" s="7">
        <f>IFERROR(__xludf.DUMMYFUNCTION("""COMPUTED_VALUE"""),"No task description")</f>
        <v/>
      </c>
      <c r="E716" s="7">
        <f>IFERROR(__xludf.DUMMYFUNCTION("""COMPUTED_VALUE"""),"Golabz app/lab: ""&lt;p&gt;This app allows students to upload files, e.g., assignment and reports, to the Inquiry learning Space. The app also allows teachers to download the uploaded files.&lt;/p&gt;\r\n""")</f>
        <v/>
      </c>
      <c r="F716" s="7" t="inlineStr">
        <is>
          <t>Students were given tasks with varying instructions and tools, including note-taking apps and video uploads, with some tasks lacking descriptions.</t>
        </is>
      </c>
      <c r="G716" s="8" t="inlineStr">
        <is>
          <t>0</t>
        </is>
      </c>
      <c r="H716" s="8" t="inlineStr">
        <is>
          <t>0</t>
        </is>
      </c>
      <c r="I716" s="8" t="inlineStr">
        <is>
          <t>0</t>
        </is>
      </c>
      <c r="J716" s="8" t="inlineStr">
        <is>
          <t>0</t>
        </is>
      </c>
      <c r="K716" s="9" t="inlineStr">
        <is>
          <t>0</t>
        </is>
      </c>
      <c r="L716" s="9" t="inlineStr">
        <is>
          <t>1</t>
        </is>
      </c>
      <c r="M716" s="9" t="inlineStr">
        <is>
          <t>0</t>
        </is>
      </c>
      <c r="N716" s="9" t="inlineStr">
        <is>
          <t>0</t>
        </is>
      </c>
      <c r="O716" s="10" t="inlineStr">
        <is>
          <t>0</t>
        </is>
      </c>
      <c r="P716" s="10" t="inlineStr">
        <is>
          <t>0</t>
        </is>
      </c>
      <c r="Q716" s="10" t="inlineStr">
        <is>
          <t>0</t>
        </is>
      </c>
      <c r="R716" s="10" t="inlineStr">
        <is>
          <t>0</t>
        </is>
      </c>
      <c r="S716" s="10" t="inlineStr">
        <is>
          <t>0</t>
        </is>
      </c>
    </row>
    <row r="717" ht="85" customHeight="1">
      <c r="A717" s="6">
        <f>IFERROR(__xludf.DUMMYFUNCTION("""COMPUTED_VALUE"""),"Why I don't prefer vinegar on my fries")</f>
        <v/>
      </c>
      <c r="B717" s="6">
        <f>IFERROR(__xludf.DUMMYFUNCTION("""COMPUTED_VALUE"""),"Resource")</f>
        <v/>
      </c>
      <c r="C717" s="6">
        <f>IFERROR(__xludf.DUMMYFUNCTION("""COMPUTED_VALUE"""),"6th.graasp")</f>
        <v/>
      </c>
      <c r="D717" s="7">
        <f>IFERROR(__xludf.DUMMYFUNCTION("""COMPUTED_VALUE"""),"&lt;p&gt;Record your data into the table and then capture the screen and post it into Padlet along with your conclusion&lt;/p&gt;")</f>
        <v/>
      </c>
      <c r="E717" s="7">
        <f>IFERROR(__xludf.DUMMYFUNCTION("""COMPUTED_VALUE"""),"No artifact embedded")</f>
        <v/>
      </c>
      <c r="F717" s="7" t="inlineStr">
        <is>
          <t>Students were instructed to complete experiments, record videos, and upload files. Embedded artifacts include the Golabz app for file uploads.</t>
        </is>
      </c>
      <c r="G717" s="8" t="inlineStr">
        <is>
          <t>0</t>
        </is>
      </c>
      <c r="H717" s="8" t="inlineStr">
        <is>
          <t>1</t>
        </is>
      </c>
      <c r="I717" s="8" t="inlineStr">
        <is>
          <t>1</t>
        </is>
      </c>
      <c r="J717" s="8" t="inlineStr">
        <is>
          <t>0</t>
        </is>
      </c>
      <c r="K717" s="9" t="inlineStr">
        <is>
          <t>0</t>
        </is>
      </c>
      <c r="L717" s="9" t="inlineStr">
        <is>
          <t>1</t>
        </is>
      </c>
      <c r="M717" s="9" t="inlineStr">
        <is>
          <t>0</t>
        </is>
      </c>
      <c r="N717" s="9" t="inlineStr">
        <is>
          <t>0</t>
        </is>
      </c>
      <c r="O717" s="10" t="inlineStr">
        <is>
          <t>0</t>
        </is>
      </c>
      <c r="P717" s="10" t="inlineStr">
        <is>
          <t>0</t>
        </is>
      </c>
      <c r="Q717" s="10" t="inlineStr">
        <is>
          <t>0</t>
        </is>
      </c>
      <c r="R717" s="10" t="inlineStr">
        <is>
          <t>1</t>
        </is>
      </c>
      <c r="S717" s="10" t="inlineStr">
        <is>
          <t>1</t>
        </is>
      </c>
    </row>
    <row r="718" ht="409.5" customHeight="1">
      <c r="A718" s="6">
        <f>IFERROR(__xludf.DUMMYFUNCTION("""COMPUTED_VALUE"""),"Why I don't prefer vinegar on my fries")</f>
        <v/>
      </c>
      <c r="B718" s="6">
        <f>IFERROR(__xludf.DUMMYFUNCTION("""COMPUTED_VALUE"""),"Application")</f>
        <v/>
      </c>
      <c r="C718" s="6">
        <f>IFERROR(__xludf.DUMMYFUNCTION("""COMPUTED_VALUE"""),"Table tool")</f>
        <v/>
      </c>
      <c r="D718" s="7">
        <f>IFERROR(__xludf.DUMMYFUNCTION("""COMPUTED_VALUE"""),"No task description")</f>
        <v/>
      </c>
      <c r="E71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718" s="7" t="inlineStr">
        <is>
          <t>Students received task descriptions and used Golabz app/lab with various tools for data entry, tables, and file uploads.</t>
        </is>
      </c>
      <c r="G718" s="8" t="inlineStr">
        <is>
          <t>0</t>
        </is>
      </c>
      <c r="H718" s="8" t="inlineStr">
        <is>
          <t>1</t>
        </is>
      </c>
      <c r="I718" s="8" t="inlineStr">
        <is>
          <t>1</t>
        </is>
      </c>
      <c r="J718" s="8" t="inlineStr">
        <is>
          <t>1</t>
        </is>
      </c>
      <c r="K718" s="9" t="inlineStr">
        <is>
          <t>0</t>
        </is>
      </c>
      <c r="L718" s="9" t="inlineStr">
        <is>
          <t>1</t>
        </is>
      </c>
      <c r="M718" s="9" t="inlineStr">
        <is>
          <t>1</t>
        </is>
      </c>
      <c r="N718" s="9" t="inlineStr">
        <is>
          <t>1</t>
        </is>
      </c>
      <c r="O718" s="10" t="inlineStr">
        <is>
          <t>0</t>
        </is>
      </c>
      <c r="P718" s="10" t="inlineStr">
        <is>
          <t>0</t>
        </is>
      </c>
      <c r="Q718" s="10" t="inlineStr">
        <is>
          <t>0</t>
        </is>
      </c>
      <c r="R718" s="10" t="inlineStr">
        <is>
          <t>0</t>
        </is>
      </c>
      <c r="S718" s="10" t="inlineStr">
        <is>
          <t>0</t>
        </is>
      </c>
    </row>
    <row r="719" ht="329" customHeight="1">
      <c r="A719" s="6">
        <f>IFERROR(__xludf.DUMMYFUNCTION("""COMPUTED_VALUE"""),"Why I don't prefer vinegar on my fries")</f>
        <v/>
      </c>
      <c r="B719" s="6">
        <f>IFERROR(__xludf.DUMMYFUNCTION("""COMPUTED_VALUE"""),"Application")</f>
        <v/>
      </c>
      <c r="C719" s="6">
        <f>IFERROR(__xludf.DUMMYFUNCTION("""COMPUTED_VALUE"""),"Input Box (1)")</f>
        <v/>
      </c>
      <c r="D719" s="7">
        <f>IFERROR(__xludf.DUMMYFUNCTION("""COMPUTED_VALUE"""),"&lt;p&gt;Review your video and write down your observations. &lt;/p&gt;&lt;p&gt;&lt;br&gt;&lt;/p&gt;")</f>
        <v/>
      </c>
      <c r="E71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9" s="7" t="inlineStr">
        <is>
          <t>Students record data, capture screens, and post conclusions. Embedded artifacts include Golabz table and input box tools for data entry and note-taking.</t>
        </is>
      </c>
      <c r="G719" s="8" t="inlineStr">
        <is>
          <t>0</t>
        </is>
      </c>
      <c r="H719" s="8" t="inlineStr">
        <is>
          <t>0</t>
        </is>
      </c>
      <c r="I719" s="8" t="inlineStr">
        <is>
          <t>1</t>
        </is>
      </c>
      <c r="J719" s="8" t="inlineStr">
        <is>
          <t>1</t>
        </is>
      </c>
      <c r="K719" s="9" t="inlineStr">
        <is>
          <t>1</t>
        </is>
      </c>
      <c r="L719" s="9" t="inlineStr">
        <is>
          <t>1</t>
        </is>
      </c>
      <c r="M719" s="9" t="inlineStr">
        <is>
          <t>0</t>
        </is>
      </c>
      <c r="N719" s="9" t="inlineStr">
        <is>
          <t>0</t>
        </is>
      </c>
      <c r="O719" s="10" t="inlineStr">
        <is>
          <t>0</t>
        </is>
      </c>
      <c r="P719" s="10" t="inlineStr">
        <is>
          <t>0</t>
        </is>
      </c>
      <c r="Q719" s="10" t="inlineStr">
        <is>
          <t>1</t>
        </is>
      </c>
      <c r="R719" s="10" t="inlineStr">
        <is>
          <t>0</t>
        </is>
      </c>
      <c r="S719" s="10" t="inlineStr">
        <is>
          <t>0</t>
        </is>
      </c>
    </row>
    <row r="720" ht="133" customHeight="1">
      <c r="A720" s="6">
        <f>IFERROR(__xludf.DUMMYFUNCTION("""COMPUTED_VALUE"""),"Why I don't prefer vinegar on my fries")</f>
        <v/>
      </c>
      <c r="B720" s="6">
        <f>IFERROR(__xludf.DUMMYFUNCTION("""COMPUTED_VALUE"""),"Space")</f>
        <v/>
      </c>
      <c r="C720" s="6">
        <f>IFERROR(__xludf.DUMMYFUNCTION("""COMPUTED_VALUE"""),"Conclusion")</f>
        <v/>
      </c>
      <c r="D720" s="7">
        <f>IFERROR(__xludf.DUMMYFUNCTION("""COMPUTED_VALUE"""),"&lt;p&gt;Use the conclusion App to to share your conclusions and data with the class. Your conclusion should take into account your original hypothesis. &lt;/p&gt;")</f>
        <v/>
      </c>
      <c r="E720" s="7">
        <f>IFERROR(__xludf.DUMMYFUNCTION("""COMPUTED_VALUE"""),"No artifact embedded")</f>
        <v/>
      </c>
      <c r="F720" s="7" t="inlineStr">
        <is>
          <t>Students received task descriptions and used Golabz apps, such as Table tool and Input box, with optional collaboration mode.</t>
        </is>
      </c>
      <c r="G720" s="8" t="inlineStr">
        <is>
          <t>0</t>
        </is>
      </c>
      <c r="H720" s="8" t="inlineStr">
        <is>
          <t>1</t>
        </is>
      </c>
      <c r="I720" s="8" t="inlineStr">
        <is>
          <t>1</t>
        </is>
      </c>
      <c r="J720" s="8" t="inlineStr">
        <is>
          <t>1</t>
        </is>
      </c>
      <c r="K720" s="9" t="inlineStr">
        <is>
          <t>0</t>
        </is>
      </c>
      <c r="L720" s="9" t="inlineStr">
        <is>
          <t>1</t>
        </is>
      </c>
      <c r="M720" s="9" t="inlineStr">
        <is>
          <t>1</t>
        </is>
      </c>
      <c r="N720" s="9" t="inlineStr">
        <is>
          <t>1</t>
        </is>
      </c>
      <c r="O720" s="10" t="inlineStr">
        <is>
          <t>0</t>
        </is>
      </c>
      <c r="P720" s="10" t="inlineStr">
        <is>
          <t>0</t>
        </is>
      </c>
      <c r="Q720" s="10" t="inlineStr">
        <is>
          <t>0</t>
        </is>
      </c>
      <c r="R720" s="10" t="inlineStr">
        <is>
          <t>1</t>
        </is>
      </c>
      <c r="S720" s="10" t="inlineStr">
        <is>
          <t>1</t>
        </is>
      </c>
    </row>
    <row r="721" ht="409.5" customHeight="1">
      <c r="A721" s="6">
        <f>IFERROR(__xludf.DUMMYFUNCTION("""COMPUTED_VALUE"""),"Why I don't prefer vinegar on my fries")</f>
        <v/>
      </c>
      <c r="B721" s="6">
        <f>IFERROR(__xludf.DUMMYFUNCTION("""COMPUTED_VALUE"""),"Application")</f>
        <v/>
      </c>
      <c r="C721" s="6">
        <f>IFERROR(__xludf.DUMMYFUNCTION("""COMPUTED_VALUE"""),"Conclusion Tool")</f>
        <v/>
      </c>
      <c r="D721" s="7">
        <f>IFERROR(__xludf.DUMMYFUNCTION("""COMPUTED_VALUE"""),"No task description")</f>
        <v/>
      </c>
      <c r="E72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21" s="7" t="inlineStr">
        <is>
          <t>Students review a video, write observations, and share conclusions. Embedded artifacts include note-taking and conclusion tools in Golabz app/lab.</t>
        </is>
      </c>
      <c r="G721" s="8" t="inlineStr">
        <is>
          <t>0</t>
        </is>
      </c>
      <c r="H721" s="8" t="inlineStr">
        <is>
          <t>1</t>
        </is>
      </c>
      <c r="I721" s="8" t="inlineStr">
        <is>
          <t>1</t>
        </is>
      </c>
      <c r="J721" s="8" t="inlineStr">
        <is>
          <t>1</t>
        </is>
      </c>
      <c r="K721" s="9" t="inlineStr">
        <is>
          <t>1</t>
        </is>
      </c>
      <c r="L721" s="9" t="inlineStr">
        <is>
          <t>0</t>
        </is>
      </c>
      <c r="M721" s="9" t="inlineStr">
        <is>
          <t>0</t>
        </is>
      </c>
      <c r="N721" s="9" t="inlineStr">
        <is>
          <t>0</t>
        </is>
      </c>
      <c r="O721" s="10" t="inlineStr">
        <is>
          <t>0</t>
        </is>
      </c>
      <c r="P721" s="10" t="inlineStr">
        <is>
          <t>1</t>
        </is>
      </c>
      <c r="Q721" s="10" t="inlineStr">
        <is>
          <t>1</t>
        </is>
      </c>
      <c r="R721" s="10" t="inlineStr">
        <is>
          <t>1</t>
        </is>
      </c>
      <c r="S721" s="10" t="inlineStr">
        <is>
          <t>0</t>
        </is>
      </c>
    </row>
    <row r="722" ht="409.5" customHeight="1">
      <c r="A722" s="6">
        <f>IFERROR(__xludf.DUMMYFUNCTION("""COMPUTED_VALUE"""),"Why I don't prefer vinegar on my fries")</f>
        <v/>
      </c>
      <c r="B722" s="6">
        <f>IFERROR(__xludf.DUMMYFUNCTION("""COMPUTED_VALUE"""),"Space")</f>
        <v/>
      </c>
      <c r="C722" s="6">
        <f>IFERROR(__xludf.DUMMYFUNCTION("""COMPUTED_VALUE"""),"Discussion")</f>
        <v/>
      </c>
      <c r="D722" s="7">
        <f>IFERROR(__xludf.DUMMYFUNCTION("""COMPUTED_VALUE"""),"&lt;p&gt;Use the Padlet to discuss your investigation and your results. Review your original hypothesis and post the modified hypothesis if you rewrote it. &lt;/p&gt;&lt;p&gt;&lt;br&gt;&lt;/p&gt;&lt;p&gt;Use your new knowledge to connect this information to the original question &lt;/p&gt;&lt;p&gt;""Ho"&amp;"w do you think the statue came to be like this?""&lt;/p&gt;&lt;p&gt;&lt;br&gt;&lt;/p&gt;&lt;p&gt;Now expand your discussion to research the BIG question&lt;/p&gt;&lt;p&gt;""Earth is a system of systems which influences and is influenced by life on the planet"".&lt;/p&gt;&lt;p&gt;&lt;br&gt;&lt;/p&gt;&lt;p&gt;And finally what d"&amp;"id your team observe about the data submitted by each group&lt;/p&gt;&lt;p&gt;&lt;br&gt;&lt;/p&gt;&lt;p&gt;Add pictures, posters, text, your investigation video to support your discussion. &lt;/p&gt;")</f>
        <v/>
      </c>
      <c r="E722" s="7">
        <f>IFERROR(__xludf.DUMMYFUNCTION("""COMPUTED_VALUE"""),"No artifact embedded")</f>
        <v/>
      </c>
      <c r="F722" s="7" t="inlineStr">
        <is>
          <t>Students share conclusions using apps, considering original hypotheses and data, with optional configuration and discussion on Padlet.</t>
        </is>
      </c>
      <c r="G722" s="8" t="inlineStr">
        <is>
          <t>0</t>
        </is>
      </c>
      <c r="H722" s="8" t="inlineStr">
        <is>
          <t>1</t>
        </is>
      </c>
      <c r="I722" s="8" t="inlineStr">
        <is>
          <t>1</t>
        </is>
      </c>
      <c r="J722" s="8" t="inlineStr">
        <is>
          <t>1</t>
        </is>
      </c>
      <c r="K722" s="9" t="inlineStr">
        <is>
          <t>0</t>
        </is>
      </c>
      <c r="L722" s="9" t="inlineStr">
        <is>
          <t>0</t>
        </is>
      </c>
      <c r="M722" s="9" t="inlineStr">
        <is>
          <t>1</t>
        </is>
      </c>
      <c r="N722" s="9" t="inlineStr">
        <is>
          <t>1</t>
        </is>
      </c>
      <c r="O722" s="10" t="inlineStr">
        <is>
          <t>0</t>
        </is>
      </c>
      <c r="P722" s="10" t="inlineStr">
        <is>
          <t>1</t>
        </is>
      </c>
      <c r="Q722" s="10" t="inlineStr">
        <is>
          <t>1</t>
        </is>
      </c>
      <c r="R722" s="10" t="inlineStr">
        <is>
          <t>1</t>
        </is>
      </c>
      <c r="S722" s="10" t="inlineStr">
        <is>
          <t>1</t>
        </is>
      </c>
    </row>
    <row r="723" ht="49" customHeight="1">
      <c r="A723" s="6">
        <f>IFERROR(__xludf.DUMMYFUNCTION("""COMPUTED_VALUE"""),"Why I don't prefer vinegar on my fries")</f>
        <v/>
      </c>
      <c r="B723" s="6">
        <f>IFERROR(__xludf.DUMMYFUNCTION("""COMPUTED_VALUE"""),"Application")</f>
        <v/>
      </c>
      <c r="C723" s="6">
        <f>IFERROR(__xludf.DUMMYFUNCTION("""COMPUTED_VALUE"""),"Padlet")</f>
        <v/>
      </c>
      <c r="D723" s="7">
        <f>IFERROR(__xludf.DUMMYFUNCTION("""COMPUTED_VALUE"""),"No task description")</f>
        <v/>
      </c>
      <c r="E723" s="7">
        <f>IFERROR(__xludf.DUMMYFUNCTION("""COMPUTED_VALUE"""),"Golabz app/lab: Wrong URL. Impossible to access it")</f>
        <v/>
      </c>
      <c r="F723" s="7" t="inlineStr">
        <is>
          <t>Students received tasks and used tools like Golabz and Padlet to analyze data, discuss investigations, and validate hypotheses.</t>
        </is>
      </c>
      <c r="G723" s="8" t="inlineStr">
        <is>
          <t>1</t>
        </is>
      </c>
      <c r="H723" s="8" t="inlineStr">
        <is>
          <t>0</t>
        </is>
      </c>
      <c r="I723" s="8" t="inlineStr">
        <is>
          <t>0</t>
        </is>
      </c>
      <c r="J723" s="8" t="inlineStr">
        <is>
          <t>0</t>
        </is>
      </c>
      <c r="K723" s="9" t="inlineStr">
        <is>
          <t>0</t>
        </is>
      </c>
      <c r="L723" s="9" t="inlineStr">
        <is>
          <t>0</t>
        </is>
      </c>
      <c r="M723" s="9" t="inlineStr">
        <is>
          <t>0</t>
        </is>
      </c>
      <c r="N723" s="9" t="inlineStr">
        <is>
          <t>0</t>
        </is>
      </c>
      <c r="O723" s="10" t="inlineStr">
        <is>
          <t>0</t>
        </is>
      </c>
      <c r="P723" s="10" t="inlineStr">
        <is>
          <t>0</t>
        </is>
      </c>
      <c r="Q723" s="10" t="inlineStr">
        <is>
          <t>0</t>
        </is>
      </c>
      <c r="R723" s="10" t="inlineStr">
        <is>
          <t>0</t>
        </is>
      </c>
      <c r="S723" s="10" t="inlineStr">
        <is>
          <t>0</t>
        </is>
      </c>
    </row>
    <row r="724" ht="307" customHeight="1">
      <c r="A724" s="6">
        <f>IFERROR(__xludf.DUMMYFUNCTION("""COMPUTED_VALUE"""),"Electrical Circuits (Cooperative Jigsaw Scenario)")</f>
        <v/>
      </c>
      <c r="B724" s="6">
        <f>IFERROR(__xludf.DUMMYFUNCTION("""COMPUTED_VALUE"""),"Space")</f>
        <v/>
      </c>
      <c r="C724" s="6">
        <f>IFERROR(__xludf.DUMMYFUNCTION("""COMPUTED_VALUE"""),"Orientation")</f>
        <v/>
      </c>
      <c r="D724" s="7">
        <f>IFERROR(__xludf.DUMMYFUNCTION("""COMPUTED_VALUE"""),"&lt;p&gt;Dear students, &lt;/p&gt;&lt;p&gt;In this learning environment you will work in groups to learn about electrical circuits. Each member of your group will gain important information, necessary for the final understanding of your group. Follow carefully the instruct"&amp;"ions in the learning environment and ask your teacher for further support whenever needed.&lt;/p&gt;")</f>
        <v/>
      </c>
      <c r="E724" s="7">
        <f>IFERROR(__xludf.DUMMYFUNCTION("""COMPUTED_VALUE"""),"No artifact embedded")</f>
        <v/>
      </c>
      <c r="F724" s="7" t="inlineStr">
        <is>
          <t>Students discuss investigation results, modify hypotheses, and research the Earth's systems. Embedded artifacts include Padlet discussions, videos, and images, but no other items have accessible links or embedded content.</t>
        </is>
      </c>
      <c r="G724" s="8" t="inlineStr">
        <is>
          <t>0</t>
        </is>
      </c>
      <c r="H724" s="8" t="inlineStr">
        <is>
          <t>0</t>
        </is>
      </c>
      <c r="I724" s="8" t="inlineStr">
        <is>
          <t>0</t>
        </is>
      </c>
      <c r="J724" s="8" t="inlineStr">
        <is>
          <t>0</t>
        </is>
      </c>
      <c r="K724" s="9" t="inlineStr">
        <is>
          <t>0</t>
        </is>
      </c>
      <c r="L724" s="9" t="inlineStr">
        <is>
          <t>0</t>
        </is>
      </c>
      <c r="M724" s="9" t="inlineStr">
        <is>
          <t>1</t>
        </is>
      </c>
      <c r="N724" s="9" t="inlineStr">
        <is>
          <t>1</t>
        </is>
      </c>
      <c r="O724" s="10" t="inlineStr">
        <is>
          <t>0</t>
        </is>
      </c>
      <c r="P724" s="10" t="inlineStr">
        <is>
          <t>0</t>
        </is>
      </c>
      <c r="Q724" s="10" t="inlineStr">
        <is>
          <t>0</t>
        </is>
      </c>
      <c r="R724" s="10" t="inlineStr">
        <is>
          <t>0</t>
        </is>
      </c>
      <c r="S724" s="10" t="inlineStr">
        <is>
          <t>0</t>
        </is>
      </c>
    </row>
    <row r="725" ht="274" customHeight="1">
      <c r="A725" s="6">
        <f>IFERROR(__xludf.DUMMYFUNCTION("""COMPUTED_VALUE"""),"Electrical Circuits (Cooperative Jigsaw Scenario)")</f>
        <v/>
      </c>
      <c r="B725" s="6">
        <f>IFERROR(__xludf.DUMMYFUNCTION("""COMPUTED_VALUE"""),"Resource")</f>
        <v/>
      </c>
      <c r="C725" s="6">
        <f>IFERROR(__xludf.DUMMYFUNCTION("""COMPUTED_VALUE"""),"Battery-wire-bulb.png")</f>
        <v/>
      </c>
      <c r="D725" s="7">
        <f>IFERROR(__xludf.DUMMYFUNCTION("""COMPUTED_VALUE"""),"&lt;p&gt;&lt;strong&gt;Step 1&lt;/strong&gt;&lt;/p&gt;&lt;p&gt;Can you make a bulb light up using a battery and a wire? Could this be possible? Discuss in your group and if necessary, ask your teacher to provide you with real materials, in order to test if you can create a circuit. Th"&amp;"en, write an operational definition for the simple electrical circuit.&lt;/p&gt;")</f>
        <v/>
      </c>
      <c r="E725" s="7">
        <f>IFERROR(__xludf.DUMMYFUNCTION("""COMPUTED_VALUE"""),"image/png – A high-quality image with support for transparency, often used in design and web applications.")</f>
        <v/>
      </c>
      <c r="F725" s="7" t="inlineStr">
        <is>
          <t>Students work in groups on electrical circuits, following instructions and seeking teacher support. Embedded artifacts include a problematic URL, no artifact, and a PNG image.</t>
        </is>
      </c>
      <c r="G725" s="8" t="inlineStr">
        <is>
          <t>0</t>
        </is>
      </c>
      <c r="H725" s="8" t="inlineStr">
        <is>
          <t>1</t>
        </is>
      </c>
      <c r="I725" s="8" t="inlineStr">
        <is>
          <t>1</t>
        </is>
      </c>
      <c r="J725" s="8" t="inlineStr">
        <is>
          <t>1</t>
        </is>
      </c>
      <c r="K725" s="9" t="inlineStr">
        <is>
          <t>0</t>
        </is>
      </c>
      <c r="L725" s="9" t="inlineStr">
        <is>
          <t>0</t>
        </is>
      </c>
      <c r="M725" s="9" t="inlineStr">
        <is>
          <t>1</t>
        </is>
      </c>
      <c r="N725" s="9" t="inlineStr">
        <is>
          <t>1</t>
        </is>
      </c>
      <c r="O725" s="10" t="inlineStr">
        <is>
          <t>1</t>
        </is>
      </c>
      <c r="P725" s="10" t="inlineStr">
        <is>
          <t>1</t>
        </is>
      </c>
      <c r="Q725" s="10" t="inlineStr">
        <is>
          <t>1</t>
        </is>
      </c>
      <c r="R725" s="10" t="inlineStr">
        <is>
          <t>0</t>
        </is>
      </c>
      <c r="S725" s="10" t="inlineStr">
        <is>
          <t>1</t>
        </is>
      </c>
    </row>
    <row r="726" ht="329" customHeight="1">
      <c r="A726" s="6">
        <f>IFERROR(__xludf.DUMMYFUNCTION("""COMPUTED_VALUE"""),"Electrical Circuits (Cooperative Jigsaw Scenario)")</f>
        <v/>
      </c>
      <c r="B726" s="6">
        <f>IFERROR(__xludf.DUMMYFUNCTION("""COMPUTED_VALUE"""),"Application")</f>
        <v/>
      </c>
      <c r="C726" s="6">
        <f>IFERROR(__xludf.DUMMYFUNCTION("""COMPUTED_VALUE"""),"Input Box")</f>
        <v/>
      </c>
      <c r="D726" s="7">
        <f>IFERROR(__xludf.DUMMYFUNCTION("""COMPUTED_VALUE"""),"&lt;p&gt;Our group definition of the electrical circuit: &lt;/p&gt;")</f>
        <v/>
      </c>
      <c r="E7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6" s="7" t="inlineStr">
        <is>
          <t>Students work in groups to learn about electrical circuits, following instructions and asking teachers for support when needed, with embedded artifacts including images and interactive apps like Golabz.</t>
        </is>
      </c>
      <c r="G726" s="8" t="inlineStr">
        <is>
          <t>0</t>
        </is>
      </c>
      <c r="H726" s="8" t="inlineStr">
        <is>
          <t>1</t>
        </is>
      </c>
      <c r="I726" s="8" t="inlineStr">
        <is>
          <t>1</t>
        </is>
      </c>
      <c r="J726" s="8" t="inlineStr">
        <is>
          <t>1</t>
        </is>
      </c>
      <c r="K726" s="9" t="inlineStr">
        <is>
          <t>0</t>
        </is>
      </c>
      <c r="L726" s="9" t="inlineStr">
        <is>
          <t>0</t>
        </is>
      </c>
      <c r="M726" s="9" t="inlineStr">
        <is>
          <t>1</t>
        </is>
      </c>
      <c r="N726" s="9" t="inlineStr">
        <is>
          <t>1</t>
        </is>
      </c>
      <c r="O726" s="10" t="inlineStr">
        <is>
          <t>0</t>
        </is>
      </c>
      <c r="P726" s="10" t="inlineStr">
        <is>
          <t>0</t>
        </is>
      </c>
      <c r="Q726" s="10" t="inlineStr">
        <is>
          <t>0</t>
        </is>
      </c>
      <c r="R726" s="10" t="inlineStr">
        <is>
          <t>0</t>
        </is>
      </c>
      <c r="S726" s="10" t="inlineStr">
        <is>
          <t>1</t>
        </is>
      </c>
    </row>
    <row r="727" ht="409.5" customHeight="1">
      <c r="A727" s="6">
        <f>IFERROR(__xludf.DUMMYFUNCTION("""COMPUTED_VALUE"""),"Electrical Circuits (Cooperative Jigsaw Scenario)")</f>
        <v/>
      </c>
      <c r="B727" s="6">
        <f>IFERROR(__xludf.DUMMYFUNCTION("""COMPUTED_VALUE"""),"Resource")</f>
        <v/>
      </c>
      <c r="C727" s="6">
        <f>IFERROR(__xludf.DUMMYFUNCTION("""COMPUTED_VALUE"""),"Read the following text to check if your definition is in line with the scientific definition of the electrical circuit.graasp")</f>
        <v/>
      </c>
      <c r="D727" s="7">
        <f>IFERROR(__xludf.DUMMYFUNCTION("""COMPUTED_VALUE"""),"&lt;p&gt;In order for a bulb to light up, we need to have a wire, a battery, and a bulb connected in a proper way to create a close circuit. This arrangement is called a “&lt;strong&gt;simple electrical circuit&lt;/strong&gt;"". Each of the three electrical elements of the"&amp;" simple electric circuit (namely, the wire, the battery, and the bulb) has two electrical ends, which are called “&lt;strong&gt;conductive parts&lt;/strong&gt;"". Conductive parts must connect in series in a closed circular arrangement. This means that one of the con"&amp;"ductive parts of the battery needs to connect to a conductive part of the bulb. The free part of the bulb connects to an end of the wire and the free end of the wire connects to the free part of the battery. The battery creates a&lt;strong&gt; potential differe"&amp;"nce&lt;/strong&gt;, which is called “&lt;strong&gt;voltage&lt;/strong&gt;"", and forces electrons to flow from the negative to the positive side of the battery. More specifically, the chemical reactions in a battery cause a buildup of electrons at the negative pole of the "&amp;"battery and thus there is an electrical difference between the two sides (the negative and the positive). The electrons want to move to a place with fewer electrons, but this cannot be done through the battery. When a circuit is closed (that means the two"&amp;" sides of a battery are connected with a conductive material) electrons find a way to move from the negative to the positive side.&lt;/p&gt;")</f>
        <v/>
      </c>
      <c r="E727" s="7">
        <f>IFERROR(__xludf.DUMMYFUNCTION("""COMPUTED_VALUE"""),"No artifact embedded")</f>
        <v/>
      </c>
      <c r="F727" s="7" t="inlineStr">
        <is>
          <t>Students create and test simple electrical circuits, then write operational definitions. Embedded artifacts include images and interactive apps for note-taking and collaboration.</t>
        </is>
      </c>
      <c r="G727" s="8" t="inlineStr">
        <is>
          <t>1</t>
        </is>
      </c>
      <c r="H727" s="8" t="inlineStr">
        <is>
          <t>0</t>
        </is>
      </c>
      <c r="I727" s="8" t="inlineStr">
        <is>
          <t>0</t>
        </is>
      </c>
      <c r="J727" s="8" t="inlineStr">
        <is>
          <t>0</t>
        </is>
      </c>
      <c r="K727" s="9" t="inlineStr">
        <is>
          <t>0</t>
        </is>
      </c>
      <c r="L727" s="9" t="inlineStr">
        <is>
          <t>0</t>
        </is>
      </c>
      <c r="M727" s="9" t="inlineStr">
        <is>
          <t>0</t>
        </is>
      </c>
      <c r="N727" s="9" t="inlineStr">
        <is>
          <t>0</t>
        </is>
      </c>
      <c r="O727" s="10" t="inlineStr">
        <is>
          <t>0</t>
        </is>
      </c>
      <c r="P727" s="10" t="inlineStr">
        <is>
          <t>0</t>
        </is>
      </c>
      <c r="Q727" s="10" t="inlineStr">
        <is>
          <t>0</t>
        </is>
      </c>
      <c r="R727" s="10" t="inlineStr">
        <is>
          <t>0</t>
        </is>
      </c>
      <c r="S727" s="10" t="inlineStr">
        <is>
          <t>0</t>
        </is>
      </c>
    </row>
    <row r="728" ht="121" customHeight="1">
      <c r="A728" s="6">
        <f>IFERROR(__xludf.DUMMYFUNCTION("""COMPUTED_VALUE"""),"Electrical Circuits (Cooperative Jigsaw Scenario)")</f>
        <v/>
      </c>
      <c r="B728" s="6">
        <f>IFERROR(__xludf.DUMMYFUNCTION("""COMPUTED_VALUE"""),"Resource")</f>
        <v/>
      </c>
      <c r="C728" s="6">
        <f>IFERROR(__xludf.DUMMYFUNCTION("""COMPUTED_VALUE"""),"Types of Electrical Circuits")</f>
        <v/>
      </c>
      <c r="D728" s="7">
        <f>IFERROR(__xludf.DUMMYFUNCTION("""COMPUTED_VALUE"""),"&lt;p&gt;&lt;strong&gt;Step 2&lt;/strong&gt;&lt;/p&gt;&lt;p&gt;Watch the following video to learn more about the type of electrical circuits.&lt;/p&gt;")</f>
        <v/>
      </c>
      <c r="E728" s="7">
        <f>IFERROR(__xludf.DUMMYFUNCTION("""COMPUTED_VALUE"""),"youtube.com: A widely known video-sharing platform where users can watch videos on a vast array of topics, including educational content.")</f>
        <v/>
      </c>
      <c r="F728" s="7" t="inlineStr">
        <is>
          <t>Students were instructed on simple electrical circuits and used embedded artifacts like Golabz app and YouTube for learning.</t>
        </is>
      </c>
      <c r="G728" s="8" t="inlineStr">
        <is>
          <t>1</t>
        </is>
      </c>
      <c r="H728" s="8" t="inlineStr">
        <is>
          <t>0</t>
        </is>
      </c>
      <c r="I728" s="8" t="inlineStr">
        <is>
          <t>0</t>
        </is>
      </c>
      <c r="J728" s="8" t="inlineStr">
        <is>
          <t>0</t>
        </is>
      </c>
      <c r="K728" s="9" t="inlineStr">
        <is>
          <t>1</t>
        </is>
      </c>
      <c r="L728" s="9" t="inlineStr">
        <is>
          <t>0</t>
        </is>
      </c>
      <c r="M728" s="9" t="inlineStr">
        <is>
          <t>0</t>
        </is>
      </c>
      <c r="N728" s="9" t="inlineStr">
        <is>
          <t>0</t>
        </is>
      </c>
      <c r="O728" s="10" t="inlineStr">
        <is>
          <t>0</t>
        </is>
      </c>
      <c r="P728" s="10" t="inlineStr">
        <is>
          <t>0</t>
        </is>
      </c>
      <c r="Q728" s="10" t="inlineStr">
        <is>
          <t>0</t>
        </is>
      </c>
      <c r="R728" s="10" t="inlineStr">
        <is>
          <t>0</t>
        </is>
      </c>
      <c r="S728" s="10" t="inlineStr">
        <is>
          <t>0</t>
        </is>
      </c>
    </row>
    <row r="729" ht="409.5" customHeight="1">
      <c r="A729" s="6">
        <f>IFERROR(__xludf.DUMMYFUNCTION("""COMPUTED_VALUE"""),"Electrical Circuits (Cooperative Jigsaw Scenario)")</f>
        <v/>
      </c>
      <c r="B729" s="6">
        <f>IFERROR(__xludf.DUMMYFUNCTION("""COMPUTED_VALUE"""),"Application")</f>
        <v/>
      </c>
      <c r="C729" s="6">
        <f>IFERROR(__xludf.DUMMYFUNCTION("""COMPUTED_VALUE"""),"Electrical Circuit Lab")</f>
        <v/>
      </c>
      <c r="D729" s="7">
        <f>IFERROR(__xludf.DUMMYFUNCTION("""COMPUTED_VALUE"""),"&lt;p&gt;&lt;strong&gt;Step 3&lt;/strong&gt;&lt;/p&gt;&lt;p&gt;The virtual lab below is the one that you will use in the investigation phase of this lesson to conduct experiments to learn more about electrical circuits. Your teacher will demonstrate how the lab works. After the demons"&amp;"tration create three circuits in collaboration with your peers: a simple electrical circuit, a circuit with two bulbs connected in series and a circuit with two bulbs connected in parallel.&lt;/p&gt;")</f>
        <v/>
      </c>
      <c r="E729"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29" s="7" t="inlineStr">
        <is>
          <t>Instructions: Create simple electrical circuits. Artifacts: video, virtual lab (Golabz app).</t>
        </is>
      </c>
      <c r="G729" s="8" t="inlineStr">
        <is>
          <t>0</t>
        </is>
      </c>
      <c r="H729" s="8" t="inlineStr">
        <is>
          <t>1</t>
        </is>
      </c>
      <c r="I729" s="8" t="inlineStr">
        <is>
          <t>1</t>
        </is>
      </c>
      <c r="J729" s="8" t="inlineStr">
        <is>
          <t>1</t>
        </is>
      </c>
      <c r="K729" s="9" t="inlineStr">
        <is>
          <t>0</t>
        </is>
      </c>
      <c r="L729" s="9" t="inlineStr">
        <is>
          <t>0</t>
        </is>
      </c>
      <c r="M729" s="9" t="inlineStr">
        <is>
          <t>1</t>
        </is>
      </c>
      <c r="N729" s="9" t="inlineStr">
        <is>
          <t>1</t>
        </is>
      </c>
      <c r="O729" s="10" t="inlineStr">
        <is>
          <t>0</t>
        </is>
      </c>
      <c r="P729" s="10" t="inlineStr">
        <is>
          <t>0</t>
        </is>
      </c>
      <c r="Q729" s="10" t="inlineStr">
        <is>
          <t>1</t>
        </is>
      </c>
      <c r="R729" s="10" t="inlineStr">
        <is>
          <t>0</t>
        </is>
      </c>
      <c r="S729" s="10" t="inlineStr">
        <is>
          <t>0</t>
        </is>
      </c>
    </row>
    <row r="730" ht="145" customHeight="1">
      <c r="A730" s="6">
        <f>IFERROR(__xludf.DUMMYFUNCTION("""COMPUTED_VALUE"""),"Electrical Circuits (Cooperative Jigsaw Scenario)")</f>
        <v/>
      </c>
      <c r="B730" s="6">
        <f>IFERROR(__xludf.DUMMYFUNCTION("""COMPUTED_VALUE"""),"Resource")</f>
        <v/>
      </c>
      <c r="C730" s="6">
        <f>IFERROR(__xludf.DUMMYFUNCTION("""COMPUTED_VALUE"""),"End of the phase.graasp")</f>
        <v/>
      </c>
      <c r="D730" s="7">
        <f>IFERROR(__xludf.DUMMYFUNCTION("""COMPUTED_VALUE"""),"&lt;p style=""text-align: center;""&gt;&lt;strong&gt;If all the members of your group are familiar with the Electrical circuit lab then move to the next phase.&lt;/strong&gt;&lt;/p&gt;")</f>
        <v/>
      </c>
      <c r="E730" s="7">
        <f>IFERROR(__xludf.DUMMYFUNCTION("""COMPUTED_VALUE"""),"No artifact embedded")</f>
        <v/>
      </c>
      <c r="F730" s="7" t="inlineStr">
        <is>
          <t>Students watch a video, conduct experiments on electrical circuits using Golabz app/lab, and create circuits in collaboration with peers.</t>
        </is>
      </c>
      <c r="G730" s="8" t="inlineStr">
        <is>
          <t>0</t>
        </is>
      </c>
      <c r="H730" s="8" t="inlineStr">
        <is>
          <t>0</t>
        </is>
      </c>
      <c r="I730" s="8" t="inlineStr">
        <is>
          <t>0</t>
        </is>
      </c>
      <c r="J730" s="8" t="inlineStr">
        <is>
          <t>0</t>
        </is>
      </c>
      <c r="K730" s="9" t="inlineStr">
        <is>
          <t>0</t>
        </is>
      </c>
      <c r="L730" s="9" t="inlineStr">
        <is>
          <t>0</t>
        </is>
      </c>
      <c r="M730" s="9" t="inlineStr">
        <is>
          <t>1</t>
        </is>
      </c>
      <c r="N730" s="9" t="inlineStr">
        <is>
          <t>0</t>
        </is>
      </c>
      <c r="O730" s="10" t="inlineStr">
        <is>
          <t>0</t>
        </is>
      </c>
      <c r="P730" s="10" t="inlineStr">
        <is>
          <t>0</t>
        </is>
      </c>
      <c r="Q730" s="10" t="inlineStr">
        <is>
          <t>0</t>
        </is>
      </c>
      <c r="R730" s="10" t="inlineStr">
        <is>
          <t>0</t>
        </is>
      </c>
      <c r="S730" s="10" t="inlineStr">
        <is>
          <t>0</t>
        </is>
      </c>
    </row>
    <row r="731" ht="409.5" customHeight="1">
      <c r="A731" s="6">
        <f>IFERROR(__xludf.DUMMYFUNCTION("""COMPUTED_VALUE"""),"Electrical Circuits (Cooperative Jigsaw Scenario)")</f>
        <v/>
      </c>
      <c r="B731" s="6">
        <f>IFERROR(__xludf.DUMMYFUNCTION("""COMPUTED_VALUE"""),"Space")</f>
        <v/>
      </c>
      <c r="C731" s="6">
        <f>IFERROR(__xludf.DUMMYFUNCTION("""COMPUTED_VALUE"""),"Hypothesis")</f>
        <v/>
      </c>
      <c r="D731" s="7">
        <f>IFERROR(__xludf.DUMMYFUNCTION("""COMPUTED_VALUE"""),"&lt;p&gt;Welcome to the Hypothesis phase. Your goal here is to &lt;strong&gt;formulate specific hypotheses&lt;/strong&gt; to be tested later in the virtual lab. Since the topic of your study has several aspects to be tested, you have to discuss them with your group members"&amp;" and then split the tasks. The exciting thing is that each member of your group will have the opportunity to collaborate with other peers. Follow carefully the steps below and don’t forget that your teacher can help you any time you ask for it.&lt;/p&gt;&lt;p&gt;&lt;br&gt;"&amp;"&lt;/p&gt;&lt;p&gt;&lt;strong&gt;Step 1&lt;/strong&gt;&lt;/p&gt;&lt;p&gt;Discuss in your group the following questions: &lt;/p&gt;&lt;p&gt;- In how many ways elements can be connected with a battery in order to create a circuit? &lt;/p&gt;&lt;p&gt;- What happens if we continue adding elements on a circuit?&lt;/p&gt;&lt;p&gt;-"&amp;" Does the electric current change each time we add an element on a circuit? &lt;/p&gt;&lt;p&gt;- What happens to the electric current if we increase the voltage?&lt;/p&gt;")</f>
        <v/>
      </c>
      <c r="E731" s="7">
        <f>IFERROR(__xludf.DUMMYFUNCTION("""COMPUTED_VALUE"""),"No artifact embedded")</f>
        <v/>
      </c>
      <c r="F731" s="7" t="inlineStr">
        <is>
          <t>Students create circuits, conduct experiments, and formulate hypotheses in collaboration with peers using the Golabz app's Electrical Circuit Lab.</t>
        </is>
      </c>
      <c r="G731" s="8" t="inlineStr">
        <is>
          <t>0</t>
        </is>
      </c>
      <c r="H731" s="8" t="inlineStr">
        <is>
          <t>0</t>
        </is>
      </c>
      <c r="I731" s="8" t="inlineStr">
        <is>
          <t>1</t>
        </is>
      </c>
      <c r="J731" s="8" t="inlineStr">
        <is>
          <t>1</t>
        </is>
      </c>
      <c r="K731" s="9" t="inlineStr">
        <is>
          <t>0</t>
        </is>
      </c>
      <c r="L731" s="9" t="inlineStr">
        <is>
          <t>0</t>
        </is>
      </c>
      <c r="M731" s="9" t="inlineStr">
        <is>
          <t>1</t>
        </is>
      </c>
      <c r="N731" s="9" t="inlineStr">
        <is>
          <t>1</t>
        </is>
      </c>
      <c r="O731" s="10" t="inlineStr">
        <is>
          <t>1</t>
        </is>
      </c>
      <c r="P731" s="10" t="inlineStr">
        <is>
          <t>1</t>
        </is>
      </c>
      <c r="Q731" s="10" t="inlineStr">
        <is>
          <t>1</t>
        </is>
      </c>
      <c r="R731" s="10" t="inlineStr">
        <is>
          <t>0</t>
        </is>
      </c>
      <c r="S731" s="10" t="inlineStr">
        <is>
          <t>1</t>
        </is>
      </c>
    </row>
    <row r="732" ht="362" customHeight="1">
      <c r="A732" s="6">
        <f>IFERROR(__xludf.DUMMYFUNCTION("""COMPUTED_VALUE"""),"Electrical Circuits (Cooperative Jigsaw Scenario)")</f>
        <v/>
      </c>
      <c r="B732" s="6">
        <f>IFERROR(__xludf.DUMMYFUNCTION("""COMPUTED_VALUE"""),"Application")</f>
        <v/>
      </c>
      <c r="C732" s="6">
        <f>IFERROR(__xludf.DUMMYFUNCTION("""COMPUTED_VALUE"""),"Input Box")</f>
        <v/>
      </c>
      <c r="D732" s="7">
        <f>IFERROR(__xludf.DUMMYFUNCTION("""COMPUTED_VALUE"""),"&lt;p&gt;&lt;strong&gt;Step 2&lt;/strong&gt;&lt;/p&gt;&lt;p&gt;&lt;strong&gt;&lt;span&gt;&lt;/span&gt;&lt;/strong&gt;If you are struggling to give clear answers to the above questions do not worry. At the end of the lesson your group will be able to provide clear and evidence-based answers. For now, the only"&amp;" thing that you need to do is to write down the main concepts that you think are related to the electrical circuits.&lt;/p&gt;&lt;p&gt;&lt;br&gt;&lt;/p&gt;&lt;p&gt;&lt;span&gt;&lt;/span&gt;&lt;strong&gt;Main concepts&lt;/strong&gt;&lt;/p&gt;")</f>
        <v/>
      </c>
      <c r="E7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32" s="7" t="inlineStr">
        <is>
          <t>Students discuss electrical circuits, formulate hypotheses, and take notes using the Golabz app/lab, with no embedded artifacts in Items 1 and 2.</t>
        </is>
      </c>
      <c r="G732" s="8" t="inlineStr">
        <is>
          <t>0</t>
        </is>
      </c>
      <c r="H732" s="8" t="inlineStr">
        <is>
          <t>1</t>
        </is>
      </c>
      <c r="I732" s="8" t="inlineStr">
        <is>
          <t>1</t>
        </is>
      </c>
      <c r="J732" s="8" t="inlineStr">
        <is>
          <t>1</t>
        </is>
      </c>
      <c r="K732" s="9" t="inlineStr">
        <is>
          <t>0</t>
        </is>
      </c>
      <c r="L732" s="9" t="inlineStr">
        <is>
          <t>1</t>
        </is>
      </c>
      <c r="M732" s="9" t="inlineStr">
        <is>
          <t>1</t>
        </is>
      </c>
      <c r="N732" s="9" t="inlineStr">
        <is>
          <t>1</t>
        </is>
      </c>
      <c r="O732" s="10" t="inlineStr">
        <is>
          <t>1</t>
        </is>
      </c>
      <c r="P732" s="10" t="inlineStr">
        <is>
          <t>1</t>
        </is>
      </c>
      <c r="Q732" s="10" t="inlineStr">
        <is>
          <t>0</t>
        </is>
      </c>
      <c r="R732" s="10" t="inlineStr">
        <is>
          <t>0</t>
        </is>
      </c>
      <c r="S732" s="10" t="inlineStr">
        <is>
          <t>0</t>
        </is>
      </c>
    </row>
    <row r="733" ht="409.5" customHeight="1">
      <c r="A733" s="6">
        <f>IFERROR(__xludf.DUMMYFUNCTION("""COMPUTED_VALUE"""),"Electrical Circuits (Cooperative Jigsaw Scenario)")</f>
        <v/>
      </c>
      <c r="B733" s="6">
        <f>IFERROR(__xludf.DUMMYFUNCTION("""COMPUTED_VALUE"""),"Resource")</f>
        <v/>
      </c>
      <c r="C733" s="6">
        <f>IFERROR(__xludf.DUMMYFUNCTION("""COMPUTED_VALUE"""),"Table.graasp")</f>
        <v/>
      </c>
      <c r="D733" s="7">
        <f>IFERROR(__xludf.DUMMYFUNCTION("""COMPUTED_VALUE"""),"&lt;p&gt;&lt;strong&gt;Step 3&lt;/strong&gt;&lt;/p&gt;&lt;p&gt;It is time to split the tasks between your group members! To do so you have to decide what aspects of the phenomenon each one of you will deal with. Then, based on the distribution of the tasks, each one of you will have t"&amp;"o collaborate online with members of the other groups who will investigate the same thing. Your new groups are called &lt;strong&gt;expert groups&lt;/strong&gt;. For the online communication of your expert groups you will enter the respective chat room in the tool at"&amp;" the right side of the screen by typing the room number, as shown in the table below. As soon as you do this you can move to the next step.&lt;/p&gt;")</f>
        <v/>
      </c>
      <c r="E733" s="7">
        <f>IFERROR(__xludf.DUMMYFUNCTION("""COMPUTED_VALUE"""),"No artifact embedded")</f>
        <v/>
      </c>
      <c r="F733" s="7" t="inlineStr">
        <is>
          <t>Students discuss circuit-related questions, write down main concepts, and split tasks among group members, using tools like the Golabz app/lab for note-taking and collaboration.</t>
        </is>
      </c>
      <c r="G733" s="8" t="inlineStr">
        <is>
          <t>0</t>
        </is>
      </c>
      <c r="H733" s="8" t="inlineStr">
        <is>
          <t>1</t>
        </is>
      </c>
      <c r="I733" s="8" t="inlineStr">
        <is>
          <t>1</t>
        </is>
      </c>
      <c r="J733" s="8" t="inlineStr">
        <is>
          <t>1</t>
        </is>
      </c>
      <c r="K733" s="9" t="inlineStr">
        <is>
          <t>0</t>
        </is>
      </c>
      <c r="L733" s="9" t="inlineStr">
        <is>
          <t>0</t>
        </is>
      </c>
      <c r="M733" s="9" t="inlineStr">
        <is>
          <t>1</t>
        </is>
      </c>
      <c r="N733" s="9" t="inlineStr">
        <is>
          <t>1</t>
        </is>
      </c>
      <c r="O733" s="10" t="inlineStr">
        <is>
          <t>0</t>
        </is>
      </c>
      <c r="P733" s="10" t="inlineStr">
        <is>
          <t>0</t>
        </is>
      </c>
      <c r="Q733" s="10" t="inlineStr">
        <is>
          <t>0</t>
        </is>
      </c>
      <c r="R733" s="10" t="inlineStr">
        <is>
          <t>0</t>
        </is>
      </c>
      <c r="S733" s="10" t="inlineStr">
        <is>
          <t>1</t>
        </is>
      </c>
    </row>
    <row r="734" ht="409.5" customHeight="1">
      <c r="A734" s="6">
        <f>IFERROR(__xludf.DUMMYFUNCTION("""COMPUTED_VALUE"""),"Electrical Circuits (Cooperative Jigsaw Scenario)")</f>
        <v/>
      </c>
      <c r="B734" s="6">
        <f>IFERROR(__xludf.DUMMYFUNCTION("""COMPUTED_VALUE"""),"Resource")</f>
        <v/>
      </c>
      <c r="C734" s="6">
        <f>IFERROR(__xludf.DUMMYFUNCTION("""COMPUTED_VALUE"""),"Step 4.graasp")</f>
        <v/>
      </c>
      <c r="D734" s="7">
        <f>IFERROR(__xludf.DUMMYFUNCTION("""COMPUTED_VALUE"""),"&lt;p&gt;&lt;strong&gt;Step 4&lt;/strong&gt;&lt;/p&gt;&lt;p&gt;In the Hypothesis tool below you will formulate &lt;strong&gt;your expert group hypothesis&lt;/strong&gt;. Discuss about this task with your expert group members, in your Expert Group chat room, and then formulate the hypothesis agree"&amp;"d during your communication. &lt;/p&gt;&lt;p&gt;If you need help on how to formulate a good hypothesis, read the &lt;strong&gt;Help&lt;/strong&gt; below. If you need help on how to use the Hypothesis tool, open the help button (&lt;strong&gt;?&lt;/strong&gt;) at the bottom side of the tool."&amp;" &lt;br&gt;&lt;/p&gt;")</f>
        <v/>
      </c>
      <c r="E734" s="7">
        <f>IFERROR(__xludf.DUMMYFUNCTION("""COMPUTED_VALUE"""),"No artifact embedded")</f>
        <v/>
      </c>
      <c r="F734" s="7" t="inlineStr">
        <is>
          <t>Students write main concepts related to electrical circuits and collaborate in groups to discuss tasks, formulate hypotheses, and communicate through online chat rooms and tools.</t>
        </is>
      </c>
      <c r="G734" s="8" t="inlineStr">
        <is>
          <t>0</t>
        </is>
      </c>
      <c r="H734" s="8" t="inlineStr">
        <is>
          <t>0</t>
        </is>
      </c>
      <c r="I734" s="8" t="inlineStr">
        <is>
          <t>1</t>
        </is>
      </c>
      <c r="J734" s="8" t="inlineStr">
        <is>
          <t>1</t>
        </is>
      </c>
      <c r="K734" s="9" t="inlineStr">
        <is>
          <t>0</t>
        </is>
      </c>
      <c r="L734" s="9" t="inlineStr">
        <is>
          <t>0</t>
        </is>
      </c>
      <c r="M734" s="9" t="inlineStr">
        <is>
          <t>1</t>
        </is>
      </c>
      <c r="N734" s="9" t="inlineStr">
        <is>
          <t>1</t>
        </is>
      </c>
      <c r="O734" s="10" t="inlineStr">
        <is>
          <t>0</t>
        </is>
      </c>
      <c r="P734" s="10" t="inlineStr">
        <is>
          <t>1</t>
        </is>
      </c>
      <c r="Q734" s="10" t="inlineStr">
        <is>
          <t>1</t>
        </is>
      </c>
      <c r="R734" s="10" t="inlineStr">
        <is>
          <t>0</t>
        </is>
      </c>
      <c r="S734" s="10" t="inlineStr">
        <is>
          <t>1</t>
        </is>
      </c>
    </row>
    <row r="735" ht="409.5" customHeight="1">
      <c r="A735" s="6">
        <f>IFERROR(__xludf.DUMMYFUNCTION("""COMPUTED_VALUE"""),"Electrical Circuits (Cooperative Jigsaw Scenario)")</f>
        <v/>
      </c>
      <c r="B735" s="6">
        <f>IFERROR(__xludf.DUMMYFUNCTION("""COMPUTED_VALUE"""),"Resource")</f>
        <v/>
      </c>
      <c r="C735" s="6">
        <f>IFERROR(__xludf.DUMMYFUNCTION("""COMPUTED_VALUE"""),"Help.graasp")</f>
        <v/>
      </c>
      <c r="D735" s="7">
        <f>IFERROR(__xludf.DUMMYFUNCTION("""COMPUTED_VALUE"""),"&lt;ul&gt;&lt;li&gt;A good hypothesis can be formulated in the form of an ""&lt;strong&gt;If ... then...&lt;/strong&gt;"" statement, which will include &lt;strong&gt;one independent variable&lt;/strong&gt; and &lt;strong&gt;at least one dependent variable&lt;/strong&gt;. This is an example of how varia"&amp;"bles are linked in a hypothesis: ""&lt;strong&gt;If the independent variable increases, then the dependent variable decreases.&lt;/strong&gt;""&lt;/li&gt;&lt;li&gt;Remember that a hypothesis might not be confirmed after the experimentation. This is not a problem. Many scientific"&amp;" experiments have led to valuable knowledge because they resulted in the rejection of a hypothesis.&lt;/li&gt;&lt;/ul&gt;")</f>
        <v/>
      </c>
      <c r="E735" s="7">
        <f>IFERROR(__xludf.DUMMYFUNCTION("""COMPUTED_VALUE"""),"No artifact embedded")</f>
        <v/>
      </c>
      <c r="F735" s="7" t="inlineStr">
        <is>
          <t>Students are instructed to split tasks, collaborate online, and formulate hypotheses in expert groups using given tools, with no artifacts embedded.</t>
        </is>
      </c>
      <c r="G735" s="8" t="inlineStr">
        <is>
          <t>1</t>
        </is>
      </c>
      <c r="H735" s="8" t="inlineStr">
        <is>
          <t>0</t>
        </is>
      </c>
      <c r="I735" s="8" t="inlineStr">
        <is>
          <t>0</t>
        </is>
      </c>
      <c r="J735" s="8" t="inlineStr">
        <is>
          <t>0</t>
        </is>
      </c>
      <c r="K735" s="9" t="inlineStr">
        <is>
          <t>1</t>
        </is>
      </c>
      <c r="L735" s="9" t="inlineStr">
        <is>
          <t>0</t>
        </is>
      </c>
      <c r="M735" s="9" t="inlineStr">
        <is>
          <t>0</t>
        </is>
      </c>
      <c r="N735" s="9" t="inlineStr">
        <is>
          <t>0</t>
        </is>
      </c>
      <c r="O735" s="10" t="inlineStr">
        <is>
          <t>0</t>
        </is>
      </c>
      <c r="P735" s="10" t="inlineStr">
        <is>
          <t>1</t>
        </is>
      </c>
      <c r="Q735" s="10" t="inlineStr">
        <is>
          <t>1</t>
        </is>
      </c>
      <c r="R735" s="10" t="inlineStr">
        <is>
          <t>0</t>
        </is>
      </c>
      <c r="S735" s="10" t="inlineStr">
        <is>
          <t>0</t>
        </is>
      </c>
    </row>
    <row r="736" ht="409.5" customHeight="1">
      <c r="A736" s="6">
        <f>IFERROR(__xludf.DUMMYFUNCTION("""COMPUTED_VALUE"""),"Electrical Circuits (Cooperative Jigsaw Scenario)")</f>
        <v/>
      </c>
      <c r="B736" s="6">
        <f>IFERROR(__xludf.DUMMYFUNCTION("""COMPUTED_VALUE"""),"Application")</f>
        <v/>
      </c>
      <c r="C736" s="6">
        <f>IFERROR(__xludf.DUMMYFUNCTION("""COMPUTED_VALUE"""),"Hypothesis Scratchpad")</f>
        <v/>
      </c>
      <c r="D736" s="7">
        <f>IFERROR(__xludf.DUMMYFUNCTION("""COMPUTED_VALUE"""),"No task description")</f>
        <v/>
      </c>
      <c r="E73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36" s="7" t="inlineStr">
        <is>
          <t>Students discuss and formulate a hypothesis with group members using the Hypothesis tool, with help available. No artifacts are embedded in Items 1 and 2, but Item 3 has the Golabz app/lab's Hypothesis Scratchpad.</t>
        </is>
      </c>
      <c r="G736" s="8" t="inlineStr">
        <is>
          <t>0</t>
        </is>
      </c>
      <c r="H736" s="8" t="inlineStr">
        <is>
          <t>1</t>
        </is>
      </c>
      <c r="I736" s="8" t="inlineStr">
        <is>
          <t>1</t>
        </is>
      </c>
      <c r="J736" s="8" t="inlineStr">
        <is>
          <t>1</t>
        </is>
      </c>
      <c r="K736" s="9" t="inlineStr">
        <is>
          <t>1</t>
        </is>
      </c>
      <c r="L736" s="9" t="inlineStr">
        <is>
          <t>1</t>
        </is>
      </c>
      <c r="M736" s="9" t="inlineStr">
        <is>
          <t>1</t>
        </is>
      </c>
      <c r="N736" s="9" t="inlineStr">
        <is>
          <t>1</t>
        </is>
      </c>
      <c r="O736" s="10" t="inlineStr">
        <is>
          <t>0</t>
        </is>
      </c>
      <c r="P736" s="10" t="inlineStr">
        <is>
          <t>1</t>
        </is>
      </c>
      <c r="Q736" s="10" t="inlineStr">
        <is>
          <t>1</t>
        </is>
      </c>
      <c r="R736" s="10" t="inlineStr">
        <is>
          <t>0</t>
        </is>
      </c>
      <c r="S736" s="10" t="inlineStr">
        <is>
          <t>0</t>
        </is>
      </c>
    </row>
    <row r="737" ht="157" customHeight="1">
      <c r="A737" s="6">
        <f>IFERROR(__xludf.DUMMYFUNCTION("""COMPUTED_VALUE"""),"Electrical Circuits (Cooperative Jigsaw Scenario)")</f>
        <v/>
      </c>
      <c r="B737" s="6">
        <f>IFERROR(__xludf.DUMMYFUNCTION("""COMPUTED_VALUE"""),"Resource")</f>
        <v/>
      </c>
      <c r="C737" s="6">
        <f>IFERROR(__xludf.DUMMYFUNCTION("""COMPUTED_VALUE"""),"End of the phase.graasp")</f>
        <v/>
      </c>
      <c r="D737" s="7">
        <f>IFERROR(__xludf.DUMMYFUNCTION("""COMPUTED_VALUE"""),"&lt;p style=""text-align: center;""&gt;&lt;strong&gt;If you formulated your expert group hypothesis, move to the next phase to continue your expert group work.&lt;/strong&gt;&lt;/p&gt;")</f>
        <v/>
      </c>
      <c r="E737" s="7">
        <f>IFERROR(__xludf.DUMMYFUNCTION("""COMPUTED_VALUE"""),"No artifact embedded")</f>
        <v/>
      </c>
      <c r="F737" s="7" t="inlineStr">
        <is>
          <t>Students are instructed to formulate hypotheses using "If...then" statements and independent/dependent variables, with optional use of the Hypothesis Scratchpad tool.</t>
        </is>
      </c>
      <c r="G737" s="8" t="inlineStr">
        <is>
          <t>0</t>
        </is>
      </c>
      <c r="H737" s="8" t="inlineStr">
        <is>
          <t>0</t>
        </is>
      </c>
      <c r="I737" s="8" t="inlineStr">
        <is>
          <t>0</t>
        </is>
      </c>
      <c r="J737" s="8" t="inlineStr">
        <is>
          <t>0</t>
        </is>
      </c>
      <c r="K737" s="9" t="inlineStr">
        <is>
          <t>0</t>
        </is>
      </c>
      <c r="L737" s="9" t="inlineStr">
        <is>
          <t>0</t>
        </is>
      </c>
      <c r="M737" s="9" t="inlineStr">
        <is>
          <t>1</t>
        </is>
      </c>
      <c r="N737" s="9" t="inlineStr">
        <is>
          <t>1</t>
        </is>
      </c>
      <c r="O737" s="10" t="inlineStr">
        <is>
          <t>0</t>
        </is>
      </c>
      <c r="P737" s="10" t="inlineStr">
        <is>
          <t>0</t>
        </is>
      </c>
      <c r="Q737" s="10" t="inlineStr">
        <is>
          <t>0</t>
        </is>
      </c>
      <c r="R737" s="10" t="inlineStr">
        <is>
          <t>0</t>
        </is>
      </c>
      <c r="S737" s="10" t="inlineStr">
        <is>
          <t>0</t>
        </is>
      </c>
    </row>
    <row r="738" ht="263" customHeight="1">
      <c r="A738" s="6">
        <f>IFERROR(__xludf.DUMMYFUNCTION("""COMPUTED_VALUE"""),"Electrical Circuits (Cooperative Jigsaw Scenario)")</f>
        <v/>
      </c>
      <c r="B738" s="6">
        <f>IFERROR(__xludf.DUMMYFUNCTION("""COMPUTED_VALUE"""),"Space")</f>
        <v/>
      </c>
      <c r="C738" s="6">
        <f>IFERROR(__xludf.DUMMYFUNCTION("""COMPUTED_VALUE"""),"Experimentation")</f>
        <v/>
      </c>
      <c r="D738" s="7">
        <f>IFERROR(__xludf.DUMMYFUNCTION("""COMPUTED_VALUE"""),"&lt;p&gt;Welcome to the Investigation phase! In this phase you will &lt;strong&gt;test your expert group hypothesis &lt;/strong&gt;by using the virtual lab of our lesson. You will undertake this task in collaboration with the members of your expert group, so do not forget "&amp;"to use the tool for online communication.&lt;/p&gt;")</f>
        <v/>
      </c>
      <c r="E738" s="7">
        <f>IFERROR(__xludf.DUMMYFUNCTION("""COMPUTED_VALUE"""),"No artifact embedded")</f>
        <v/>
      </c>
      <c r="F738" s="7" t="inlineStr">
        <is>
          <t>Students are guided through phases with minimal descriptions and artifacts, including a hypothesis-forming tool in Item1.</t>
        </is>
      </c>
      <c r="G738" s="8" t="inlineStr">
        <is>
          <t>0</t>
        </is>
      </c>
      <c r="H738" s="8" t="inlineStr">
        <is>
          <t>1</t>
        </is>
      </c>
      <c r="I738" s="8" t="inlineStr">
        <is>
          <t>1</t>
        </is>
      </c>
      <c r="J738" s="8" t="inlineStr">
        <is>
          <t>1</t>
        </is>
      </c>
      <c r="K738" s="9" t="inlineStr">
        <is>
          <t>0</t>
        </is>
      </c>
      <c r="L738" s="9" t="inlineStr">
        <is>
          <t>0</t>
        </is>
      </c>
      <c r="M738" s="9" t="inlineStr">
        <is>
          <t>1</t>
        </is>
      </c>
      <c r="N738" s="9" t="inlineStr">
        <is>
          <t>1</t>
        </is>
      </c>
      <c r="O738" s="10" t="inlineStr">
        <is>
          <t>0</t>
        </is>
      </c>
      <c r="P738" s="10" t="inlineStr">
        <is>
          <t>1</t>
        </is>
      </c>
      <c r="Q738" s="10" t="inlineStr">
        <is>
          <t>1</t>
        </is>
      </c>
      <c r="R738" s="10" t="inlineStr">
        <is>
          <t>0</t>
        </is>
      </c>
      <c r="S738" s="10" t="inlineStr">
        <is>
          <t>1</t>
        </is>
      </c>
    </row>
    <row r="739" ht="351" customHeight="1">
      <c r="A739" s="6">
        <f>IFERROR(__xludf.DUMMYFUNCTION("""COMPUTED_VALUE"""),"Electrical Circuits (Cooperative Jigsaw Scenario)")</f>
        <v/>
      </c>
      <c r="B739" s="6">
        <f>IFERROR(__xludf.DUMMYFUNCTION("""COMPUTED_VALUE"""),"Application")</f>
        <v/>
      </c>
      <c r="C739" s="6">
        <f>IFERROR(__xludf.DUMMYFUNCTION("""COMPUTED_VALUE"""),"Viewer")</f>
        <v/>
      </c>
      <c r="D739" s="7">
        <f>IFERROR(__xludf.DUMMYFUNCTION("""COMPUTED_VALUE"""),"&lt;p&gt;&lt;strong&gt;Step 1&lt;/strong&gt;&lt;/p&gt;&lt;p&gt;Below you can see your expert group hypothesis. Discuss with the members of your expert group about the experiment you need to carry out in order to test your hypothesis.&lt;/p&gt;")</f>
        <v/>
      </c>
      <c r="E739"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739" s="7" t="inlineStr">
        <is>
          <t>Students proceed with expert group work, testing hypotheses in a virtual lab, and discussing experiments. Embedded artifacts include a Golabz app/lab viewer.</t>
        </is>
      </c>
      <c r="G739" s="8" t="inlineStr">
        <is>
          <t>0</t>
        </is>
      </c>
      <c r="H739" s="8" t="inlineStr">
        <is>
          <t>1</t>
        </is>
      </c>
      <c r="I739" s="8" t="inlineStr">
        <is>
          <t>1</t>
        </is>
      </c>
      <c r="J739" s="8" t="inlineStr">
        <is>
          <t>1</t>
        </is>
      </c>
      <c r="K739" s="9" t="inlineStr">
        <is>
          <t>0</t>
        </is>
      </c>
      <c r="L739" s="9" t="inlineStr">
        <is>
          <t>0</t>
        </is>
      </c>
      <c r="M739" s="9" t="inlineStr">
        <is>
          <t>1</t>
        </is>
      </c>
      <c r="N739" s="9" t="inlineStr">
        <is>
          <t>1</t>
        </is>
      </c>
      <c r="O739" s="10" t="inlineStr">
        <is>
          <t>0</t>
        </is>
      </c>
      <c r="P739" s="10" t="inlineStr">
        <is>
          <t>1</t>
        </is>
      </c>
      <c r="Q739" s="10" t="inlineStr">
        <is>
          <t>1</t>
        </is>
      </c>
      <c r="R739" s="10" t="inlineStr">
        <is>
          <t>0</t>
        </is>
      </c>
      <c r="S739" s="10" t="inlineStr">
        <is>
          <t>1</t>
        </is>
      </c>
    </row>
    <row r="740" ht="409.5" customHeight="1">
      <c r="A740" s="6">
        <f>IFERROR(__xludf.DUMMYFUNCTION("""COMPUTED_VALUE"""),"Electrical Circuits (Cooperative Jigsaw Scenario)")</f>
        <v/>
      </c>
      <c r="B740" s="6">
        <f>IFERROR(__xludf.DUMMYFUNCTION("""COMPUTED_VALUE"""),"Application")</f>
        <v/>
      </c>
      <c r="C740" s="6">
        <f>IFERROR(__xludf.DUMMYFUNCTION("""COMPUTED_VALUE"""),"Experiment Design Tool")</f>
        <v/>
      </c>
      <c r="D740" s="7">
        <f>IFERROR(__xludf.DUMMYFUNCTION("""COMPUTED_VALUE"""),"&lt;p&gt;&lt;strong&gt;Step 2&lt;/strong&gt;&lt;/p&gt;&lt;p&gt;The next tool allows you to design your experiment and record the values of the properties that are involved. Read carefully the step by step instructions that appear in the tool and complete this task in collaboration wit"&amp;"h the experts. During your online communication you might take into consideration the following: &lt;/p&gt;&lt;p&gt;- Which is the independent and dependent variable based on your hypothesis? &lt;/p&gt;&lt;p&gt;- How will you treat the dependent and the independent variable in y"&amp;"our experiment?  &lt;/p&gt;&lt;p&gt;- How will you treat the other properties? &lt;/p&gt;&lt;p&gt;- How many experimental trials are needed in order to collect enough data from your experiment?&lt;/p&gt;")</f>
        <v/>
      </c>
      <c r="E740"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740" s="7" t="inlineStr">
        <is>
          <t>Students test their hypothesis in a virtual lab, collaborating with group members and using online communication tools. Embedded artifacts include Golabz apps for experiment design and data analysis.</t>
        </is>
      </c>
      <c r="G740" s="8" t="inlineStr">
        <is>
          <t>0</t>
        </is>
      </c>
      <c r="H740" s="8" t="inlineStr">
        <is>
          <t>1</t>
        </is>
      </c>
      <c r="I740" s="8" t="inlineStr">
        <is>
          <t>1</t>
        </is>
      </c>
      <c r="J740" s="8" t="inlineStr">
        <is>
          <t>1</t>
        </is>
      </c>
      <c r="K740" s="9" t="inlineStr">
        <is>
          <t>0</t>
        </is>
      </c>
      <c r="L740" s="9" t="inlineStr">
        <is>
          <t>0</t>
        </is>
      </c>
      <c r="M740" s="9" t="inlineStr">
        <is>
          <t>1</t>
        </is>
      </c>
      <c r="N740" s="9" t="inlineStr">
        <is>
          <t>1</t>
        </is>
      </c>
      <c r="O740" s="10" t="inlineStr">
        <is>
          <t>0</t>
        </is>
      </c>
      <c r="P740" s="10" t="inlineStr">
        <is>
          <t>1</t>
        </is>
      </c>
      <c r="Q740" s="10" t="inlineStr">
        <is>
          <t>1</t>
        </is>
      </c>
      <c r="R740" s="10" t="inlineStr">
        <is>
          <t>0</t>
        </is>
      </c>
      <c r="S740" s="10" t="inlineStr">
        <is>
          <t>1</t>
        </is>
      </c>
    </row>
    <row r="741" ht="409.5" customHeight="1">
      <c r="A741" s="6">
        <f>IFERROR(__xludf.DUMMYFUNCTION("""COMPUTED_VALUE"""),"Electrical Circuits (Cooperative Jigsaw Scenario)")</f>
        <v/>
      </c>
      <c r="B741" s="6">
        <f>IFERROR(__xludf.DUMMYFUNCTION("""COMPUTED_VALUE"""),"Application")</f>
        <v/>
      </c>
      <c r="C741" s="6">
        <f>IFERROR(__xludf.DUMMYFUNCTION("""COMPUTED_VALUE"""),"Electrical Circuit Lab")</f>
        <v/>
      </c>
      <c r="D741" s="7">
        <f>IFERROR(__xludf.DUMMYFUNCTION("""COMPUTED_VALUE"""),"&lt;p&gt;&lt;strong&gt;Step 3&lt;/strong&gt;&lt;/p&gt;&lt;p&gt;Once you complete the design of your experiment use the virtual lab. Meanwhile, discuss with the experts about your observations and measurements.&lt;/p&gt;")</f>
        <v/>
      </c>
      <c r="E741"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41" s="7" t="inlineStr">
        <is>
          <t>Students discuss and design experiments using tools like concept mapper, experiment design tool, and virtual lab, with embedded artifacts from Golabz app/lab.</t>
        </is>
      </c>
      <c r="G741" s="8" t="inlineStr">
        <is>
          <t>0</t>
        </is>
      </c>
      <c r="H741" s="8" t="inlineStr">
        <is>
          <t>1</t>
        </is>
      </c>
      <c r="I741" s="8" t="inlineStr">
        <is>
          <t>1</t>
        </is>
      </c>
      <c r="J741" s="8" t="inlineStr">
        <is>
          <t>1</t>
        </is>
      </c>
      <c r="K741" s="9" t="inlineStr">
        <is>
          <t>0</t>
        </is>
      </c>
      <c r="L741" s="9" t="inlineStr">
        <is>
          <t>1</t>
        </is>
      </c>
      <c r="M741" s="9" t="inlineStr">
        <is>
          <t>1</t>
        </is>
      </c>
      <c r="N741" s="9" t="inlineStr">
        <is>
          <t>0</t>
        </is>
      </c>
      <c r="O741" s="10" t="inlineStr">
        <is>
          <t>0</t>
        </is>
      </c>
      <c r="P741" s="10" t="inlineStr">
        <is>
          <t>1</t>
        </is>
      </c>
      <c r="Q741" s="10" t="inlineStr">
        <is>
          <t>1</t>
        </is>
      </c>
      <c r="R741" s="10" t="inlineStr">
        <is>
          <t>1</t>
        </is>
      </c>
      <c r="S741" s="10" t="inlineStr">
        <is>
          <t>1</t>
        </is>
      </c>
    </row>
    <row r="742" ht="229" customHeight="1">
      <c r="A742" s="6">
        <f>IFERROR(__xludf.DUMMYFUNCTION("""COMPUTED_VALUE"""),"Electrical Circuits (Cooperative Jigsaw Scenario)")</f>
        <v/>
      </c>
      <c r="B742" s="6">
        <f>IFERROR(__xludf.DUMMYFUNCTION("""COMPUTED_VALUE"""),"Resource")</f>
        <v/>
      </c>
      <c r="C742" s="6">
        <f>IFERROR(__xludf.DUMMYFUNCTION("""COMPUTED_VALUE"""),"End of phase.graasp")</f>
        <v/>
      </c>
      <c r="D742" s="7">
        <f>IFERROR(__xludf.DUMMYFUNCTION("""COMPUTED_VALUE"""),"&lt;p style=""text-align: center;""&gt;&lt;strong&gt;If all the members of your expert group are satisfied with the data that you have collected, move to the next phase. If there are any data inconsistencies then you might have to repeat some experimental trials.&lt;/st"&amp;"rong&gt;&lt;/p&gt;")</f>
        <v/>
      </c>
      <c r="E742" s="7">
        <f>IFERROR(__xludf.DUMMYFUNCTION("""COMPUTED_VALUE"""),"No artifact embedded")</f>
        <v/>
      </c>
      <c r="F742" s="7" t="inlineStr">
        <is>
          <t>Students design experiments, record values, and analyze results using tools like Experiment Design Tool and Electrical Circuit Lab, following step-by-step instructions and expert collaboration.</t>
        </is>
      </c>
      <c r="G742" s="8" t="inlineStr">
        <is>
          <t>0</t>
        </is>
      </c>
      <c r="H742" s="8" t="inlineStr">
        <is>
          <t>0</t>
        </is>
      </c>
      <c r="I742" s="8" t="inlineStr">
        <is>
          <t>0</t>
        </is>
      </c>
      <c r="J742" s="8" t="inlineStr">
        <is>
          <t>0</t>
        </is>
      </c>
      <c r="K742" s="9" t="inlineStr">
        <is>
          <t>0</t>
        </is>
      </c>
      <c r="L742" s="9" t="inlineStr">
        <is>
          <t>0</t>
        </is>
      </c>
      <c r="M742" s="9" t="inlineStr">
        <is>
          <t>1</t>
        </is>
      </c>
      <c r="N742" s="9" t="inlineStr">
        <is>
          <t>1</t>
        </is>
      </c>
      <c r="O742" s="10" t="inlineStr">
        <is>
          <t>0</t>
        </is>
      </c>
      <c r="P742" s="10" t="inlineStr">
        <is>
          <t>0</t>
        </is>
      </c>
      <c r="Q742" s="10" t="inlineStr">
        <is>
          <t>1</t>
        </is>
      </c>
      <c r="R742" s="10" t="inlineStr">
        <is>
          <t>0</t>
        </is>
      </c>
      <c r="S742" s="10" t="inlineStr">
        <is>
          <t>0</t>
        </is>
      </c>
    </row>
    <row r="743" ht="205" customHeight="1">
      <c r="A743" s="6">
        <f>IFERROR(__xludf.DUMMYFUNCTION("""COMPUTED_VALUE"""),"Electrical Circuits (Cooperative Jigsaw Scenario)")</f>
        <v/>
      </c>
      <c r="B743" s="6">
        <f>IFERROR(__xludf.DUMMYFUNCTION("""COMPUTED_VALUE"""),"Space")</f>
        <v/>
      </c>
      <c r="C743" s="6">
        <f>IFERROR(__xludf.DUMMYFUNCTION("""COMPUTED_VALUE"""),"Data Interpretation")</f>
        <v/>
      </c>
      <c r="D743" s="7">
        <f>IFERROR(__xludf.DUMMYFUNCTION("""COMPUTED_VALUE"""),"&lt;p&gt;Dear experts, this is the Interpretation phase. Here you are going to &lt;strong&gt;create a graph&lt;/strong&gt; based on the data recorded from your experiment and discuss with your peers about the relation between the independent and dependent variable.&lt;/p&gt;")</f>
        <v/>
      </c>
      <c r="E743" s="7">
        <f>IFERROR(__xludf.DUMMYFUNCTION("""COMPUTED_VALUE"""),"No artifact embedded")</f>
        <v/>
      </c>
      <c r="F743" s="7" t="inlineStr">
        <is>
          <t>Students design experiments, use virtual labs (Golabz app), collect data, analyze results, and discuss findings with experts, following a structured process with specific tasks and tools.</t>
        </is>
      </c>
      <c r="G743" s="8" t="inlineStr">
        <is>
          <t>0</t>
        </is>
      </c>
      <c r="H743" s="8" t="inlineStr">
        <is>
          <t>1</t>
        </is>
      </c>
      <c r="I743" s="8" t="inlineStr">
        <is>
          <t>1</t>
        </is>
      </c>
      <c r="J743" s="8" t="inlineStr">
        <is>
          <t>1</t>
        </is>
      </c>
      <c r="K743" s="9" t="inlineStr">
        <is>
          <t>0</t>
        </is>
      </c>
      <c r="L743" s="9" t="inlineStr">
        <is>
          <t>1</t>
        </is>
      </c>
      <c r="M743" s="9" t="inlineStr">
        <is>
          <t>1</t>
        </is>
      </c>
      <c r="N743" s="9" t="inlineStr">
        <is>
          <t>1</t>
        </is>
      </c>
      <c r="O743" s="10" t="inlineStr">
        <is>
          <t>0</t>
        </is>
      </c>
      <c r="P743" s="10" t="inlineStr">
        <is>
          <t>0</t>
        </is>
      </c>
      <c r="Q743" s="10" t="inlineStr">
        <is>
          <t>1</t>
        </is>
      </c>
      <c r="R743" s="10" t="inlineStr">
        <is>
          <t>1</t>
        </is>
      </c>
      <c r="S743" s="10" t="inlineStr">
        <is>
          <t>1</t>
        </is>
      </c>
    </row>
    <row r="744" ht="409.5" customHeight="1">
      <c r="A744" s="6">
        <f>IFERROR(__xludf.DUMMYFUNCTION("""COMPUTED_VALUE"""),"Electrical Circuits (Cooperative Jigsaw Scenario)")</f>
        <v/>
      </c>
      <c r="B744" s="6">
        <f>IFERROR(__xludf.DUMMYFUNCTION("""COMPUTED_VALUE"""),"Application")</f>
        <v/>
      </c>
      <c r="C744" s="6">
        <f>IFERROR(__xludf.DUMMYFUNCTION("""COMPUTED_VALUE"""),"Data Viewer")</f>
        <v/>
      </c>
      <c r="D744" s="7">
        <f>IFERROR(__xludf.DUMMYFUNCTION("""COMPUTED_VALUE"""),"&lt;p&gt;&lt;strong&gt;Step 1&lt;/strong&gt;&lt;/p&gt;&lt;p&gt;Load your data in the tool below and drag and drop the dependent variable in the vertical axis and the independent variable in the horizontal axis to create a line chart.&lt;/p&gt;")</f>
        <v/>
      </c>
      <c r="E744"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744" s="7" t="inlineStr">
        <is>
          <t>Students follow 3 tasks: data collection, graph creation, and data visualization using Golabz app. No artifacts are embedded in items 1 and 2.</t>
        </is>
      </c>
      <c r="G744" s="8" t="inlineStr">
        <is>
          <t>0</t>
        </is>
      </c>
      <c r="H744" s="8" t="inlineStr">
        <is>
          <t>1</t>
        </is>
      </c>
      <c r="I744" s="8" t="inlineStr">
        <is>
          <t>1</t>
        </is>
      </c>
      <c r="J744" s="8" t="inlineStr">
        <is>
          <t>1</t>
        </is>
      </c>
      <c r="K744" s="9" t="inlineStr">
        <is>
          <t>1</t>
        </is>
      </c>
      <c r="L744" s="9" t="inlineStr">
        <is>
          <t>1</t>
        </is>
      </c>
      <c r="M744" s="9" t="inlineStr">
        <is>
          <t>0</t>
        </is>
      </c>
      <c r="N744" s="9" t="inlineStr">
        <is>
          <t>1</t>
        </is>
      </c>
      <c r="O744" s="10" t="inlineStr">
        <is>
          <t>0</t>
        </is>
      </c>
      <c r="P744" s="10" t="inlineStr">
        <is>
          <t>0</t>
        </is>
      </c>
      <c r="Q744" s="10" t="inlineStr">
        <is>
          <t>1</t>
        </is>
      </c>
      <c r="R744" s="10" t="inlineStr">
        <is>
          <t>0</t>
        </is>
      </c>
      <c r="S744" s="10" t="inlineStr">
        <is>
          <t>0</t>
        </is>
      </c>
    </row>
    <row r="745" ht="193" customHeight="1">
      <c r="A745" s="6">
        <f>IFERROR(__xludf.DUMMYFUNCTION("""COMPUTED_VALUE"""),"Electrical Circuits (Cooperative Jigsaw Scenario)")</f>
        <v/>
      </c>
      <c r="B745" s="6">
        <f>IFERROR(__xludf.DUMMYFUNCTION("""COMPUTED_VALUE"""),"Resource")</f>
        <v/>
      </c>
      <c r="C745" s="6">
        <f>IFERROR(__xludf.DUMMYFUNCTION("""COMPUTED_VALUE"""),"Step 2.graasp")</f>
        <v/>
      </c>
      <c r="D745" s="7">
        <f>IFERROR(__xludf.DUMMYFUNCTION("""COMPUTED_VALUE"""),"&lt;p&gt;&lt;strong&gt;Step 2&lt;/strong&gt;&lt;/p&gt;&lt;p&gt;Use the communication tool to discuss about the relation between the two variables, the dependent and the independent. What will happen if the independent variable continues to increase?&lt;/p&gt;")</f>
        <v/>
      </c>
      <c r="E745" s="7">
        <f>IFERROR(__xludf.DUMMYFUNCTION("""COMPUTED_VALUE"""),"No artifact embedded")</f>
        <v/>
      </c>
      <c r="F745" s="7" t="inlineStr">
        <is>
          <t>Students create a graph, discuss relations between variables, and use tools like Golabz app/lab for data visualization and collaboration.</t>
        </is>
      </c>
      <c r="G745" s="8" t="inlineStr">
        <is>
          <t>0</t>
        </is>
      </c>
      <c r="H745" s="8" t="inlineStr">
        <is>
          <t>0</t>
        </is>
      </c>
      <c r="I745" s="8" t="inlineStr">
        <is>
          <t>1</t>
        </is>
      </c>
      <c r="J745" s="8" t="inlineStr">
        <is>
          <t>1</t>
        </is>
      </c>
      <c r="K745" s="9" t="inlineStr">
        <is>
          <t>0</t>
        </is>
      </c>
      <c r="L745" s="9" t="inlineStr">
        <is>
          <t>0</t>
        </is>
      </c>
      <c r="M745" s="9" t="inlineStr">
        <is>
          <t>1</t>
        </is>
      </c>
      <c r="N745" s="9" t="inlineStr">
        <is>
          <t>1</t>
        </is>
      </c>
      <c r="O745" s="10" t="inlineStr">
        <is>
          <t>1</t>
        </is>
      </c>
      <c r="P745" s="10" t="inlineStr">
        <is>
          <t>1</t>
        </is>
      </c>
      <c r="Q745" s="10" t="inlineStr">
        <is>
          <t>1</t>
        </is>
      </c>
      <c r="R745" s="10" t="inlineStr">
        <is>
          <t>0</t>
        </is>
      </c>
      <c r="S745" s="10" t="inlineStr">
        <is>
          <t>1</t>
        </is>
      </c>
    </row>
    <row r="746" ht="145" customHeight="1">
      <c r="A746" s="6">
        <f>IFERROR(__xludf.DUMMYFUNCTION("""COMPUTED_VALUE"""),"Electrical Circuits (Cooperative Jigsaw Scenario)")</f>
        <v/>
      </c>
      <c r="B746" s="6">
        <f>IFERROR(__xludf.DUMMYFUNCTION("""COMPUTED_VALUE"""),"Resource")</f>
        <v/>
      </c>
      <c r="C746" s="6">
        <f>IFERROR(__xludf.DUMMYFUNCTION("""COMPUTED_VALUE"""),"End.graasp")</f>
        <v/>
      </c>
      <c r="D746" s="7">
        <f>IFERROR(__xludf.DUMMYFUNCTION("""COMPUTED_VALUE"""),"&lt;p style=""text-align: center;""&gt;&lt;strong&gt;If the relation between the variables that you have investigated is clear, you can move to the next phase.&lt;/strong&gt;&lt;/p&gt;")</f>
        <v/>
      </c>
      <c r="E746" s="7">
        <f>IFERROR(__xludf.DUMMYFUNCTION("""COMPUTED_VALUE"""),"No artifact embedded")</f>
        <v/>
      </c>
      <c r="F746" s="7" t="inlineStr">
        <is>
          <t>Students load data, create a line chart, and discuss variable relationships using tools like Golabz app/lab and a communication tool.</t>
        </is>
      </c>
      <c r="G746" s="8" t="inlineStr">
        <is>
          <t>0</t>
        </is>
      </c>
      <c r="H746" s="8" t="inlineStr">
        <is>
          <t>0</t>
        </is>
      </c>
      <c r="I746" s="8" t="inlineStr">
        <is>
          <t>0</t>
        </is>
      </c>
      <c r="J746" s="8" t="inlineStr">
        <is>
          <t>0</t>
        </is>
      </c>
      <c r="K746" s="9" t="inlineStr">
        <is>
          <t>1</t>
        </is>
      </c>
      <c r="L746" s="9" t="inlineStr">
        <is>
          <t>0</t>
        </is>
      </c>
      <c r="M746" s="9" t="inlineStr">
        <is>
          <t>0</t>
        </is>
      </c>
      <c r="N746" s="9" t="inlineStr">
        <is>
          <t>0</t>
        </is>
      </c>
      <c r="O746" s="10" t="inlineStr">
        <is>
          <t>0</t>
        </is>
      </c>
      <c r="P746" s="10" t="inlineStr">
        <is>
          <t>0</t>
        </is>
      </c>
      <c r="Q746" s="10" t="inlineStr">
        <is>
          <t>0</t>
        </is>
      </c>
      <c r="R746" s="10" t="inlineStr">
        <is>
          <t>0</t>
        </is>
      </c>
      <c r="S746" s="10" t="inlineStr">
        <is>
          <t>0</t>
        </is>
      </c>
    </row>
    <row r="747" ht="133" customHeight="1">
      <c r="A747" s="6">
        <f>IFERROR(__xludf.DUMMYFUNCTION("""COMPUTED_VALUE"""),"Electrical Circuits (Cooperative Jigsaw Scenario)")</f>
        <v/>
      </c>
      <c r="B747" s="6">
        <f>IFERROR(__xludf.DUMMYFUNCTION("""COMPUTED_VALUE"""),"Space")</f>
        <v/>
      </c>
      <c r="C747" s="6">
        <f>IFERROR(__xludf.DUMMYFUNCTION("""COMPUTED_VALUE"""),"Conclusion")</f>
        <v/>
      </c>
      <c r="D747" s="7">
        <f>IFERROR(__xludf.DUMMYFUNCTION("""COMPUTED_VALUE"""),"&lt;p&gt;Dear students, your expert group task is coming to the end. The last thing that you have to prepare is your &lt;strong&gt;expert’s conclusion&lt;/strong&gt;.&lt;/p&gt;")</f>
        <v/>
      </c>
      <c r="E747" s="7">
        <f>IFERROR(__xludf.DUMMYFUNCTION("""COMPUTED_VALUE"""),"No artifact embedded")</f>
        <v/>
      </c>
      <c r="F747" s="7" t="inlineStr">
        <is>
          <t>Students discuss variable relationships and create a conclusion with no embedded artifacts provided.</t>
        </is>
      </c>
      <c r="G747" s="8" t="inlineStr">
        <is>
          <t>0</t>
        </is>
      </c>
      <c r="H747" s="8" t="inlineStr">
        <is>
          <t>0</t>
        </is>
      </c>
      <c r="I747" s="8" t="inlineStr">
        <is>
          <t>1</t>
        </is>
      </c>
      <c r="J747" s="8" t="inlineStr">
        <is>
          <t>0</t>
        </is>
      </c>
      <c r="K747" s="9" t="inlineStr">
        <is>
          <t>0</t>
        </is>
      </c>
      <c r="L747" s="9" t="inlineStr">
        <is>
          <t>0</t>
        </is>
      </c>
      <c r="M747" s="9" t="inlineStr">
        <is>
          <t>0</t>
        </is>
      </c>
      <c r="N747" s="9" t="inlineStr">
        <is>
          <t>0</t>
        </is>
      </c>
      <c r="O747" s="10" t="inlineStr">
        <is>
          <t>0</t>
        </is>
      </c>
      <c r="P747" s="10" t="inlineStr">
        <is>
          <t>0</t>
        </is>
      </c>
      <c r="Q747" s="10" t="inlineStr">
        <is>
          <t>0</t>
        </is>
      </c>
      <c r="R747" s="10" t="inlineStr">
        <is>
          <t>1</t>
        </is>
      </c>
      <c r="S747" s="10" t="inlineStr">
        <is>
          <t>0</t>
        </is>
      </c>
    </row>
    <row r="748" ht="409.5" customHeight="1">
      <c r="A748" s="6">
        <f>IFERROR(__xludf.DUMMYFUNCTION("""COMPUTED_VALUE"""),"Electrical Circuits (Cooperative Jigsaw Scenario)")</f>
        <v/>
      </c>
      <c r="B748" s="6">
        <f>IFERROR(__xludf.DUMMYFUNCTION("""COMPUTED_VALUE"""),"Application")</f>
        <v/>
      </c>
      <c r="C748" s="6">
        <f>IFERROR(__xludf.DUMMYFUNCTION("""COMPUTED_VALUE"""),"Conclusion Tool")</f>
        <v/>
      </c>
      <c r="D748" s="7">
        <f>IFERROR(__xludf.DUMMYFUNCTION("""COMPUTED_VALUE"""),"&lt;p&gt;&lt;strong&gt;Step 1&lt;/strong&gt;&lt;/p&gt;&lt;p&gt;Use the tool below to retrieve your previous expert’s work, meaning your hypothesis and data graph, in order to elaborate what you have learned. During your work you can discuss about your conclusion in the communication t"&amp;"ool.&lt;/p&gt;")</f>
        <v/>
      </c>
      <c r="E748"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48" s="7" t="inlineStr">
        <is>
          <t>Students are instructed to review their work, elaborate on findings, and draw conclusions. Embedded artifacts include the Golabz app/lab for conclusion tool and hypothesis scratchpad.</t>
        </is>
      </c>
      <c r="G748" s="8" t="inlineStr">
        <is>
          <t>0</t>
        </is>
      </c>
      <c r="H748" s="8" t="inlineStr">
        <is>
          <t>1</t>
        </is>
      </c>
      <c r="I748" s="8" t="inlineStr">
        <is>
          <t>1</t>
        </is>
      </c>
      <c r="J748" s="8" t="inlineStr">
        <is>
          <t>1</t>
        </is>
      </c>
      <c r="K748" s="9" t="inlineStr">
        <is>
          <t>1</t>
        </is>
      </c>
      <c r="L748" s="9" t="inlineStr">
        <is>
          <t>1</t>
        </is>
      </c>
      <c r="M748" s="9" t="inlineStr">
        <is>
          <t>1</t>
        </is>
      </c>
      <c r="N748" s="9" t="inlineStr">
        <is>
          <t>0</t>
        </is>
      </c>
      <c r="O748" s="10" t="inlineStr">
        <is>
          <t>0</t>
        </is>
      </c>
      <c r="P748" s="10" t="inlineStr">
        <is>
          <t>1</t>
        </is>
      </c>
      <c r="Q748" s="10" t="inlineStr">
        <is>
          <t>1</t>
        </is>
      </c>
      <c r="R748" s="10" t="inlineStr">
        <is>
          <t>1</t>
        </is>
      </c>
      <c r="S748" s="10" t="inlineStr">
        <is>
          <t>1</t>
        </is>
      </c>
    </row>
    <row r="749" ht="181" customHeight="1">
      <c r="A749" s="6">
        <f>IFERROR(__xludf.DUMMYFUNCTION("""COMPUTED_VALUE"""),"Electrical Circuits (Cooperative Jigsaw Scenario)")</f>
        <v/>
      </c>
      <c r="B749" s="6">
        <f>IFERROR(__xludf.DUMMYFUNCTION("""COMPUTED_VALUE"""),"Resource")</f>
        <v/>
      </c>
      <c r="C749" s="6">
        <f>IFERROR(__xludf.DUMMYFUNCTION("""COMPUTED_VALUE"""),"Step 2.graasp")</f>
        <v/>
      </c>
      <c r="D749" s="7">
        <f>IFERROR(__xludf.DUMMYFUNCTION("""COMPUTED_VALUE"""),"&lt;p&gt;&lt;strong&gt;Step 2 &lt;/strong&gt;&lt;/p&gt;&lt;p&gt;It is time to thank your peers for your expert work! Moreover, if any of you have any doubt about the work done, this is the perfect time to discuss it in the communication tool. &lt;/p&gt;")</f>
        <v/>
      </c>
      <c r="E749" s="7">
        <f>IFERROR(__xludf.DUMMYFUNCTION("""COMPUTED_VALUE"""),"No artifact embedded")</f>
        <v/>
      </c>
      <c r="F749" s="7" t="inlineStr">
        <is>
          <t>Students complete expert tasks, using tools like Golabz app/lab to elaborate conclusions and discussing results with peers.</t>
        </is>
      </c>
      <c r="G749" s="8" t="inlineStr">
        <is>
          <t>0</t>
        </is>
      </c>
      <c r="H749" s="8" t="inlineStr">
        <is>
          <t>0</t>
        </is>
      </c>
      <c r="I749" s="8" t="inlineStr">
        <is>
          <t>0</t>
        </is>
      </c>
      <c r="J749" s="8" t="inlineStr">
        <is>
          <t>1</t>
        </is>
      </c>
      <c r="K749" s="9" t="inlineStr">
        <is>
          <t>0</t>
        </is>
      </c>
      <c r="L749" s="9" t="inlineStr">
        <is>
          <t>0</t>
        </is>
      </c>
      <c r="M749" s="9" t="inlineStr">
        <is>
          <t>1</t>
        </is>
      </c>
      <c r="N749" s="9" t="inlineStr">
        <is>
          <t>1</t>
        </is>
      </c>
      <c r="O749" s="10" t="inlineStr">
        <is>
          <t>0</t>
        </is>
      </c>
      <c r="P749" s="10" t="inlineStr">
        <is>
          <t>0</t>
        </is>
      </c>
      <c r="Q749" s="10" t="inlineStr">
        <is>
          <t>0</t>
        </is>
      </c>
      <c r="R749" s="10" t="inlineStr">
        <is>
          <t>0</t>
        </is>
      </c>
      <c r="S749" s="10" t="inlineStr">
        <is>
          <t>1</t>
        </is>
      </c>
    </row>
    <row r="750" ht="193" customHeight="1">
      <c r="A750" s="6">
        <f>IFERROR(__xludf.DUMMYFUNCTION("""COMPUTED_VALUE"""),"Electrical Circuits (Cooperative Jigsaw Scenario)")</f>
        <v/>
      </c>
      <c r="B750" s="6">
        <f>IFERROR(__xludf.DUMMYFUNCTION("""COMPUTED_VALUE"""),"Resource")</f>
        <v/>
      </c>
      <c r="C750" s="6">
        <f>IFERROR(__xludf.DUMMYFUNCTION("""COMPUTED_VALUE"""),"End of phase.graasp")</f>
        <v/>
      </c>
      <c r="D750" s="7">
        <f>IFERROR(__xludf.DUMMYFUNCTION("""COMPUTED_VALUE"""),"&lt;p style=""text-align: center;""&gt;&lt;strong&gt;This is the end of your expert investigation. Now you are ready to share what you have learned with the members of your initial group. To do so, move to next phase.&lt;/strong&gt;&lt;/p&gt;")</f>
        <v/>
      </c>
      <c r="E750" s="7">
        <f>IFERROR(__xludf.DUMMYFUNCTION("""COMPUTED_VALUE"""),"No artifact embedded")</f>
        <v/>
      </c>
      <c r="F750" s="7" t="inlineStr">
        <is>
          <t>Students use tools to review previous work, discuss conclusions, and thank peers, with embedded artifacts including the Golabz app/lab for hypothesis validation.</t>
        </is>
      </c>
      <c r="G750" s="8" t="inlineStr">
        <is>
          <t>0</t>
        </is>
      </c>
      <c r="H750" s="8" t="inlineStr">
        <is>
          <t>0</t>
        </is>
      </c>
      <c r="I750" s="8" t="inlineStr">
        <is>
          <t>0</t>
        </is>
      </c>
      <c r="J750" s="8" t="inlineStr">
        <is>
          <t>0</t>
        </is>
      </c>
      <c r="K750" s="9" t="inlineStr">
        <is>
          <t>0</t>
        </is>
      </c>
      <c r="L750" s="9" t="inlineStr">
        <is>
          <t>0</t>
        </is>
      </c>
      <c r="M750" s="9" t="inlineStr">
        <is>
          <t>1</t>
        </is>
      </c>
      <c r="N750" s="9" t="inlineStr">
        <is>
          <t>1</t>
        </is>
      </c>
      <c r="O750" s="10" t="inlineStr">
        <is>
          <t>0</t>
        </is>
      </c>
      <c r="P750" s="10" t="inlineStr">
        <is>
          <t>0</t>
        </is>
      </c>
      <c r="Q750" s="10" t="inlineStr">
        <is>
          <t>1</t>
        </is>
      </c>
      <c r="R750" s="10" t="inlineStr">
        <is>
          <t>0</t>
        </is>
      </c>
      <c r="S750" s="10" t="inlineStr">
        <is>
          <t>1</t>
        </is>
      </c>
    </row>
    <row r="751" ht="406" customHeight="1">
      <c r="A751" s="6">
        <f>IFERROR(__xludf.DUMMYFUNCTION("""COMPUTED_VALUE"""),"Electrical Circuits (Cooperative Jigsaw Scenario)")</f>
        <v/>
      </c>
      <c r="B751" s="6">
        <f>IFERROR(__xludf.DUMMYFUNCTION("""COMPUTED_VALUE"""),"Space")</f>
        <v/>
      </c>
      <c r="C751" s="6">
        <f>IFERROR(__xludf.DUMMYFUNCTION("""COMPUTED_VALUE"""),"Communication")</f>
        <v/>
      </c>
      <c r="D751" s="7">
        <f>IFERROR(__xludf.DUMMYFUNCTION("""COMPUTED_VALUE"""),"&lt;p&gt;Now it is time to put all the pieces of knowledge together!! This is the Communication phase where you will&lt;strong&gt; share and discuss&lt;/strong&gt; in your group about your expert investigation.&lt;/p&gt;&lt;p&gt;&lt;br&gt;&lt;/p&gt;&lt;p&gt;&lt;strong&gt;Step 1&lt;br&gt;&lt;/strong&gt;Share your expert’"&amp;"s conclusion with the members of your group. Moreover, discuss about the investigation that you carried out in order to reach your conclusion. During your discussion each member of your group should give answers to the following questions:&lt;/p&gt;")</f>
        <v/>
      </c>
      <c r="E751" s="7">
        <f>IFERROR(__xludf.DUMMYFUNCTION("""COMPUTED_VALUE"""),"No artifact embedded")</f>
        <v/>
      </c>
      <c r="F751" s="7" t="inlineStr">
        <is>
          <t>Students are instructed to discuss and share findings with peers, with no artifacts embedded in items 1-3.</t>
        </is>
      </c>
      <c r="G751" s="8" t="inlineStr">
        <is>
          <t>0</t>
        </is>
      </c>
      <c r="H751" s="8" t="inlineStr">
        <is>
          <t>1</t>
        </is>
      </c>
      <c r="I751" s="8" t="inlineStr">
        <is>
          <t>1</t>
        </is>
      </c>
      <c r="J751" s="8" t="inlineStr">
        <is>
          <t>1</t>
        </is>
      </c>
      <c r="K751" s="9" t="inlineStr">
        <is>
          <t>0</t>
        </is>
      </c>
      <c r="L751" s="9" t="inlineStr">
        <is>
          <t>0</t>
        </is>
      </c>
      <c r="M751" s="9" t="inlineStr">
        <is>
          <t>1</t>
        </is>
      </c>
      <c r="N751" s="9" t="inlineStr">
        <is>
          <t>1</t>
        </is>
      </c>
      <c r="O751" s="10" t="inlineStr">
        <is>
          <t>0</t>
        </is>
      </c>
      <c r="P751" s="10" t="inlineStr">
        <is>
          <t>0</t>
        </is>
      </c>
      <c r="Q751" s="10" t="inlineStr">
        <is>
          <t>1</t>
        </is>
      </c>
      <c r="R751" s="10" t="inlineStr">
        <is>
          <t>1</t>
        </is>
      </c>
      <c r="S751" s="10" t="inlineStr">
        <is>
          <t>1</t>
        </is>
      </c>
    </row>
    <row r="752" ht="409.5" customHeight="1">
      <c r="A752" s="6">
        <f>IFERROR(__xludf.DUMMYFUNCTION("""COMPUTED_VALUE"""),"Electrical Circuits (Cooperative Jigsaw Scenario)")</f>
        <v/>
      </c>
      <c r="B752" s="6">
        <f>IFERROR(__xludf.DUMMYFUNCTION("""COMPUTED_VALUE"""),"Resource")</f>
        <v/>
      </c>
      <c r="C752" s="6">
        <f>IFERROR(__xludf.DUMMYFUNCTION("""COMPUTED_VALUE"""),"Step 1.graasp")</f>
        <v/>
      </c>
      <c r="D752" s="7">
        <f>IFERROR(__xludf.DUMMYFUNCTION("""COMPUTED_VALUE"""),"&lt;ul&gt;&lt;li&gt;What was your expert’s hypothesis?&lt;/li&gt;&lt;li&gt;What was the experimental procedure that you have followed to test your expert’s hypothesis?&lt;ul&gt;&lt;li&gt;Which was the independent variable? &lt;/li&gt;&lt;li&gt;Which was the dependent variable?&lt;/li&gt;&lt;li&gt;What other variab"&amp;"les were involved in your experiment and how did you treat them?&lt;/li&gt;&lt;/ul&gt;&lt;/li&gt;&lt;li&gt;Did your experimental data support your expert’s hypothesis?&lt;/li&gt;&lt;li&gt;What is the relation between the dependent and the independent variable?&lt;/li&gt;&lt;/ul&gt;")</f>
        <v/>
      </c>
      <c r="E752" s="7">
        <f>IFERROR(__xludf.DUMMYFUNCTION("""COMPUTED_VALUE"""),"No artifact embedded")</f>
        <v/>
      </c>
      <c r="F752" s="7" t="inlineStr">
        <is>
          <t>Students share expert investigation findings with their group, discussing conclusions, procedures, and results, answering specific questions about hypotheses, variables, and data. No artifacts are embedded.</t>
        </is>
      </c>
      <c r="G752" s="8" t="inlineStr">
        <is>
          <t>0</t>
        </is>
      </c>
      <c r="H752" s="8" t="inlineStr">
        <is>
          <t>0</t>
        </is>
      </c>
      <c r="I752" s="8" t="inlineStr">
        <is>
          <t>1</t>
        </is>
      </c>
      <c r="J752" s="8" t="inlineStr">
        <is>
          <t>0</t>
        </is>
      </c>
      <c r="K752" s="9" t="inlineStr">
        <is>
          <t>1</t>
        </is>
      </c>
      <c r="L752" s="9" t="inlineStr">
        <is>
          <t>1</t>
        </is>
      </c>
      <c r="M752" s="9" t="inlineStr">
        <is>
          <t>0</t>
        </is>
      </c>
      <c r="N752" s="9" t="inlineStr">
        <is>
          <t>0</t>
        </is>
      </c>
      <c r="O752" s="10" t="inlineStr">
        <is>
          <t>0</t>
        </is>
      </c>
      <c r="P752" s="10" t="inlineStr">
        <is>
          <t>1</t>
        </is>
      </c>
      <c r="Q752" s="10" t="inlineStr">
        <is>
          <t>1</t>
        </is>
      </c>
      <c r="R752" s="10" t="inlineStr">
        <is>
          <t>1</t>
        </is>
      </c>
      <c r="S752" s="10" t="inlineStr">
        <is>
          <t>1</t>
        </is>
      </c>
    </row>
    <row r="753" ht="395" customHeight="1">
      <c r="A753" s="6">
        <f>IFERROR(__xludf.DUMMYFUNCTION("""COMPUTED_VALUE"""),"Electrical Circuits (Cooperative Jigsaw Scenario)")</f>
        <v/>
      </c>
      <c r="B753" s="6">
        <f>IFERROR(__xludf.DUMMYFUNCTION("""COMPUTED_VALUE"""),"Application")</f>
        <v/>
      </c>
      <c r="C753" s="6">
        <f>IFERROR(__xludf.DUMMYFUNCTION("""COMPUTED_VALUE"""),"Shared Wiki")</f>
        <v/>
      </c>
      <c r="D753" s="7">
        <f>IFERROR(__xludf.DUMMYFUNCTION("""COMPUTED_VALUE"""),"&lt;p&gt;&lt;strong&gt;Step 2&lt;/strong&gt;&lt;/p&gt;&lt;p&gt;In the following tool you will prepare a common report about the work done from each one of you, in order to conclude the lesson about the electrical circuits. You can edit simultaneously the text in the tool. It will be g"&amp;"ood to decide what sections each one of you will write and then review together the whole text. &lt;/p&gt;&lt;p&gt;&lt;strong&gt;&lt;em&gt;Note&lt;/em&gt;: &lt;/strong&gt;The text in brackets is for your support. You should delete it after you finish your report.&lt;/p&gt;")</f>
        <v/>
      </c>
      <c r="E753"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753" s="7" t="inlineStr">
        <is>
          <t>Students discuss expert investigations, share conclusions, and create a group report using a collaborative tool (Golabz app). No artifacts are embedded in Items 1 and 2, but Item 3 uses the Golabz app.</t>
        </is>
      </c>
      <c r="G753" s="8" t="inlineStr">
        <is>
          <t>0</t>
        </is>
      </c>
      <c r="H753" s="8" t="inlineStr">
        <is>
          <t>1</t>
        </is>
      </c>
      <c r="I753" s="8" t="inlineStr">
        <is>
          <t>1</t>
        </is>
      </c>
      <c r="J753" s="8" t="inlineStr">
        <is>
          <t>1</t>
        </is>
      </c>
      <c r="K753" s="9" t="inlineStr">
        <is>
          <t>0</t>
        </is>
      </c>
      <c r="L753" s="9" t="inlineStr">
        <is>
          <t>0</t>
        </is>
      </c>
      <c r="M753" s="9" t="inlineStr">
        <is>
          <t>1</t>
        </is>
      </c>
      <c r="N753" s="9" t="inlineStr">
        <is>
          <t>1</t>
        </is>
      </c>
      <c r="O753" s="10" t="inlineStr">
        <is>
          <t>0</t>
        </is>
      </c>
      <c r="P753" s="10" t="inlineStr">
        <is>
          <t>0</t>
        </is>
      </c>
      <c r="Q753" s="10" t="inlineStr">
        <is>
          <t>0</t>
        </is>
      </c>
      <c r="R753" s="10" t="inlineStr">
        <is>
          <t>1</t>
        </is>
      </c>
      <c r="S753" s="10" t="inlineStr">
        <is>
          <t>1</t>
        </is>
      </c>
    </row>
    <row r="754" ht="121" customHeight="1">
      <c r="A754" s="6">
        <f>IFERROR(__xludf.DUMMYFUNCTION("""COMPUTED_VALUE"""),"Electrical Circuits (Cooperative Jigsaw Scenario)")</f>
        <v/>
      </c>
      <c r="B754" s="6">
        <f>IFERROR(__xludf.DUMMYFUNCTION("""COMPUTED_VALUE"""),"Resource")</f>
        <v/>
      </c>
      <c r="C754" s="6">
        <f>IFERROR(__xludf.DUMMYFUNCTION("""COMPUTED_VALUE"""),"End of the phase.graasp")</f>
        <v/>
      </c>
      <c r="D754" s="7">
        <f>IFERROR(__xludf.DUMMYFUNCTION("""COMPUTED_VALUE"""),"&lt;p style=""text-align: center;""&gt;&lt;strong&gt;Discuss with your teacher about your group report and then move to the last phase!&lt;/strong&gt;&lt;/p&gt;")</f>
        <v/>
      </c>
      <c r="E754" s="7">
        <f>IFERROR(__xludf.DUMMYFUNCTION("""COMPUTED_VALUE"""),"No artifact embedded")</f>
        <v/>
      </c>
      <c r="F754" s="7" t="inlineStr">
        <is>
          <t>Students were instructed to describe experiments, collaborate on reports, and discuss results. Embedded artifacts include a shared wiki app for collaborative editing.</t>
        </is>
      </c>
      <c r="G754" s="8" t="inlineStr">
        <is>
          <t>0</t>
        </is>
      </c>
      <c r="H754" s="8" t="inlineStr">
        <is>
          <t>0</t>
        </is>
      </c>
      <c r="I754" s="8" t="inlineStr">
        <is>
          <t>0</t>
        </is>
      </c>
      <c r="J754" s="8" t="inlineStr">
        <is>
          <t>1</t>
        </is>
      </c>
      <c r="K754" s="9" t="inlineStr">
        <is>
          <t>0</t>
        </is>
      </c>
      <c r="L754" s="9" t="inlineStr">
        <is>
          <t>0</t>
        </is>
      </c>
      <c r="M754" s="9" t="inlineStr">
        <is>
          <t>1</t>
        </is>
      </c>
      <c r="N754" s="9" t="inlineStr">
        <is>
          <t>1</t>
        </is>
      </c>
      <c r="O754" s="10" t="inlineStr">
        <is>
          <t>0</t>
        </is>
      </c>
      <c r="P754" s="10" t="inlineStr">
        <is>
          <t>0</t>
        </is>
      </c>
      <c r="Q754" s="10" t="inlineStr">
        <is>
          <t>0</t>
        </is>
      </c>
      <c r="R754" s="10" t="inlineStr">
        <is>
          <t>0</t>
        </is>
      </c>
      <c r="S754" s="10" t="inlineStr">
        <is>
          <t>1</t>
        </is>
      </c>
    </row>
    <row r="755" ht="409.5" customHeight="1">
      <c r="A755" s="6">
        <f>IFERROR(__xludf.DUMMYFUNCTION("""COMPUTED_VALUE"""),"Electrical Circuits (Cooperative Jigsaw Scenario)")</f>
        <v/>
      </c>
      <c r="B755" s="6">
        <f>IFERROR(__xludf.DUMMYFUNCTION("""COMPUTED_VALUE"""),"Space")</f>
        <v/>
      </c>
      <c r="C755" s="6">
        <f>IFERROR(__xludf.DUMMYFUNCTION("""COMPUTED_VALUE"""),"Reflection")</f>
        <v/>
      </c>
      <c r="D755" s="7">
        <f>IFERROR(__xludf.DUMMYFUNCTION("""COMPUTED_VALUE"""),"&lt;p&gt;Dear students, this is the last phase of the ILS, namely the Reflection phase. Your task here is to &lt;strong&gt;reflect about the contribution &lt;/strong&gt;of your group members.&lt;/p&gt;&lt;p&gt;&lt;br&gt;&lt;/p&gt;&lt;p&gt;&lt;strong&gt;Step 1&lt;/strong&gt;&lt;/p&gt;&lt;p&gt;The following tool shows a summary"&amp;" of the number of actions performed by each member of your group in the different tools included in the ILS. The number of actions in a tool might represent the effort that was put on to complete the respective task. A relatively small number of actions m"&amp;"ight imply that the task remained incomplete, while a relatively large number of actions might imply that task was difficult and many trials and errors were made before it was completed. In general, the closer to the average the number of actions is, the "&amp;"better the performance in each app was. However, since your group consists of only few members, it is more insightful to compare your actions and discuss the possible differences.&lt;/p&gt;")</f>
        <v/>
      </c>
      <c r="E755" s="7">
        <f>IFERROR(__xludf.DUMMYFUNCTION("""COMPUTED_VALUE"""),"No artifact embedded")</f>
        <v/>
      </c>
      <c r="F755" s="7" t="inlineStr">
        <is>
          <t>Students collaborate on a report using Golabz app, then discuss with teacher, and finally reflect on group members' contributions.</t>
        </is>
      </c>
      <c r="G755" s="8" t="inlineStr">
        <is>
          <t>0</t>
        </is>
      </c>
      <c r="H755" s="8" t="inlineStr">
        <is>
          <t>0</t>
        </is>
      </c>
      <c r="I755" s="8" t="inlineStr">
        <is>
          <t>0</t>
        </is>
      </c>
      <c r="J755" s="8" t="inlineStr">
        <is>
          <t>0</t>
        </is>
      </c>
      <c r="K755" s="9" t="inlineStr">
        <is>
          <t>0</t>
        </is>
      </c>
      <c r="L755" s="9" t="inlineStr">
        <is>
          <t>0</t>
        </is>
      </c>
      <c r="M755" s="9" t="inlineStr">
        <is>
          <t>1</t>
        </is>
      </c>
      <c r="N755" s="9" t="inlineStr">
        <is>
          <t>0</t>
        </is>
      </c>
      <c r="O755" s="10" t="inlineStr">
        <is>
          <t>0</t>
        </is>
      </c>
      <c r="P755" s="10" t="inlineStr">
        <is>
          <t>0</t>
        </is>
      </c>
      <c r="Q755" s="10" t="inlineStr">
        <is>
          <t>0</t>
        </is>
      </c>
      <c r="R755" s="10" t="inlineStr">
        <is>
          <t>1</t>
        </is>
      </c>
      <c r="S755" s="10" t="inlineStr">
        <is>
          <t>1</t>
        </is>
      </c>
    </row>
    <row r="756" ht="329" customHeight="1">
      <c r="A756" s="6">
        <f>IFERROR(__xludf.DUMMYFUNCTION("""COMPUTED_VALUE"""),"Electrical Circuits (Cooperative Jigsaw Scenario)")</f>
        <v/>
      </c>
      <c r="B756" s="6">
        <f>IFERROR(__xludf.DUMMYFUNCTION("""COMPUTED_VALUE"""),"Application")</f>
        <v/>
      </c>
      <c r="C756" s="6">
        <f>IFERROR(__xludf.DUMMYFUNCTION("""COMPUTED_VALUE"""),"Activity Plot")</f>
        <v/>
      </c>
      <c r="D756" s="7">
        <f>IFERROR(__xludf.DUMMYFUNCTION("""COMPUTED_VALUE"""),"No task description")</f>
        <v/>
      </c>
      <c r="E756" s="7">
        <f>IFERROR(__xludf.DUMMYFUNCTION("""COMPUTED_VALUE"""),"Golabz app/lab: ""&lt;p&gt;This app shows a summary of the number of actions performed by the students in the different apps found in the ILS. Students can use it to compare their app activities with those of other students and the average. The names of the oth"&amp;"er students are anonymous.&lt;/p&gt;\r\n\r\n&lt;p&gt;This app also has a teacher view where the names of all the students are shown.&lt;/p&gt;\r\n""")</f>
        <v/>
      </c>
      <c r="F756" s="7" t="inlineStr">
        <is>
          <t>Students discuss group reports, reflect on members' contributions, and analyze effort using an embedded tool showing action summaries.</t>
        </is>
      </c>
      <c r="G756" s="8" t="inlineStr">
        <is>
          <t>0</t>
        </is>
      </c>
      <c r="H756" s="8" t="inlineStr">
        <is>
          <t>0</t>
        </is>
      </c>
      <c r="I756" s="8" t="inlineStr">
        <is>
          <t>0</t>
        </is>
      </c>
      <c r="J756" s="8" t="inlineStr">
        <is>
          <t>1</t>
        </is>
      </c>
      <c r="K756" s="9" t="inlineStr">
        <is>
          <t>1</t>
        </is>
      </c>
      <c r="L756" s="9" t="inlineStr">
        <is>
          <t>0</t>
        </is>
      </c>
      <c r="M756" s="9" t="inlineStr">
        <is>
          <t>0</t>
        </is>
      </c>
      <c r="N756" s="9" t="inlineStr">
        <is>
          <t>0</t>
        </is>
      </c>
      <c r="O756" s="10" t="inlineStr">
        <is>
          <t>0</t>
        </is>
      </c>
      <c r="P756" s="10" t="inlineStr">
        <is>
          <t>0</t>
        </is>
      </c>
      <c r="Q756" s="10" t="inlineStr">
        <is>
          <t>0</t>
        </is>
      </c>
      <c r="R756" s="10" t="inlineStr">
        <is>
          <t>0</t>
        </is>
      </c>
      <c r="S756" s="10" t="inlineStr">
        <is>
          <t>0</t>
        </is>
      </c>
    </row>
    <row r="757" ht="241" customHeight="1">
      <c r="A757" s="6">
        <f>IFERROR(__xludf.DUMMYFUNCTION("""COMPUTED_VALUE"""),"Electrical Circuits (Cooperative Jigsaw Scenario)")</f>
        <v/>
      </c>
      <c r="B757" s="6">
        <f>IFERROR(__xludf.DUMMYFUNCTION("""COMPUTED_VALUE"""),"Application")</f>
        <v/>
      </c>
      <c r="C757" s="6">
        <f>IFERROR(__xludf.DUMMYFUNCTION("""COMPUTED_VALUE"""),"Quest")</f>
        <v/>
      </c>
      <c r="D757" s="7">
        <f>IFERROR(__xludf.DUMMYFUNCTION("""COMPUTED_VALUE"""),"&lt;p&gt;&lt;strong&gt;Step 2&lt;/strong&gt;&lt;/p&gt;&lt;p&gt;Based on your previous group discussion and your overall experience with this lesson, complete the following questionnaire. &lt;/p&gt;&lt;p&gt;&lt;em&gt;&lt;strong&gt;Note&lt;/strong&gt;:&lt;/em&gt; &lt;em&gt;Complete the questionnaire individually.&lt;/em&gt;&lt;/p&gt;")</f>
        <v/>
      </c>
      <c r="E757"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757" s="7" t="inlineStr">
        <is>
          <t>Students reflect on group members' contributions, analyzing actions performed in tools, and complete a questionnaire individually. Embedded artifacts include Golabz app/lab and Quest for data analysis and surveys.</t>
        </is>
      </c>
      <c r="G757" s="8" t="inlineStr">
        <is>
          <t>0</t>
        </is>
      </c>
      <c r="H757" s="8" t="inlineStr">
        <is>
          <t>0</t>
        </is>
      </c>
      <c r="I757" s="8" t="inlineStr">
        <is>
          <t>0</t>
        </is>
      </c>
      <c r="J757" s="8" t="inlineStr">
        <is>
          <t>1</t>
        </is>
      </c>
      <c r="K757" s="9" t="inlineStr">
        <is>
          <t>1</t>
        </is>
      </c>
      <c r="L757" s="9" t="inlineStr">
        <is>
          <t>1</t>
        </is>
      </c>
      <c r="M757" s="9" t="inlineStr">
        <is>
          <t>0</t>
        </is>
      </c>
      <c r="N757" s="9" t="inlineStr">
        <is>
          <t>0</t>
        </is>
      </c>
      <c r="O757" s="10" t="inlineStr">
        <is>
          <t>0</t>
        </is>
      </c>
      <c r="P757" s="10" t="inlineStr">
        <is>
          <t>0</t>
        </is>
      </c>
      <c r="Q757" s="10" t="inlineStr">
        <is>
          <t>0</t>
        </is>
      </c>
      <c r="R757" s="10" t="inlineStr">
        <is>
          <t>0</t>
        </is>
      </c>
      <c r="S757" s="10" t="inlineStr">
        <is>
          <t>1</t>
        </is>
      </c>
    </row>
    <row r="758" ht="109" customHeight="1">
      <c r="A758" s="6">
        <f>IFERROR(__xludf.DUMMYFUNCTION("""COMPUTED_VALUE"""),"Electrical Circuits (Cooperative Jigsaw Scenario)")</f>
        <v/>
      </c>
      <c r="B758" s="6">
        <f>IFERROR(__xludf.DUMMYFUNCTION("""COMPUTED_VALUE"""),"Resource")</f>
        <v/>
      </c>
      <c r="C758" s="6">
        <f>IFERROR(__xludf.DUMMYFUNCTION("""COMPUTED_VALUE"""),"End of phase.graasp")</f>
        <v/>
      </c>
      <c r="D758" s="7">
        <f>IFERROR(__xludf.DUMMYFUNCTION("""COMPUTED_VALUE"""),"&lt;p style=""text-align: center;""&gt;&lt;strong&gt;This is the end of our lesson! Congratulations for completing all the activities. &lt;/strong&gt;&lt;/p&gt;")</f>
        <v/>
      </c>
      <c r="E758" s="7">
        <f>IFERROR(__xludf.DUMMYFUNCTION("""COMPUTED_VALUE"""),"No artifact embedded")</f>
        <v/>
      </c>
      <c r="F758" s="7" t="inlineStr">
        <is>
          <t>No task descriptions or artifacts are provided for Item1, a questionnaire is completed individually in Item2, and no tasks or artifacts are given in Item3.</t>
        </is>
      </c>
      <c r="G758" s="8" t="inlineStr">
        <is>
          <t>1</t>
        </is>
      </c>
      <c r="H758" s="8" t="inlineStr">
        <is>
          <t>0</t>
        </is>
      </c>
      <c r="I758" s="8" t="inlineStr">
        <is>
          <t>0</t>
        </is>
      </c>
      <c r="J758" s="8" t="inlineStr">
        <is>
          <t>0</t>
        </is>
      </c>
      <c r="K758" s="9" t="inlineStr">
        <is>
          <t>0</t>
        </is>
      </c>
      <c r="L758" s="9" t="inlineStr">
        <is>
          <t>0</t>
        </is>
      </c>
      <c r="M758" s="9" t="inlineStr">
        <is>
          <t>0</t>
        </is>
      </c>
      <c r="N758" s="9" t="inlineStr">
        <is>
          <t>0</t>
        </is>
      </c>
      <c r="O758" s="10" t="inlineStr">
        <is>
          <t>0</t>
        </is>
      </c>
      <c r="P758" s="10" t="inlineStr">
        <is>
          <t>0</t>
        </is>
      </c>
      <c r="Q758" s="10" t="inlineStr">
        <is>
          <t>0</t>
        </is>
      </c>
      <c r="R758" s="10" t="inlineStr">
        <is>
          <t>0</t>
        </is>
      </c>
      <c r="S758" s="10" t="inlineStr">
        <is>
          <t>0</t>
        </is>
      </c>
    </row>
    <row r="759" ht="25" customHeight="1">
      <c r="A759" s="6">
        <f>IFERROR(__xludf.DUMMYFUNCTION("""COMPUTED_VALUE"""),"Electrical Circuits (Cooperative Jigsaw Scenario)")</f>
        <v/>
      </c>
      <c r="B759" s="6">
        <f>IFERROR(__xludf.DUMMYFUNCTION("""COMPUTED_VALUE"""),"Application")</f>
        <v/>
      </c>
      <c r="C759" s="6">
        <f>IFERROR(__xludf.DUMMYFUNCTION("""COMPUTED_VALUE"""),"SpeakUp (1)")</f>
        <v/>
      </c>
      <c r="D759" s="7">
        <f>IFERROR(__xludf.DUMMYFUNCTION("""COMPUTED_VALUE"""),"No task description")</f>
        <v/>
      </c>
      <c r="E759" s="7">
        <f>IFERROR(__xludf.DUMMYFUNCTION("""COMPUTED_VALUE"""),"No artifact embedded")</f>
        <v/>
      </c>
      <c r="F759" s="7" t="inlineStr">
        <is>
          <t>Students complete a questionnaire individually using Golabz app/lab after group discussion, with various question types and features available.</t>
        </is>
      </c>
      <c r="G759" s="8" t="inlineStr">
        <is>
          <t>1</t>
        </is>
      </c>
      <c r="H759" s="8" t="n"/>
      <c r="I759" s="8" t="n"/>
      <c r="J759" s="8" t="n"/>
      <c r="K759" s="9" t="n"/>
      <c r="L759" s="9" t="n"/>
      <c r="M759" s="9" t="n"/>
      <c r="N759" s="9" t="n"/>
      <c r="O759" s="10" t="n"/>
      <c r="P759" s="10" t="n"/>
      <c r="Q759" s="10" t="n"/>
      <c r="R759" s="10" t="n"/>
      <c r="S759" s="10" t="n"/>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MOHAMED SABAN</dc:creator>
  <dcterms:created xmlns:dcterms="http://purl.org/dc/terms/" xmlns:xsi="http://www.w3.org/2001/XMLSchema-instance" xsi:type="dcterms:W3CDTF">2025-03-21T08:44:23Z</dcterms:created>
  <dcterms:modified xmlns:dcterms="http://purl.org/dc/terms/" xmlns:xsi="http://www.w3.org/2001/XMLSchema-instance" xsi:type="dcterms:W3CDTF">2025-03-25T14:19:49+00:00Z</dcterms:modified>
  <cp:lastModifiedBy>MOHAMED SABAN</cp:lastModifiedBy>
</cp:coreProperties>
</file>